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Sales" sheetId="1" r:id="rId4"/>
    <sheet state="visible" name="FoodSales2022" sheetId="2" r:id="rId5"/>
    <sheet state="visible" name="FoodSales2023" sheetId="3" r:id="rId6"/>
    <sheet state="visible" name="Query Where D=New York" sheetId="4" r:id="rId7"/>
  </sheets>
  <definedNames>
    <definedName hidden="1" localSheetId="1" name="_xlnm._FilterDatabase">FoodSales2022!$A$1:$M$254</definedName>
    <definedName hidden="1" localSheetId="2" name="_xlnm._FilterDatabase">FoodSales2023!$A$1:$M$254</definedName>
  </definedNames>
  <calcPr/>
</workbook>
</file>

<file path=xl/sharedStrings.xml><?xml version="1.0" encoding="utf-8"?>
<sst xmlns="http://schemas.openxmlformats.org/spreadsheetml/2006/main" count="3733" uniqueCount="288">
  <si>
    <t>ID</t>
  </si>
  <si>
    <t>Date</t>
  </si>
  <si>
    <t>Region</t>
  </si>
  <si>
    <t>City</t>
  </si>
  <si>
    <t>Category</t>
  </si>
  <si>
    <t>Product</t>
  </si>
  <si>
    <t>Qty</t>
  </si>
  <si>
    <t>Unit Price</t>
  </si>
  <si>
    <t>Day</t>
  </si>
  <si>
    <t>Month</t>
  </si>
  <si>
    <t>Year</t>
  </si>
  <si>
    <t xml:space="preserve">Price </t>
  </si>
  <si>
    <t xml:space="preserve">Remark Price </t>
  </si>
  <si>
    <t>ID07351</t>
  </si>
  <si>
    <t>East</t>
  </si>
  <si>
    <t>Boston</t>
  </si>
  <si>
    <t>Bars</t>
  </si>
  <si>
    <t>Carrot</t>
  </si>
  <si>
    <t>ID07352</t>
  </si>
  <si>
    <t>Crackers</t>
  </si>
  <si>
    <t>Whole Wheat</t>
  </si>
  <si>
    <t>Noted</t>
  </si>
  <si>
    <t>ID07354</t>
  </si>
  <si>
    <t>New York</t>
  </si>
  <si>
    <t>Cookies</t>
  </si>
  <si>
    <t>Chocolate Chip</t>
  </si>
  <si>
    <t>For remark price = (&gt;$100 is expensive and under $100 is cheap)</t>
  </si>
  <si>
    <t>ID07355</t>
  </si>
  <si>
    <t>Arrowroot</t>
  </si>
  <si>
    <t>ID07356</t>
  </si>
  <si>
    <t>ID07357</t>
  </si>
  <si>
    <t>ID07359</t>
  </si>
  <si>
    <t>ID07360</t>
  </si>
  <si>
    <t>Snacks</t>
  </si>
  <si>
    <t>Potato Chips</t>
  </si>
  <si>
    <t>ID07361</t>
  </si>
  <si>
    <t>ID07362</t>
  </si>
  <si>
    <t>ID07363</t>
  </si>
  <si>
    <t>ID07365</t>
  </si>
  <si>
    <t>ID07366</t>
  </si>
  <si>
    <t>ID07367</t>
  </si>
  <si>
    <t>ID07368</t>
  </si>
  <si>
    <t>Oatmeal Raisin</t>
  </si>
  <si>
    <t>ID07371</t>
  </si>
  <si>
    <t>ID07373</t>
  </si>
  <si>
    <t>ID07374</t>
  </si>
  <si>
    <t>ID07376</t>
  </si>
  <si>
    <t>ID07377</t>
  </si>
  <si>
    <t>ID07379</t>
  </si>
  <si>
    <t>Bran</t>
  </si>
  <si>
    <t>ID07380</t>
  </si>
  <si>
    <t>ID07383</t>
  </si>
  <si>
    <t>ID07384</t>
  </si>
  <si>
    <t>ID07386</t>
  </si>
  <si>
    <t>ID07387</t>
  </si>
  <si>
    <t>ID07389</t>
  </si>
  <si>
    <t>ID07390</t>
  </si>
  <si>
    <t>ID07392</t>
  </si>
  <si>
    <t>ID07393</t>
  </si>
  <si>
    <t>ID07396</t>
  </si>
  <si>
    <t>ID07397</t>
  </si>
  <si>
    <t>ID07399</t>
  </si>
  <si>
    <t>ID07400</t>
  </si>
  <si>
    <t>ID07401</t>
  </si>
  <si>
    <t>ID07403</t>
  </si>
  <si>
    <t>ID07406</t>
  </si>
  <si>
    <t>ID07407</t>
  </si>
  <si>
    <t>ID07410</t>
  </si>
  <si>
    <t>ID07411</t>
  </si>
  <si>
    <t>ID07414</t>
  </si>
  <si>
    <t>ID07415</t>
  </si>
  <si>
    <t>ID07417</t>
  </si>
  <si>
    <t>ID07418</t>
  </si>
  <si>
    <t>ID07421</t>
  </si>
  <si>
    <t>ID07422</t>
  </si>
  <si>
    <t>ID07424</t>
  </si>
  <si>
    <t>ID07425</t>
  </si>
  <si>
    <t>ID07427</t>
  </si>
  <si>
    <t>ID07428</t>
  </si>
  <si>
    <t>ID07429</t>
  </si>
  <si>
    <t>ID07431</t>
  </si>
  <si>
    <t>ID07432</t>
  </si>
  <si>
    <t>ID07434</t>
  </si>
  <si>
    <t>ID07435</t>
  </si>
  <si>
    <t>ID07436</t>
  </si>
  <si>
    <t>Pretzels</t>
  </si>
  <si>
    <t>ID07438</t>
  </si>
  <si>
    <t>ID07439</t>
  </si>
  <si>
    <t>ID07441</t>
  </si>
  <si>
    <t>ID07442</t>
  </si>
  <si>
    <t>ID07443</t>
  </si>
  <si>
    <t>ID07446</t>
  </si>
  <si>
    <t>ID07447</t>
  </si>
  <si>
    <t>ID07448</t>
  </si>
  <si>
    <t>ID07450</t>
  </si>
  <si>
    <t>ID07451</t>
  </si>
  <si>
    <t>ID07452</t>
  </si>
  <si>
    <t>ID07455</t>
  </si>
  <si>
    <t>ID07458</t>
  </si>
  <si>
    <t>ID07459</t>
  </si>
  <si>
    <t>ID07462</t>
  </si>
  <si>
    <t>ID07465</t>
  </si>
  <si>
    <t>Banana</t>
  </si>
  <si>
    <t>ID07466</t>
  </si>
  <si>
    <t>ID07467</t>
  </si>
  <si>
    <t>ID07470</t>
  </si>
  <si>
    <t>ID07471</t>
  </si>
  <si>
    <t>ID07473</t>
  </si>
  <si>
    <t>ID07474</t>
  </si>
  <si>
    <t>ID07475</t>
  </si>
  <si>
    <t>ID07478</t>
  </si>
  <si>
    <t>ID07479</t>
  </si>
  <si>
    <t>ID07481</t>
  </si>
  <si>
    <t>ID07482</t>
  </si>
  <si>
    <t>ID07483</t>
  </si>
  <si>
    <t>ID07486</t>
  </si>
  <si>
    <t>ID07487</t>
  </si>
  <si>
    <t>ID07489</t>
  </si>
  <si>
    <t>ID07490</t>
  </si>
  <si>
    <t>ID07493</t>
  </si>
  <si>
    <t>ID07494</t>
  </si>
  <si>
    <t>ID07497</t>
  </si>
  <si>
    <t>ID07498</t>
  </si>
  <si>
    <t>ID07501</t>
  </si>
  <si>
    <t>ID07502</t>
  </si>
  <si>
    <t>ID07504</t>
  </si>
  <si>
    <t>ID07505</t>
  </si>
  <si>
    <t>ID07508</t>
  </si>
  <si>
    <t>ID07509</t>
  </si>
  <si>
    <t>ID07511</t>
  </si>
  <si>
    <t>ID07512</t>
  </si>
  <si>
    <t>ID07515</t>
  </si>
  <si>
    <t>ID07516</t>
  </si>
  <si>
    <t>ID07518</t>
  </si>
  <si>
    <t>ID07519</t>
  </si>
  <si>
    <t>ID07521</t>
  </si>
  <si>
    <t>ID07524</t>
  </si>
  <si>
    <t>ID07525</t>
  </si>
  <si>
    <t>ID07526</t>
  </si>
  <si>
    <t>ID07528</t>
  </si>
  <si>
    <t>ID07529</t>
  </si>
  <si>
    <t>ID07531</t>
  </si>
  <si>
    <t>ID07532</t>
  </si>
  <si>
    <t>ID07533</t>
  </si>
  <si>
    <t>ID07536</t>
  </si>
  <si>
    <t>ID07537</t>
  </si>
  <si>
    <t>ID07539</t>
  </si>
  <si>
    <t>ID07540</t>
  </si>
  <si>
    <t>ID07541</t>
  </si>
  <si>
    <t>ID07544</t>
  </si>
  <si>
    <t>ID07547</t>
  </si>
  <si>
    <t>ID07548</t>
  </si>
  <si>
    <t>ID07550</t>
  </si>
  <si>
    <t>ID07551</t>
  </si>
  <si>
    <t>ID07553</t>
  </si>
  <si>
    <t>ID07554</t>
  </si>
  <si>
    <t>ID07555</t>
  </si>
  <si>
    <t>ID07558</t>
  </si>
  <si>
    <t>ID07559</t>
  </si>
  <si>
    <t>ID07561</t>
  </si>
  <si>
    <t>ID07562</t>
  </si>
  <si>
    <t>ID07563</t>
  </si>
  <si>
    <t>ID07566</t>
  </si>
  <si>
    <t>ID07567</t>
  </si>
  <si>
    <t>ID07569</t>
  </si>
  <si>
    <t>ID07570</t>
  </si>
  <si>
    <t>ID07571</t>
  </si>
  <si>
    <t>ID07573</t>
  </si>
  <si>
    <t>ID07574</t>
  </si>
  <si>
    <t>ID07576</t>
  </si>
  <si>
    <t>ID07577</t>
  </si>
  <si>
    <t>ID07579</t>
  </si>
  <si>
    <t>ID07580</t>
  </si>
  <si>
    <t>ID07582</t>
  </si>
  <si>
    <t>ID07583</t>
  </si>
  <si>
    <t>ID07584</t>
  </si>
  <si>
    <t>ID07587</t>
  </si>
  <si>
    <t>ID07588</t>
  </si>
  <si>
    <t>ID07590</t>
  </si>
  <si>
    <t>ID07591</t>
  </si>
  <si>
    <t>ID07592</t>
  </si>
  <si>
    <t>ID07353</t>
  </si>
  <si>
    <t>West</t>
  </si>
  <si>
    <t>Los Angeles</t>
  </si>
  <si>
    <t>ID07358</t>
  </si>
  <si>
    <t>ID07364</t>
  </si>
  <si>
    <t>ID07369</t>
  </si>
  <si>
    <t>ID07370</t>
  </si>
  <si>
    <t>ID07372</t>
  </si>
  <si>
    <t>San Diego</t>
  </si>
  <si>
    <t>ID07375</t>
  </si>
  <si>
    <t>ID07378</t>
  </si>
  <si>
    <t>ID07381</t>
  </si>
  <si>
    <t>ID07382</t>
  </si>
  <si>
    <t>ID07385</t>
  </si>
  <si>
    <t>ID07388</t>
  </si>
  <si>
    <t>ID07391</t>
  </si>
  <si>
    <t>ID07394</t>
  </si>
  <si>
    <t>ID07395</t>
  </si>
  <si>
    <t>ID07398</t>
  </si>
  <si>
    <t>ID07402</t>
  </si>
  <si>
    <t>ID07404</t>
  </si>
  <si>
    <t>ID07405</t>
  </si>
  <si>
    <t>ID07408</t>
  </si>
  <si>
    <t>ID07409</t>
  </si>
  <si>
    <t>ID07412</t>
  </si>
  <si>
    <t>ID07413</t>
  </si>
  <si>
    <t>ID07416</t>
  </si>
  <si>
    <t>ID07419</t>
  </si>
  <si>
    <t>ID07420</t>
  </si>
  <si>
    <t>ID07423</t>
  </si>
  <si>
    <t>ID07426</t>
  </si>
  <si>
    <t>ID07430</t>
  </si>
  <si>
    <t>ID07433</t>
  </si>
  <si>
    <t>ID07437</t>
  </si>
  <si>
    <t>ID07440</t>
  </si>
  <si>
    <t>ID07444</t>
  </si>
  <si>
    <t>ID07445</t>
  </si>
  <si>
    <t>ID07449</t>
  </si>
  <si>
    <t>ID07453</t>
  </si>
  <si>
    <t>ID07454</t>
  </si>
  <si>
    <t>ID07456</t>
  </si>
  <si>
    <t>ID07457</t>
  </si>
  <si>
    <t>ID07460</t>
  </si>
  <si>
    <t>ID07461</t>
  </si>
  <si>
    <t>ID07463</t>
  </si>
  <si>
    <t>ID07464</t>
  </si>
  <si>
    <t>ID07468</t>
  </si>
  <si>
    <t>ID07469</t>
  </si>
  <si>
    <t>ID07472</t>
  </si>
  <si>
    <t>ID07476</t>
  </si>
  <si>
    <t>ID07477</t>
  </si>
  <si>
    <t>ID07480</t>
  </si>
  <si>
    <t>ID07484</t>
  </si>
  <si>
    <t>ID07485</t>
  </si>
  <si>
    <t>ID07488</t>
  </si>
  <si>
    <t>ID07491</t>
  </si>
  <si>
    <t>ID07492</t>
  </si>
  <si>
    <t>ID07495</t>
  </si>
  <si>
    <t>ID07496</t>
  </si>
  <si>
    <t>ID07499</t>
  </si>
  <si>
    <t>ID07500</t>
  </si>
  <si>
    <t>ID07503</t>
  </si>
  <si>
    <t>ID07506</t>
  </si>
  <si>
    <t>ID07507</t>
  </si>
  <si>
    <t>ID07510</t>
  </si>
  <si>
    <t>ID07513</t>
  </si>
  <si>
    <t>ID07514</t>
  </si>
  <si>
    <t>ID07517</t>
  </si>
  <si>
    <t>ID07520</t>
  </si>
  <si>
    <t>ID07522</t>
  </si>
  <si>
    <t>ID07523</t>
  </si>
  <si>
    <t>ID07527</t>
  </si>
  <si>
    <t>ID07530</t>
  </si>
  <si>
    <t>ID07534</t>
  </si>
  <si>
    <t>ID07535</t>
  </si>
  <si>
    <t>ID07538</t>
  </si>
  <si>
    <t>ID07542</t>
  </si>
  <si>
    <t>ID07543</t>
  </si>
  <si>
    <t>ID07545</t>
  </si>
  <si>
    <t>ID07546</t>
  </si>
  <si>
    <t>ID07549</t>
  </si>
  <si>
    <t>ID07552</t>
  </si>
  <si>
    <t>ID07556</t>
  </si>
  <si>
    <t>ID07557</t>
  </si>
  <si>
    <t>ID07560</t>
  </si>
  <si>
    <t>ID07564</t>
  </si>
  <si>
    <t>ID07565</t>
  </si>
  <si>
    <t>ID07568</t>
  </si>
  <si>
    <t>ID07572</t>
  </si>
  <si>
    <t>ID07575</t>
  </si>
  <si>
    <t>ID07578</t>
  </si>
  <si>
    <t>ID07581</t>
  </si>
  <si>
    <t>ID07585</t>
  </si>
  <si>
    <t>ID07586</t>
  </si>
  <si>
    <t>ID07589</t>
  </si>
  <si>
    <t>ID07593</t>
  </si>
  <si>
    <t>ID07594</t>
  </si>
  <si>
    <t>Total</t>
  </si>
  <si>
    <t>Average</t>
  </si>
  <si>
    <t>Maximum</t>
  </si>
  <si>
    <t>Minimum</t>
  </si>
  <si>
    <t>Total Cell contain Number</t>
  </si>
  <si>
    <t>Total Cell contain Non Empty</t>
  </si>
  <si>
    <t>Total price &gt;$100</t>
  </si>
  <si>
    <t>Average Price &gt;$100</t>
  </si>
  <si>
    <t>Total Cell Price &gt;$100</t>
  </si>
  <si>
    <t>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</si>
</sst>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"/>
  </numFmts>
  <fonts count="8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Calibri"/>
      <scheme val="minor"/>
    </font>
    <font/>
    <font>
      <sz val="12.0"/>
      <color theme="1"/>
      <name val="Calibri"/>
    </font>
    <font>
      <sz val="9.0"/>
      <color rgb="FF000000"/>
      <name val="&quot;Google Sans Mono&quot;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14" xfId="0" applyAlignment="1" applyBorder="1" applyFill="1" applyFont="1" applyNumberFormat="1">
      <alignment horizontal="center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1" fillId="0" fontId="2" numFmtId="1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/>
    </xf>
    <xf borderId="0" fillId="4" fontId="3" numFmtId="0" xfId="0" applyAlignment="1" applyFill="1" applyFont="1">
      <alignment readingOrder="0"/>
    </xf>
    <xf borderId="0" fillId="4" fontId="4" numFmtId="0" xfId="0" applyFont="1"/>
    <xf borderId="0" fillId="5" fontId="3" numFmtId="0" xfId="0" applyAlignment="1" applyFill="1" applyFont="1">
      <alignment readingOrder="0"/>
    </xf>
    <xf borderId="0" fillId="5" fontId="4" numFmtId="0" xfId="0" applyFont="1"/>
    <xf borderId="2" fillId="0" fontId="2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1" fillId="0" fontId="2" numFmtId="0" xfId="0" applyAlignment="1" applyBorder="1" applyFont="1">
      <alignment horizontal="center" readingOrder="0"/>
    </xf>
    <xf borderId="0" fillId="0" fontId="6" numFmtId="14" xfId="0" applyFont="1" applyNumberFormat="1"/>
    <xf borderId="0" fillId="3" fontId="4" numFmtId="0" xfId="0" applyFont="1"/>
    <xf borderId="0" fillId="3" fontId="7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7.78"/>
    <col customWidth="1" min="2" max="2" width="7.0"/>
    <col customWidth="1" min="3" max="3" width="9.44"/>
    <col customWidth="1" min="4" max="4" width="14.44"/>
    <col customWidth="1" min="5" max="5" width="8.89"/>
    <col customWidth="1" min="6" max="6" width="18.11"/>
    <col customWidth="1" min="7" max="7" width="6.0"/>
    <col customWidth="1" min="8" max="8" width="9.78"/>
    <col customWidth="1" min="9" max="11" width="6.78"/>
    <col customWidth="1" min="12" max="12" width="24.33"/>
    <col customWidth="1" min="13" max="13" width="16.22"/>
    <col customWidth="1" min="14" max="29" width="8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ht="15.75" customHeight="1">
      <c r="A2" s="4" t="s">
        <v>13</v>
      </c>
      <c r="B2" s="5">
        <v>44562.0</v>
      </c>
      <c r="C2" s="6" t="s">
        <v>14</v>
      </c>
      <c r="D2" s="6" t="s">
        <v>15</v>
      </c>
      <c r="E2" s="6" t="s">
        <v>16</v>
      </c>
      <c r="F2" s="6" t="s">
        <v>17</v>
      </c>
      <c r="G2" s="6">
        <v>33.0</v>
      </c>
      <c r="H2" s="6">
        <v>1.7699999999999998</v>
      </c>
      <c r="I2" s="7" t="str">
        <f t="shared" ref="I2:I18" si="1">TEXT(B2:B245,"DDDD")</f>
        <v>Sabtu</v>
      </c>
      <c r="J2" s="7" t="str">
        <f t="shared" ref="J2:J31" si="2">TEXT($B$2:$B$245,"MMMM")</f>
        <v>Januari</v>
      </c>
      <c r="K2" s="7" t="str">
        <f t="shared" ref="K2:K9" si="3">TEXT(B2:B245,"YYYY")</f>
        <v>2022</v>
      </c>
      <c r="L2" s="7">
        <f t="shared" ref="L2:L245" si="4">G2*H2</f>
        <v>58.41</v>
      </c>
      <c r="M2" s="6" t="str">
        <f t="shared" ref="M2:M254" si="5">IF(L2&gt;100,"Expensive","Cheap")</f>
        <v>Cheap</v>
      </c>
    </row>
    <row r="3" ht="15.75" customHeight="1">
      <c r="A3" s="4" t="s">
        <v>18</v>
      </c>
      <c r="B3" s="5">
        <v>44565.0</v>
      </c>
      <c r="C3" s="6" t="s">
        <v>14</v>
      </c>
      <c r="D3" s="6" t="s">
        <v>15</v>
      </c>
      <c r="E3" s="6" t="s">
        <v>19</v>
      </c>
      <c r="F3" s="6" t="s">
        <v>20</v>
      </c>
      <c r="G3" s="6">
        <v>87.0</v>
      </c>
      <c r="H3" s="6">
        <v>3.4899999999999998</v>
      </c>
      <c r="I3" s="7" t="str">
        <f t="shared" si="1"/>
        <v>Selasa</v>
      </c>
      <c r="J3" s="7" t="str">
        <f t="shared" si="2"/>
        <v>Januari</v>
      </c>
      <c r="K3" s="7" t="str">
        <f t="shared" si="3"/>
        <v>2022</v>
      </c>
      <c r="L3" s="7">
        <f t="shared" si="4"/>
        <v>303.63</v>
      </c>
      <c r="M3" s="6" t="str">
        <f t="shared" si="5"/>
        <v>Expensive</v>
      </c>
      <c r="P3" s="8" t="s">
        <v>21</v>
      </c>
      <c r="Q3" s="9"/>
      <c r="R3" s="9"/>
      <c r="S3" s="9"/>
      <c r="T3" s="9"/>
      <c r="U3" s="9"/>
      <c r="V3" s="9"/>
    </row>
    <row r="4" ht="15.75" customHeight="1">
      <c r="A4" s="4" t="s">
        <v>22</v>
      </c>
      <c r="B4" s="5">
        <v>44571.0</v>
      </c>
      <c r="C4" s="6" t="s">
        <v>14</v>
      </c>
      <c r="D4" s="6" t="s">
        <v>23</v>
      </c>
      <c r="E4" s="6" t="s">
        <v>24</v>
      </c>
      <c r="F4" s="6" t="s">
        <v>25</v>
      </c>
      <c r="G4" s="6">
        <v>82.0</v>
      </c>
      <c r="H4" s="6">
        <v>1.87</v>
      </c>
      <c r="I4" s="7" t="str">
        <f t="shared" si="1"/>
        <v>Senin</v>
      </c>
      <c r="J4" s="7" t="str">
        <f t="shared" si="2"/>
        <v>Januari</v>
      </c>
      <c r="K4" s="7" t="str">
        <f t="shared" si="3"/>
        <v>2022</v>
      </c>
      <c r="L4" s="7">
        <f t="shared" si="4"/>
        <v>153.34</v>
      </c>
      <c r="M4" s="6" t="str">
        <f t="shared" si="5"/>
        <v>Expensive</v>
      </c>
      <c r="P4" s="8" t="s">
        <v>26</v>
      </c>
      <c r="Q4" s="9"/>
      <c r="R4" s="9"/>
      <c r="S4" s="9"/>
      <c r="T4" s="9"/>
      <c r="U4" s="9"/>
      <c r="V4" s="9"/>
    </row>
    <row r="5" ht="15.75" customHeight="1">
      <c r="A5" s="4" t="s">
        <v>27</v>
      </c>
      <c r="B5" s="5">
        <v>44574.0</v>
      </c>
      <c r="C5" s="6" t="s">
        <v>14</v>
      </c>
      <c r="D5" s="6" t="s">
        <v>15</v>
      </c>
      <c r="E5" s="6" t="s">
        <v>24</v>
      </c>
      <c r="F5" s="6" t="s">
        <v>28</v>
      </c>
      <c r="G5" s="6">
        <v>38.0</v>
      </c>
      <c r="H5" s="6">
        <v>2.18</v>
      </c>
      <c r="I5" s="7" t="str">
        <f t="shared" si="1"/>
        <v>Kamis</v>
      </c>
      <c r="J5" s="7" t="str">
        <f t="shared" si="2"/>
        <v>Januari</v>
      </c>
      <c r="K5" s="7" t="str">
        <f t="shared" si="3"/>
        <v>2022</v>
      </c>
      <c r="L5" s="7">
        <f t="shared" si="4"/>
        <v>82.84</v>
      </c>
      <c r="M5" s="6" t="str">
        <f t="shared" si="5"/>
        <v>Cheap</v>
      </c>
    </row>
    <row r="6" ht="15.75" customHeight="1">
      <c r="A6" s="4" t="s">
        <v>29</v>
      </c>
      <c r="B6" s="5">
        <v>44577.0</v>
      </c>
      <c r="C6" s="6" t="s">
        <v>14</v>
      </c>
      <c r="D6" s="6" t="s">
        <v>15</v>
      </c>
      <c r="E6" s="6" t="s">
        <v>16</v>
      </c>
      <c r="F6" s="6" t="s">
        <v>17</v>
      </c>
      <c r="G6" s="6">
        <v>54.0</v>
      </c>
      <c r="H6" s="6">
        <v>1.77</v>
      </c>
      <c r="I6" s="7" t="str">
        <f t="shared" si="1"/>
        <v>Minggu</v>
      </c>
      <c r="J6" s="7" t="str">
        <f t="shared" si="2"/>
        <v>Januari</v>
      </c>
      <c r="K6" s="7" t="str">
        <f t="shared" si="3"/>
        <v>2022</v>
      </c>
      <c r="L6" s="7">
        <f t="shared" si="4"/>
        <v>95.58</v>
      </c>
      <c r="M6" s="6" t="str">
        <f t="shared" si="5"/>
        <v>Cheap</v>
      </c>
    </row>
    <row r="7" ht="15.75" customHeight="1">
      <c r="A7" s="4" t="s">
        <v>30</v>
      </c>
      <c r="B7" s="5">
        <v>44580.0</v>
      </c>
      <c r="C7" s="6" t="s">
        <v>14</v>
      </c>
      <c r="D7" s="6" t="s">
        <v>15</v>
      </c>
      <c r="E7" s="6" t="s">
        <v>19</v>
      </c>
      <c r="F7" s="6" t="s">
        <v>20</v>
      </c>
      <c r="G7" s="6">
        <v>149.0</v>
      </c>
      <c r="H7" s="6">
        <v>3.4899999999999998</v>
      </c>
      <c r="I7" s="7" t="str">
        <f t="shared" si="1"/>
        <v>Rabu</v>
      </c>
      <c r="J7" s="7" t="str">
        <f t="shared" si="2"/>
        <v>Januari</v>
      </c>
      <c r="K7" s="7" t="str">
        <f t="shared" si="3"/>
        <v>2022</v>
      </c>
      <c r="L7" s="7">
        <f t="shared" si="4"/>
        <v>520.01</v>
      </c>
      <c r="M7" s="6" t="str">
        <f t="shared" si="5"/>
        <v>Expensive</v>
      </c>
    </row>
    <row r="8" ht="15.75" customHeight="1">
      <c r="A8" s="4" t="s">
        <v>31</v>
      </c>
      <c r="B8" s="5">
        <v>44586.0</v>
      </c>
      <c r="C8" s="6" t="s">
        <v>14</v>
      </c>
      <c r="D8" s="6" t="s">
        <v>23</v>
      </c>
      <c r="E8" s="6" t="s">
        <v>16</v>
      </c>
      <c r="F8" s="6" t="s">
        <v>17</v>
      </c>
      <c r="G8" s="6">
        <v>100.0</v>
      </c>
      <c r="H8" s="6">
        <v>1.77</v>
      </c>
      <c r="I8" s="7" t="str">
        <f t="shared" si="1"/>
        <v>Selasa</v>
      </c>
      <c r="J8" s="7" t="str">
        <f t="shared" si="2"/>
        <v>Januari</v>
      </c>
      <c r="K8" s="7" t="str">
        <f t="shared" si="3"/>
        <v>2022</v>
      </c>
      <c r="L8" s="7">
        <f t="shared" si="4"/>
        <v>177</v>
      </c>
      <c r="M8" s="6" t="str">
        <f t="shared" si="5"/>
        <v>Expensive</v>
      </c>
    </row>
    <row r="9" ht="15.75" customHeight="1">
      <c r="A9" s="4" t="s">
        <v>32</v>
      </c>
      <c r="B9" s="5">
        <v>44589.0</v>
      </c>
      <c r="C9" s="6" t="s">
        <v>14</v>
      </c>
      <c r="D9" s="6" t="s">
        <v>23</v>
      </c>
      <c r="E9" s="6" t="s">
        <v>33</v>
      </c>
      <c r="F9" s="6" t="s">
        <v>34</v>
      </c>
      <c r="G9" s="6">
        <v>28.0</v>
      </c>
      <c r="H9" s="6">
        <v>1.35</v>
      </c>
      <c r="I9" s="7" t="str">
        <f t="shared" si="1"/>
        <v>Jumat</v>
      </c>
      <c r="J9" s="7" t="str">
        <f t="shared" si="2"/>
        <v>Januari</v>
      </c>
      <c r="K9" s="7" t="str">
        <f t="shared" si="3"/>
        <v>2022</v>
      </c>
      <c r="L9" s="7">
        <f t="shared" si="4"/>
        <v>37.8</v>
      </c>
      <c r="M9" s="6" t="str">
        <f t="shared" si="5"/>
        <v>Cheap</v>
      </c>
    </row>
    <row r="10" ht="15.75" customHeight="1">
      <c r="A10" s="4" t="s">
        <v>35</v>
      </c>
      <c r="B10" s="5">
        <v>44592.0</v>
      </c>
      <c r="C10" s="6" t="s">
        <v>14</v>
      </c>
      <c r="D10" s="6" t="s">
        <v>15</v>
      </c>
      <c r="E10" s="6" t="s">
        <v>24</v>
      </c>
      <c r="F10" s="6" t="s">
        <v>28</v>
      </c>
      <c r="G10" s="6">
        <v>36.0</v>
      </c>
      <c r="H10" s="6">
        <v>2.18</v>
      </c>
      <c r="I10" s="7" t="str">
        <f t="shared" si="1"/>
        <v>Senin</v>
      </c>
      <c r="J10" s="7" t="str">
        <f t="shared" si="2"/>
        <v>Januari</v>
      </c>
      <c r="K10" s="7">
        <f t="shared" ref="K10:K254" si="6">YEAR(B10:B253)</f>
        <v>2022</v>
      </c>
      <c r="L10" s="7">
        <f t="shared" si="4"/>
        <v>78.48</v>
      </c>
      <c r="M10" s="6" t="str">
        <f t="shared" si="5"/>
        <v>Cheap</v>
      </c>
    </row>
    <row r="11" ht="15.75" customHeight="1">
      <c r="A11" s="4" t="s">
        <v>36</v>
      </c>
      <c r="B11" s="5">
        <v>44595.0</v>
      </c>
      <c r="C11" s="6" t="s">
        <v>14</v>
      </c>
      <c r="D11" s="6" t="s">
        <v>15</v>
      </c>
      <c r="E11" s="6" t="s">
        <v>24</v>
      </c>
      <c r="F11" s="6" t="s">
        <v>25</v>
      </c>
      <c r="G11" s="6">
        <v>31.0</v>
      </c>
      <c r="H11" s="6">
        <v>1.8699999999999999</v>
      </c>
      <c r="I11" s="7" t="str">
        <f t="shared" si="1"/>
        <v>Kamis</v>
      </c>
      <c r="J11" s="7" t="str">
        <f t="shared" si="2"/>
        <v>Februari</v>
      </c>
      <c r="K11" s="7">
        <f t="shared" si="6"/>
        <v>2022</v>
      </c>
      <c r="L11" s="7">
        <f t="shared" si="4"/>
        <v>57.97</v>
      </c>
      <c r="M11" s="6" t="str">
        <f t="shared" si="5"/>
        <v>Cheap</v>
      </c>
    </row>
    <row r="12" ht="15.75" customHeight="1">
      <c r="A12" s="4" t="s">
        <v>37</v>
      </c>
      <c r="B12" s="5">
        <v>44598.0</v>
      </c>
      <c r="C12" s="6" t="s">
        <v>14</v>
      </c>
      <c r="D12" s="6" t="s">
        <v>15</v>
      </c>
      <c r="E12" s="6" t="s">
        <v>19</v>
      </c>
      <c r="F12" s="6" t="s">
        <v>20</v>
      </c>
      <c r="G12" s="6">
        <v>28.0</v>
      </c>
      <c r="H12" s="6">
        <v>3.4899999999999998</v>
      </c>
      <c r="I12" s="7" t="str">
        <f t="shared" si="1"/>
        <v>Minggu</v>
      </c>
      <c r="J12" s="7" t="str">
        <f t="shared" si="2"/>
        <v>Februari</v>
      </c>
      <c r="K12" s="7">
        <f t="shared" si="6"/>
        <v>2022</v>
      </c>
      <c r="L12" s="7">
        <f t="shared" si="4"/>
        <v>97.72</v>
      </c>
      <c r="M12" s="6" t="str">
        <f t="shared" si="5"/>
        <v>Cheap</v>
      </c>
    </row>
    <row r="13" ht="15.75" customHeight="1">
      <c r="A13" s="4" t="s">
        <v>38</v>
      </c>
      <c r="B13" s="5">
        <v>44604.0</v>
      </c>
      <c r="C13" s="6" t="s">
        <v>14</v>
      </c>
      <c r="D13" s="6" t="s">
        <v>23</v>
      </c>
      <c r="E13" s="6" t="s">
        <v>16</v>
      </c>
      <c r="F13" s="6" t="s">
        <v>17</v>
      </c>
      <c r="G13" s="6">
        <v>23.0</v>
      </c>
      <c r="H13" s="6">
        <v>1.77</v>
      </c>
      <c r="I13" s="7" t="str">
        <f t="shared" si="1"/>
        <v>Sabtu</v>
      </c>
      <c r="J13" s="7" t="str">
        <f t="shared" si="2"/>
        <v>Februari</v>
      </c>
      <c r="K13" s="7">
        <f t="shared" si="6"/>
        <v>2022</v>
      </c>
      <c r="L13" s="7">
        <f t="shared" si="4"/>
        <v>40.71</v>
      </c>
      <c r="M13" s="6" t="str">
        <f t="shared" si="5"/>
        <v>Cheap</v>
      </c>
    </row>
    <row r="14" ht="15.75" customHeight="1">
      <c r="A14" s="4" t="s">
        <v>39</v>
      </c>
      <c r="B14" s="5">
        <v>44607.0</v>
      </c>
      <c r="C14" s="6" t="s">
        <v>14</v>
      </c>
      <c r="D14" s="6" t="s">
        <v>23</v>
      </c>
      <c r="E14" s="6" t="s">
        <v>33</v>
      </c>
      <c r="F14" s="6" t="s">
        <v>34</v>
      </c>
      <c r="G14" s="6">
        <v>27.0</v>
      </c>
      <c r="H14" s="6">
        <v>1.35</v>
      </c>
      <c r="I14" s="7" t="str">
        <f t="shared" si="1"/>
        <v>Selasa</v>
      </c>
      <c r="J14" s="7" t="str">
        <f t="shared" si="2"/>
        <v>Februari</v>
      </c>
      <c r="K14" s="7">
        <f t="shared" si="6"/>
        <v>2022</v>
      </c>
      <c r="L14" s="7">
        <f t="shared" si="4"/>
        <v>36.45</v>
      </c>
      <c r="M14" s="6" t="str">
        <f t="shared" si="5"/>
        <v>Cheap</v>
      </c>
    </row>
    <row r="15" ht="15.75" customHeight="1">
      <c r="A15" s="4" t="s">
        <v>40</v>
      </c>
      <c r="B15" s="5">
        <v>44610.0</v>
      </c>
      <c r="C15" s="6" t="s">
        <v>14</v>
      </c>
      <c r="D15" s="6" t="s">
        <v>15</v>
      </c>
      <c r="E15" s="6" t="s">
        <v>24</v>
      </c>
      <c r="F15" s="6" t="s">
        <v>28</v>
      </c>
      <c r="G15" s="6">
        <v>43.0</v>
      </c>
      <c r="H15" s="6">
        <v>2.1799999999999997</v>
      </c>
      <c r="I15" s="7" t="str">
        <f t="shared" si="1"/>
        <v>Jumat</v>
      </c>
      <c r="J15" s="7" t="str">
        <f t="shared" si="2"/>
        <v>Februari</v>
      </c>
      <c r="K15" s="7">
        <f t="shared" si="6"/>
        <v>2022</v>
      </c>
      <c r="L15" s="7">
        <f t="shared" si="4"/>
        <v>93.74</v>
      </c>
      <c r="M15" s="6" t="str">
        <f t="shared" si="5"/>
        <v>Cheap</v>
      </c>
    </row>
    <row r="16" ht="15.75" customHeight="1">
      <c r="A16" s="4" t="s">
        <v>41</v>
      </c>
      <c r="B16" s="5">
        <v>44613.0</v>
      </c>
      <c r="C16" s="6" t="s">
        <v>14</v>
      </c>
      <c r="D16" s="6" t="s">
        <v>15</v>
      </c>
      <c r="E16" s="6" t="s">
        <v>24</v>
      </c>
      <c r="F16" s="6" t="s">
        <v>42</v>
      </c>
      <c r="G16" s="6">
        <v>123.0</v>
      </c>
      <c r="H16" s="6">
        <v>2.84</v>
      </c>
      <c r="I16" s="7" t="str">
        <f t="shared" si="1"/>
        <v>Senin</v>
      </c>
      <c r="J16" s="7" t="str">
        <f t="shared" si="2"/>
        <v>Februari</v>
      </c>
      <c r="K16" s="7">
        <f t="shared" si="6"/>
        <v>2022</v>
      </c>
      <c r="L16" s="7">
        <f t="shared" si="4"/>
        <v>349.32</v>
      </c>
      <c r="M16" s="6" t="str">
        <f t="shared" si="5"/>
        <v>Expensive</v>
      </c>
    </row>
    <row r="17" ht="15.75" customHeight="1">
      <c r="A17" s="4" t="s">
        <v>43</v>
      </c>
      <c r="B17" s="5">
        <v>44622.0</v>
      </c>
      <c r="C17" s="6" t="s">
        <v>14</v>
      </c>
      <c r="D17" s="6" t="s">
        <v>23</v>
      </c>
      <c r="E17" s="6" t="s">
        <v>24</v>
      </c>
      <c r="F17" s="6" t="s">
        <v>25</v>
      </c>
      <c r="G17" s="6">
        <v>85.0</v>
      </c>
      <c r="H17" s="6">
        <v>1.8699999999999999</v>
      </c>
      <c r="I17" s="7" t="str">
        <f t="shared" si="1"/>
        <v>Rabu</v>
      </c>
      <c r="J17" s="7" t="str">
        <f t="shared" si="2"/>
        <v>Maret</v>
      </c>
      <c r="K17" s="7">
        <f t="shared" si="6"/>
        <v>2022</v>
      </c>
      <c r="L17" s="7">
        <f t="shared" si="4"/>
        <v>158.95</v>
      </c>
      <c r="M17" s="6" t="str">
        <f t="shared" si="5"/>
        <v>Expensive</v>
      </c>
    </row>
    <row r="18" ht="15.75" customHeight="1">
      <c r="A18" s="4" t="s">
        <v>44</v>
      </c>
      <c r="B18" s="5">
        <v>44628.0</v>
      </c>
      <c r="C18" s="6" t="s">
        <v>14</v>
      </c>
      <c r="D18" s="6" t="s">
        <v>15</v>
      </c>
      <c r="E18" s="6" t="s">
        <v>16</v>
      </c>
      <c r="F18" s="6" t="s">
        <v>17</v>
      </c>
      <c r="G18" s="6">
        <v>61.0</v>
      </c>
      <c r="H18" s="6">
        <v>1.77</v>
      </c>
      <c r="I18" s="7" t="str">
        <f t="shared" si="1"/>
        <v>Selasa</v>
      </c>
      <c r="J18" s="7" t="str">
        <f t="shared" si="2"/>
        <v>Maret</v>
      </c>
      <c r="K18" s="7">
        <f t="shared" si="6"/>
        <v>2022</v>
      </c>
      <c r="L18" s="7">
        <f t="shared" si="4"/>
        <v>107.97</v>
      </c>
      <c r="M18" s="6" t="str">
        <f t="shared" si="5"/>
        <v>Expensive</v>
      </c>
    </row>
    <row r="19" ht="15.75" customHeight="1">
      <c r="A19" s="4" t="s">
        <v>45</v>
      </c>
      <c r="B19" s="5">
        <v>44631.0</v>
      </c>
      <c r="C19" s="6" t="s">
        <v>14</v>
      </c>
      <c r="D19" s="6" t="s">
        <v>15</v>
      </c>
      <c r="E19" s="6" t="s">
        <v>19</v>
      </c>
      <c r="F19" s="6" t="s">
        <v>20</v>
      </c>
      <c r="G19" s="6">
        <v>40.0</v>
      </c>
      <c r="H19" s="6">
        <v>3.4899999999999998</v>
      </c>
      <c r="I19" s="7">
        <f t="shared" ref="I19:I254" si="7">DAY(B19:B262)</f>
        <v>11</v>
      </c>
      <c r="J19" s="7" t="str">
        <f t="shared" si="2"/>
        <v>Maret</v>
      </c>
      <c r="K19" s="7">
        <f t="shared" si="6"/>
        <v>2022</v>
      </c>
      <c r="L19" s="7">
        <f t="shared" si="4"/>
        <v>139.6</v>
      </c>
      <c r="M19" s="6" t="str">
        <f t="shared" si="5"/>
        <v>Expensive</v>
      </c>
    </row>
    <row r="20" ht="15.75" customHeight="1">
      <c r="A20" s="4" t="s">
        <v>46</v>
      </c>
      <c r="B20" s="5">
        <v>44637.0</v>
      </c>
      <c r="C20" s="6" t="s">
        <v>14</v>
      </c>
      <c r="D20" s="6" t="s">
        <v>23</v>
      </c>
      <c r="E20" s="6" t="s">
        <v>16</v>
      </c>
      <c r="F20" s="6" t="s">
        <v>17</v>
      </c>
      <c r="G20" s="6">
        <v>38.0</v>
      </c>
      <c r="H20" s="6">
        <v>1.7700000000000002</v>
      </c>
      <c r="I20" s="7">
        <f t="shared" si="7"/>
        <v>17</v>
      </c>
      <c r="J20" s="7" t="str">
        <f t="shared" si="2"/>
        <v>Maret</v>
      </c>
      <c r="K20" s="7">
        <f t="shared" si="6"/>
        <v>2022</v>
      </c>
      <c r="L20" s="7">
        <f t="shared" si="4"/>
        <v>67.26</v>
      </c>
      <c r="M20" s="6" t="str">
        <f t="shared" si="5"/>
        <v>Cheap</v>
      </c>
    </row>
    <row r="21" ht="15.75" customHeight="1">
      <c r="A21" s="4" t="s">
        <v>47</v>
      </c>
      <c r="B21" s="5">
        <v>44640.0</v>
      </c>
      <c r="C21" s="6" t="s">
        <v>14</v>
      </c>
      <c r="D21" s="6" t="s">
        <v>23</v>
      </c>
      <c r="E21" s="6" t="s">
        <v>33</v>
      </c>
      <c r="F21" s="6" t="s">
        <v>34</v>
      </c>
      <c r="G21" s="6">
        <v>68.0</v>
      </c>
      <c r="H21" s="6">
        <v>1.68</v>
      </c>
      <c r="I21" s="7">
        <f t="shared" si="7"/>
        <v>20</v>
      </c>
      <c r="J21" s="7" t="str">
        <f t="shared" si="2"/>
        <v>Maret</v>
      </c>
      <c r="K21" s="7">
        <f t="shared" si="6"/>
        <v>2022</v>
      </c>
      <c r="L21" s="7">
        <f t="shared" si="4"/>
        <v>114.24</v>
      </c>
      <c r="M21" s="6" t="str">
        <f t="shared" si="5"/>
        <v>Expensive</v>
      </c>
    </row>
    <row r="22" ht="15.75" customHeight="1">
      <c r="A22" s="4" t="s">
        <v>48</v>
      </c>
      <c r="B22" s="5">
        <v>44646.0</v>
      </c>
      <c r="C22" s="6" t="s">
        <v>14</v>
      </c>
      <c r="D22" s="6" t="s">
        <v>15</v>
      </c>
      <c r="E22" s="6" t="s">
        <v>16</v>
      </c>
      <c r="F22" s="6" t="s">
        <v>49</v>
      </c>
      <c r="G22" s="6">
        <v>103.0</v>
      </c>
      <c r="H22" s="6">
        <v>1.87</v>
      </c>
      <c r="I22" s="7">
        <f t="shared" si="7"/>
        <v>26</v>
      </c>
      <c r="J22" s="7" t="str">
        <f t="shared" si="2"/>
        <v>Maret</v>
      </c>
      <c r="K22" s="7">
        <f t="shared" si="6"/>
        <v>2022</v>
      </c>
      <c r="L22" s="7">
        <f t="shared" si="4"/>
        <v>192.61</v>
      </c>
      <c r="M22" s="6" t="str">
        <f t="shared" si="5"/>
        <v>Expensive</v>
      </c>
    </row>
    <row r="23" ht="15.75" customHeight="1">
      <c r="A23" s="4" t="s">
        <v>50</v>
      </c>
      <c r="B23" s="5">
        <v>44649.0</v>
      </c>
      <c r="C23" s="6" t="s">
        <v>14</v>
      </c>
      <c r="D23" s="6" t="s">
        <v>15</v>
      </c>
      <c r="E23" s="6" t="s">
        <v>24</v>
      </c>
      <c r="F23" s="6" t="s">
        <v>42</v>
      </c>
      <c r="G23" s="6">
        <v>193.0</v>
      </c>
      <c r="H23" s="6">
        <v>2.84</v>
      </c>
      <c r="I23" s="7">
        <f t="shared" si="7"/>
        <v>29</v>
      </c>
      <c r="J23" s="7" t="str">
        <f t="shared" si="2"/>
        <v>Maret</v>
      </c>
      <c r="K23" s="7">
        <f t="shared" si="6"/>
        <v>2022</v>
      </c>
      <c r="L23" s="7">
        <f t="shared" si="4"/>
        <v>548.12</v>
      </c>
      <c r="M23" s="6" t="str">
        <f t="shared" si="5"/>
        <v>Expensive</v>
      </c>
    </row>
    <row r="24" ht="15.75" customHeight="1">
      <c r="A24" s="4" t="s">
        <v>51</v>
      </c>
      <c r="B24" s="5">
        <v>44658.0</v>
      </c>
      <c r="C24" s="6" t="s">
        <v>14</v>
      </c>
      <c r="D24" s="6" t="s">
        <v>23</v>
      </c>
      <c r="E24" s="6" t="s">
        <v>16</v>
      </c>
      <c r="F24" s="6" t="s">
        <v>17</v>
      </c>
      <c r="G24" s="6">
        <v>91.0</v>
      </c>
      <c r="H24" s="6">
        <v>1.77</v>
      </c>
      <c r="I24" s="7">
        <f t="shared" si="7"/>
        <v>7</v>
      </c>
      <c r="J24" s="7" t="str">
        <f t="shared" si="2"/>
        <v>April</v>
      </c>
      <c r="K24" s="7">
        <f t="shared" si="6"/>
        <v>2022</v>
      </c>
      <c r="L24" s="7">
        <f t="shared" si="4"/>
        <v>161.07</v>
      </c>
      <c r="M24" s="6" t="str">
        <f t="shared" si="5"/>
        <v>Expensive</v>
      </c>
    </row>
    <row r="25" ht="15.75" customHeight="1">
      <c r="A25" s="4" t="s">
        <v>52</v>
      </c>
      <c r="B25" s="5">
        <v>44661.0</v>
      </c>
      <c r="C25" s="6" t="s">
        <v>14</v>
      </c>
      <c r="D25" s="6" t="s">
        <v>23</v>
      </c>
      <c r="E25" s="6" t="s">
        <v>19</v>
      </c>
      <c r="F25" s="6" t="s">
        <v>20</v>
      </c>
      <c r="G25" s="6">
        <v>23.0</v>
      </c>
      <c r="H25" s="6">
        <v>3.4899999999999998</v>
      </c>
      <c r="I25" s="7">
        <f t="shared" si="7"/>
        <v>10</v>
      </c>
      <c r="J25" s="7" t="str">
        <f t="shared" si="2"/>
        <v>April</v>
      </c>
      <c r="K25" s="7">
        <f t="shared" si="6"/>
        <v>2022</v>
      </c>
      <c r="L25" s="7">
        <f t="shared" si="4"/>
        <v>80.27</v>
      </c>
      <c r="M25" s="6" t="str">
        <f t="shared" si="5"/>
        <v>Cheap</v>
      </c>
    </row>
    <row r="26" ht="15.75" customHeight="1">
      <c r="A26" s="4" t="s">
        <v>53</v>
      </c>
      <c r="B26" s="5">
        <v>44667.0</v>
      </c>
      <c r="C26" s="6" t="s">
        <v>14</v>
      </c>
      <c r="D26" s="6" t="s">
        <v>15</v>
      </c>
      <c r="E26" s="6" t="s">
        <v>16</v>
      </c>
      <c r="F26" s="6" t="s">
        <v>17</v>
      </c>
      <c r="G26" s="6">
        <v>48.0</v>
      </c>
      <c r="H26" s="6">
        <v>1.7699999999999998</v>
      </c>
      <c r="I26" s="7">
        <f t="shared" si="7"/>
        <v>16</v>
      </c>
      <c r="J26" s="7" t="str">
        <f t="shared" si="2"/>
        <v>April</v>
      </c>
      <c r="K26" s="7">
        <f t="shared" si="6"/>
        <v>2022</v>
      </c>
      <c r="L26" s="7">
        <f t="shared" si="4"/>
        <v>84.96</v>
      </c>
      <c r="M26" s="6" t="str">
        <f t="shared" si="5"/>
        <v>Cheap</v>
      </c>
    </row>
    <row r="27" ht="15.75" customHeight="1">
      <c r="A27" s="4" t="s">
        <v>54</v>
      </c>
      <c r="B27" s="5">
        <v>44670.0</v>
      </c>
      <c r="C27" s="6" t="s">
        <v>14</v>
      </c>
      <c r="D27" s="6" t="s">
        <v>15</v>
      </c>
      <c r="E27" s="6" t="s">
        <v>33</v>
      </c>
      <c r="F27" s="6" t="s">
        <v>34</v>
      </c>
      <c r="G27" s="6">
        <v>134.0</v>
      </c>
      <c r="H27" s="6">
        <v>1.68</v>
      </c>
      <c r="I27" s="7">
        <f t="shared" si="7"/>
        <v>19</v>
      </c>
      <c r="J27" s="7" t="str">
        <f t="shared" si="2"/>
        <v>April</v>
      </c>
      <c r="K27" s="7">
        <f t="shared" si="6"/>
        <v>2022</v>
      </c>
      <c r="L27" s="7">
        <f t="shared" si="4"/>
        <v>225.12</v>
      </c>
      <c r="M27" s="6" t="str">
        <f t="shared" si="5"/>
        <v>Expensive</v>
      </c>
    </row>
    <row r="28" ht="15.75" customHeight="1">
      <c r="A28" s="4" t="s">
        <v>55</v>
      </c>
      <c r="B28" s="5">
        <v>44676.0</v>
      </c>
      <c r="C28" s="6" t="s">
        <v>14</v>
      </c>
      <c r="D28" s="6" t="s">
        <v>23</v>
      </c>
      <c r="E28" s="6" t="s">
        <v>16</v>
      </c>
      <c r="F28" s="6" t="s">
        <v>17</v>
      </c>
      <c r="G28" s="6">
        <v>53.0</v>
      </c>
      <c r="H28" s="6">
        <v>1.77</v>
      </c>
      <c r="I28" s="7">
        <f t="shared" si="7"/>
        <v>25</v>
      </c>
      <c r="J28" s="7" t="str">
        <f t="shared" si="2"/>
        <v>April</v>
      </c>
      <c r="K28" s="7">
        <f t="shared" si="6"/>
        <v>2022</v>
      </c>
      <c r="L28" s="7">
        <f t="shared" si="4"/>
        <v>93.81</v>
      </c>
      <c r="M28" s="6" t="str">
        <f t="shared" si="5"/>
        <v>Cheap</v>
      </c>
    </row>
    <row r="29" ht="15.75" customHeight="1">
      <c r="A29" s="4" t="s">
        <v>56</v>
      </c>
      <c r="B29" s="5">
        <v>44679.0</v>
      </c>
      <c r="C29" s="6" t="s">
        <v>14</v>
      </c>
      <c r="D29" s="6" t="s">
        <v>23</v>
      </c>
      <c r="E29" s="6" t="s">
        <v>33</v>
      </c>
      <c r="F29" s="6" t="s">
        <v>34</v>
      </c>
      <c r="G29" s="6">
        <v>64.0</v>
      </c>
      <c r="H29" s="6">
        <v>1.68</v>
      </c>
      <c r="I29" s="7">
        <f t="shared" si="7"/>
        <v>28</v>
      </c>
      <c r="J29" s="7" t="str">
        <f t="shared" si="2"/>
        <v>April</v>
      </c>
      <c r="K29" s="7">
        <f t="shared" si="6"/>
        <v>2022</v>
      </c>
      <c r="L29" s="7">
        <f t="shared" si="4"/>
        <v>107.52</v>
      </c>
      <c r="M29" s="6" t="str">
        <f t="shared" si="5"/>
        <v>Expensive</v>
      </c>
    </row>
    <row r="30" ht="15.75" customHeight="1">
      <c r="A30" s="4" t="s">
        <v>57</v>
      </c>
      <c r="B30" s="5">
        <v>44685.0</v>
      </c>
      <c r="C30" s="6" t="s">
        <v>14</v>
      </c>
      <c r="D30" s="6" t="s">
        <v>15</v>
      </c>
      <c r="E30" s="6" t="s">
        <v>16</v>
      </c>
      <c r="F30" s="6" t="s">
        <v>49</v>
      </c>
      <c r="G30" s="6">
        <v>105.0</v>
      </c>
      <c r="H30" s="6">
        <v>1.8699999999999999</v>
      </c>
      <c r="I30" s="7">
        <f t="shared" si="7"/>
        <v>4</v>
      </c>
      <c r="J30" s="7" t="str">
        <f t="shared" si="2"/>
        <v>Mei</v>
      </c>
      <c r="K30" s="7">
        <f t="shared" si="6"/>
        <v>2022</v>
      </c>
      <c r="L30" s="7">
        <f t="shared" si="4"/>
        <v>196.35</v>
      </c>
      <c r="M30" s="6" t="str">
        <f t="shared" si="5"/>
        <v>Expensive</v>
      </c>
    </row>
    <row r="31" ht="15.75" customHeight="1">
      <c r="A31" s="4" t="s">
        <v>58</v>
      </c>
      <c r="B31" s="5">
        <v>44688.0</v>
      </c>
      <c r="C31" s="6" t="s">
        <v>14</v>
      </c>
      <c r="D31" s="6" t="s">
        <v>15</v>
      </c>
      <c r="E31" s="6" t="s">
        <v>24</v>
      </c>
      <c r="F31" s="6" t="s">
        <v>42</v>
      </c>
      <c r="G31" s="6">
        <v>138.0</v>
      </c>
      <c r="H31" s="6">
        <v>2.8400000000000003</v>
      </c>
      <c r="I31" s="7">
        <f t="shared" si="7"/>
        <v>7</v>
      </c>
      <c r="J31" s="7" t="str">
        <f t="shared" si="2"/>
        <v>Mei</v>
      </c>
      <c r="K31" s="7">
        <f t="shared" si="6"/>
        <v>2022</v>
      </c>
      <c r="L31" s="7">
        <f t="shared" si="4"/>
        <v>391.92</v>
      </c>
      <c r="M31" s="6" t="str">
        <f t="shared" si="5"/>
        <v>Expensive</v>
      </c>
    </row>
    <row r="32" ht="15.75" customHeight="1">
      <c r="A32" s="4" t="s">
        <v>59</v>
      </c>
      <c r="B32" s="5">
        <v>44697.0</v>
      </c>
      <c r="C32" s="6" t="s">
        <v>14</v>
      </c>
      <c r="D32" s="6" t="s">
        <v>23</v>
      </c>
      <c r="E32" s="6" t="s">
        <v>16</v>
      </c>
      <c r="F32" s="6" t="s">
        <v>17</v>
      </c>
      <c r="G32" s="6">
        <v>61.0</v>
      </c>
      <c r="H32" s="6">
        <v>1.77</v>
      </c>
      <c r="I32" s="7">
        <f t="shared" si="7"/>
        <v>16</v>
      </c>
      <c r="J32" s="7">
        <f t="shared" ref="J32:J254" si="8">MONTH(B32:B275)</f>
        <v>5</v>
      </c>
      <c r="K32" s="7">
        <f t="shared" si="6"/>
        <v>2022</v>
      </c>
      <c r="L32" s="7">
        <f t="shared" si="4"/>
        <v>107.97</v>
      </c>
      <c r="M32" s="6" t="str">
        <f t="shared" si="5"/>
        <v>Expensive</v>
      </c>
    </row>
    <row r="33" ht="15.75" customHeight="1">
      <c r="A33" s="4" t="s">
        <v>60</v>
      </c>
      <c r="B33" s="5">
        <v>44700.0</v>
      </c>
      <c r="C33" s="6" t="s">
        <v>14</v>
      </c>
      <c r="D33" s="6" t="s">
        <v>23</v>
      </c>
      <c r="E33" s="6" t="s">
        <v>33</v>
      </c>
      <c r="F33" s="6" t="s">
        <v>34</v>
      </c>
      <c r="G33" s="6">
        <v>49.0</v>
      </c>
      <c r="H33" s="6">
        <v>1.68</v>
      </c>
      <c r="I33" s="7">
        <f t="shared" si="7"/>
        <v>19</v>
      </c>
      <c r="J33" s="7">
        <f t="shared" si="8"/>
        <v>5</v>
      </c>
      <c r="K33" s="7">
        <f t="shared" si="6"/>
        <v>2022</v>
      </c>
      <c r="L33" s="7">
        <f t="shared" si="4"/>
        <v>82.32</v>
      </c>
      <c r="M33" s="6" t="str">
        <f t="shared" si="5"/>
        <v>Cheap</v>
      </c>
    </row>
    <row r="34" ht="15.75" customHeight="1">
      <c r="A34" s="4" t="s">
        <v>61</v>
      </c>
      <c r="B34" s="5">
        <v>44706.0</v>
      </c>
      <c r="C34" s="6" t="s">
        <v>14</v>
      </c>
      <c r="D34" s="6" t="s">
        <v>15</v>
      </c>
      <c r="E34" s="6" t="s">
        <v>24</v>
      </c>
      <c r="F34" s="6" t="s">
        <v>28</v>
      </c>
      <c r="G34" s="6">
        <v>27.0</v>
      </c>
      <c r="H34" s="6">
        <v>2.18</v>
      </c>
      <c r="I34" s="7">
        <f t="shared" si="7"/>
        <v>25</v>
      </c>
      <c r="J34" s="7">
        <f t="shared" si="8"/>
        <v>5</v>
      </c>
      <c r="K34" s="7">
        <f t="shared" si="6"/>
        <v>2022</v>
      </c>
      <c r="L34" s="7">
        <f t="shared" si="4"/>
        <v>58.86</v>
      </c>
      <c r="M34" s="6" t="str">
        <f t="shared" si="5"/>
        <v>Cheap</v>
      </c>
    </row>
    <row r="35" ht="15.75" customHeight="1">
      <c r="A35" s="4" t="s">
        <v>62</v>
      </c>
      <c r="B35" s="5">
        <v>44709.0</v>
      </c>
      <c r="C35" s="6" t="s">
        <v>14</v>
      </c>
      <c r="D35" s="6" t="s">
        <v>15</v>
      </c>
      <c r="E35" s="6" t="s">
        <v>16</v>
      </c>
      <c r="F35" s="6" t="s">
        <v>17</v>
      </c>
      <c r="G35" s="6">
        <v>58.0</v>
      </c>
      <c r="H35" s="6">
        <v>1.77</v>
      </c>
      <c r="I35" s="7">
        <f t="shared" si="7"/>
        <v>28</v>
      </c>
      <c r="J35" s="7">
        <f t="shared" si="8"/>
        <v>5</v>
      </c>
      <c r="K35" s="7">
        <f t="shared" si="6"/>
        <v>2022</v>
      </c>
      <c r="L35" s="7">
        <f t="shared" si="4"/>
        <v>102.66</v>
      </c>
      <c r="M35" s="6" t="str">
        <f t="shared" si="5"/>
        <v>Expensive</v>
      </c>
    </row>
    <row r="36" ht="15.75" customHeight="1">
      <c r="A36" s="4" t="s">
        <v>63</v>
      </c>
      <c r="B36" s="5">
        <v>44712.0</v>
      </c>
      <c r="C36" s="6" t="s">
        <v>14</v>
      </c>
      <c r="D36" s="6" t="s">
        <v>15</v>
      </c>
      <c r="E36" s="6" t="s">
        <v>19</v>
      </c>
      <c r="F36" s="6" t="s">
        <v>20</v>
      </c>
      <c r="G36" s="6">
        <v>33.0</v>
      </c>
      <c r="H36" s="6">
        <v>3.49</v>
      </c>
      <c r="I36" s="7">
        <f t="shared" si="7"/>
        <v>31</v>
      </c>
      <c r="J36" s="7">
        <f t="shared" si="8"/>
        <v>5</v>
      </c>
      <c r="K36" s="7">
        <f t="shared" si="6"/>
        <v>2022</v>
      </c>
      <c r="L36" s="7">
        <f t="shared" si="4"/>
        <v>115.17</v>
      </c>
      <c r="M36" s="6" t="str">
        <f t="shared" si="5"/>
        <v>Expensive</v>
      </c>
    </row>
    <row r="37" ht="15.75" customHeight="1">
      <c r="A37" s="4" t="s">
        <v>64</v>
      </c>
      <c r="B37" s="5">
        <v>44718.0</v>
      </c>
      <c r="C37" s="6" t="s">
        <v>14</v>
      </c>
      <c r="D37" s="6" t="s">
        <v>23</v>
      </c>
      <c r="E37" s="6" t="s">
        <v>24</v>
      </c>
      <c r="F37" s="6" t="s">
        <v>25</v>
      </c>
      <c r="G37" s="6">
        <v>76.0</v>
      </c>
      <c r="H37" s="6">
        <v>1.87</v>
      </c>
      <c r="I37" s="7">
        <f t="shared" si="7"/>
        <v>6</v>
      </c>
      <c r="J37" s="7">
        <f t="shared" si="8"/>
        <v>6</v>
      </c>
      <c r="K37" s="7">
        <f t="shared" si="6"/>
        <v>2022</v>
      </c>
      <c r="L37" s="7">
        <f t="shared" si="4"/>
        <v>142.12</v>
      </c>
      <c r="M37" s="6" t="str">
        <f t="shared" si="5"/>
        <v>Expensive</v>
      </c>
    </row>
    <row r="38" ht="15.75" customHeight="1">
      <c r="A38" s="4" t="s">
        <v>65</v>
      </c>
      <c r="B38" s="5">
        <v>44727.0</v>
      </c>
      <c r="C38" s="6" t="s">
        <v>14</v>
      </c>
      <c r="D38" s="6" t="s">
        <v>15</v>
      </c>
      <c r="E38" s="6" t="s">
        <v>16</v>
      </c>
      <c r="F38" s="6" t="s">
        <v>17</v>
      </c>
      <c r="G38" s="6">
        <v>75.0</v>
      </c>
      <c r="H38" s="6">
        <v>1.77</v>
      </c>
      <c r="I38" s="7">
        <f t="shared" si="7"/>
        <v>15</v>
      </c>
      <c r="J38" s="7">
        <f t="shared" si="8"/>
        <v>6</v>
      </c>
      <c r="K38" s="7">
        <f t="shared" si="6"/>
        <v>2022</v>
      </c>
      <c r="L38" s="7">
        <f t="shared" si="4"/>
        <v>132.75</v>
      </c>
      <c r="M38" s="6" t="str">
        <f t="shared" si="5"/>
        <v>Expensive</v>
      </c>
    </row>
    <row r="39" ht="15.75" customHeight="1">
      <c r="A39" s="4" t="s">
        <v>66</v>
      </c>
      <c r="B39" s="5">
        <v>44730.0</v>
      </c>
      <c r="C39" s="6" t="s">
        <v>14</v>
      </c>
      <c r="D39" s="6" t="s">
        <v>15</v>
      </c>
      <c r="E39" s="6" t="s">
        <v>19</v>
      </c>
      <c r="F39" s="6" t="s">
        <v>20</v>
      </c>
      <c r="G39" s="6">
        <v>38.0</v>
      </c>
      <c r="H39" s="6">
        <v>3.49</v>
      </c>
      <c r="I39" s="7">
        <f t="shared" si="7"/>
        <v>18</v>
      </c>
      <c r="J39" s="7">
        <f t="shared" si="8"/>
        <v>6</v>
      </c>
      <c r="K39" s="7">
        <f t="shared" si="6"/>
        <v>2022</v>
      </c>
      <c r="L39" s="7">
        <f t="shared" si="4"/>
        <v>132.62</v>
      </c>
      <c r="M39" s="6" t="str">
        <f t="shared" si="5"/>
        <v>Expensive</v>
      </c>
    </row>
    <row r="40" ht="15.75" customHeight="1">
      <c r="A40" s="4" t="s">
        <v>67</v>
      </c>
      <c r="B40" s="5">
        <v>44739.0</v>
      </c>
      <c r="C40" s="6" t="s">
        <v>14</v>
      </c>
      <c r="D40" s="6" t="s">
        <v>23</v>
      </c>
      <c r="E40" s="6" t="s">
        <v>16</v>
      </c>
      <c r="F40" s="6" t="s">
        <v>49</v>
      </c>
      <c r="G40" s="6">
        <v>110.0</v>
      </c>
      <c r="H40" s="6">
        <v>1.8699999999999999</v>
      </c>
      <c r="I40" s="7">
        <f t="shared" si="7"/>
        <v>27</v>
      </c>
      <c r="J40" s="7">
        <f t="shared" si="8"/>
        <v>6</v>
      </c>
      <c r="K40" s="7">
        <f t="shared" si="6"/>
        <v>2022</v>
      </c>
      <c r="L40" s="7">
        <f t="shared" si="4"/>
        <v>205.7</v>
      </c>
      <c r="M40" s="6" t="str">
        <f t="shared" si="5"/>
        <v>Expensive</v>
      </c>
    </row>
    <row r="41" ht="15.75" customHeight="1">
      <c r="A41" s="4" t="s">
        <v>68</v>
      </c>
      <c r="B41" s="5">
        <v>44742.0</v>
      </c>
      <c r="C41" s="6" t="s">
        <v>14</v>
      </c>
      <c r="D41" s="6" t="s">
        <v>23</v>
      </c>
      <c r="E41" s="6" t="s">
        <v>24</v>
      </c>
      <c r="F41" s="6" t="s">
        <v>42</v>
      </c>
      <c r="G41" s="6">
        <v>51.0</v>
      </c>
      <c r="H41" s="6">
        <v>2.84</v>
      </c>
      <c r="I41" s="7">
        <f t="shared" si="7"/>
        <v>30</v>
      </c>
      <c r="J41" s="7">
        <f t="shared" si="8"/>
        <v>6</v>
      </c>
      <c r="K41" s="7">
        <f t="shared" si="6"/>
        <v>2022</v>
      </c>
      <c r="L41" s="7">
        <f t="shared" si="4"/>
        <v>144.84</v>
      </c>
      <c r="M41" s="6" t="str">
        <f t="shared" si="5"/>
        <v>Expensive</v>
      </c>
    </row>
    <row r="42" ht="15.75" customHeight="1">
      <c r="A42" s="4" t="s">
        <v>69</v>
      </c>
      <c r="B42" s="5">
        <v>44751.0</v>
      </c>
      <c r="C42" s="6" t="s">
        <v>14</v>
      </c>
      <c r="D42" s="6" t="s">
        <v>15</v>
      </c>
      <c r="E42" s="6" t="s">
        <v>16</v>
      </c>
      <c r="F42" s="6" t="s">
        <v>17</v>
      </c>
      <c r="G42" s="6">
        <v>136.0</v>
      </c>
      <c r="H42" s="6">
        <v>1.77</v>
      </c>
      <c r="I42" s="7">
        <f t="shared" si="7"/>
        <v>9</v>
      </c>
      <c r="J42" s="7">
        <f t="shared" si="8"/>
        <v>7</v>
      </c>
      <c r="K42" s="7">
        <f t="shared" si="6"/>
        <v>2022</v>
      </c>
      <c r="L42" s="7">
        <f t="shared" si="4"/>
        <v>240.72</v>
      </c>
      <c r="M42" s="6" t="str">
        <f t="shared" si="5"/>
        <v>Expensive</v>
      </c>
    </row>
    <row r="43" ht="15.75" customHeight="1">
      <c r="A43" s="4" t="s">
        <v>70</v>
      </c>
      <c r="B43" s="5">
        <v>44754.0</v>
      </c>
      <c r="C43" s="6" t="s">
        <v>14</v>
      </c>
      <c r="D43" s="6" t="s">
        <v>15</v>
      </c>
      <c r="E43" s="6" t="s">
        <v>19</v>
      </c>
      <c r="F43" s="6" t="s">
        <v>20</v>
      </c>
      <c r="G43" s="6">
        <v>42.0</v>
      </c>
      <c r="H43" s="6">
        <v>3.49</v>
      </c>
      <c r="I43" s="7">
        <f t="shared" si="7"/>
        <v>12</v>
      </c>
      <c r="J43" s="7">
        <f t="shared" si="8"/>
        <v>7</v>
      </c>
      <c r="K43" s="7">
        <f t="shared" si="6"/>
        <v>2022</v>
      </c>
      <c r="L43" s="7">
        <f t="shared" si="4"/>
        <v>146.58</v>
      </c>
      <c r="M43" s="6" t="str">
        <f t="shared" si="5"/>
        <v>Expensive</v>
      </c>
    </row>
    <row r="44" ht="15.75" customHeight="1">
      <c r="A44" s="4" t="s">
        <v>71</v>
      </c>
      <c r="B44" s="5">
        <v>44760.0</v>
      </c>
      <c r="C44" s="6" t="s">
        <v>14</v>
      </c>
      <c r="D44" s="6" t="s">
        <v>23</v>
      </c>
      <c r="E44" s="6" t="s">
        <v>16</v>
      </c>
      <c r="F44" s="6" t="s">
        <v>49</v>
      </c>
      <c r="G44" s="6">
        <v>72.0</v>
      </c>
      <c r="H44" s="6">
        <v>1.8699999999999999</v>
      </c>
      <c r="I44" s="7">
        <f t="shared" si="7"/>
        <v>18</v>
      </c>
      <c r="J44" s="7">
        <f t="shared" si="8"/>
        <v>7</v>
      </c>
      <c r="K44" s="7">
        <f t="shared" si="6"/>
        <v>2022</v>
      </c>
      <c r="L44" s="7">
        <f t="shared" si="4"/>
        <v>134.64</v>
      </c>
      <c r="M44" s="6" t="str">
        <f t="shared" si="5"/>
        <v>Expensive</v>
      </c>
    </row>
    <row r="45" ht="15.75" customHeight="1">
      <c r="A45" s="4" t="s">
        <v>72</v>
      </c>
      <c r="B45" s="5">
        <v>44763.0</v>
      </c>
      <c r="C45" s="6" t="s">
        <v>14</v>
      </c>
      <c r="D45" s="6" t="s">
        <v>23</v>
      </c>
      <c r="E45" s="6" t="s">
        <v>24</v>
      </c>
      <c r="F45" s="6" t="s">
        <v>42</v>
      </c>
      <c r="G45" s="6">
        <v>56.0</v>
      </c>
      <c r="H45" s="6">
        <v>2.84</v>
      </c>
      <c r="I45" s="7">
        <f t="shared" si="7"/>
        <v>21</v>
      </c>
      <c r="J45" s="7">
        <f t="shared" si="8"/>
        <v>7</v>
      </c>
      <c r="K45" s="7">
        <f t="shared" si="6"/>
        <v>2022</v>
      </c>
      <c r="L45" s="7">
        <f t="shared" si="4"/>
        <v>159.04</v>
      </c>
      <c r="M45" s="6" t="str">
        <f t="shared" si="5"/>
        <v>Expensive</v>
      </c>
    </row>
    <row r="46" ht="15.75" customHeight="1">
      <c r="A46" s="4" t="s">
        <v>73</v>
      </c>
      <c r="B46" s="5">
        <v>44772.0</v>
      </c>
      <c r="C46" s="6" t="s">
        <v>14</v>
      </c>
      <c r="D46" s="6" t="s">
        <v>15</v>
      </c>
      <c r="E46" s="6" t="s">
        <v>16</v>
      </c>
      <c r="F46" s="6" t="s">
        <v>49</v>
      </c>
      <c r="G46" s="6">
        <v>56.0</v>
      </c>
      <c r="H46" s="6">
        <v>1.8699999999999999</v>
      </c>
      <c r="I46" s="7">
        <f t="shared" si="7"/>
        <v>30</v>
      </c>
      <c r="J46" s="7">
        <f t="shared" si="8"/>
        <v>7</v>
      </c>
      <c r="K46" s="7">
        <f t="shared" si="6"/>
        <v>2022</v>
      </c>
      <c r="L46" s="7">
        <f t="shared" si="4"/>
        <v>104.72</v>
      </c>
      <c r="M46" s="6" t="str">
        <f t="shared" si="5"/>
        <v>Expensive</v>
      </c>
    </row>
    <row r="47" ht="15.75" customHeight="1">
      <c r="A47" s="4" t="s">
        <v>74</v>
      </c>
      <c r="B47" s="5">
        <v>44775.0</v>
      </c>
      <c r="C47" s="6" t="s">
        <v>14</v>
      </c>
      <c r="D47" s="6" t="s">
        <v>15</v>
      </c>
      <c r="E47" s="6" t="s">
        <v>24</v>
      </c>
      <c r="F47" s="6" t="s">
        <v>42</v>
      </c>
      <c r="G47" s="6">
        <v>137.0</v>
      </c>
      <c r="H47" s="6">
        <v>2.84</v>
      </c>
      <c r="I47" s="7">
        <f t="shared" si="7"/>
        <v>2</v>
      </c>
      <c r="J47" s="7">
        <f t="shared" si="8"/>
        <v>8</v>
      </c>
      <c r="K47" s="7">
        <f t="shared" si="6"/>
        <v>2022</v>
      </c>
      <c r="L47" s="7">
        <f t="shared" si="4"/>
        <v>389.08</v>
      </c>
      <c r="M47" s="6" t="str">
        <f t="shared" si="5"/>
        <v>Expensive</v>
      </c>
    </row>
    <row r="48" ht="15.75" customHeight="1">
      <c r="A48" s="4" t="s">
        <v>75</v>
      </c>
      <c r="B48" s="5">
        <v>44781.0</v>
      </c>
      <c r="C48" s="6" t="s">
        <v>14</v>
      </c>
      <c r="D48" s="6" t="s">
        <v>23</v>
      </c>
      <c r="E48" s="6" t="s">
        <v>16</v>
      </c>
      <c r="F48" s="6" t="s">
        <v>17</v>
      </c>
      <c r="G48" s="6">
        <v>24.0</v>
      </c>
      <c r="H48" s="6">
        <v>1.7699999999999998</v>
      </c>
      <c r="I48" s="7">
        <f t="shared" si="7"/>
        <v>8</v>
      </c>
      <c r="J48" s="7">
        <f t="shared" si="8"/>
        <v>8</v>
      </c>
      <c r="K48" s="7">
        <f t="shared" si="6"/>
        <v>2022</v>
      </c>
      <c r="L48" s="7">
        <f t="shared" si="4"/>
        <v>42.48</v>
      </c>
      <c r="M48" s="6" t="str">
        <f t="shared" si="5"/>
        <v>Cheap</v>
      </c>
    </row>
    <row r="49" ht="15.75" customHeight="1">
      <c r="A49" s="4" t="s">
        <v>76</v>
      </c>
      <c r="B49" s="5">
        <v>44784.0</v>
      </c>
      <c r="C49" s="6" t="s">
        <v>14</v>
      </c>
      <c r="D49" s="6" t="s">
        <v>23</v>
      </c>
      <c r="E49" s="6" t="s">
        <v>19</v>
      </c>
      <c r="F49" s="6" t="s">
        <v>20</v>
      </c>
      <c r="G49" s="6">
        <v>30.0</v>
      </c>
      <c r="H49" s="6">
        <v>3.49</v>
      </c>
      <c r="I49" s="7">
        <f t="shared" si="7"/>
        <v>11</v>
      </c>
      <c r="J49" s="7">
        <f t="shared" si="8"/>
        <v>8</v>
      </c>
      <c r="K49" s="7">
        <f t="shared" si="6"/>
        <v>2022</v>
      </c>
      <c r="L49" s="7">
        <f t="shared" si="4"/>
        <v>104.7</v>
      </c>
      <c r="M49" s="6" t="str">
        <f t="shared" si="5"/>
        <v>Expensive</v>
      </c>
    </row>
    <row r="50" ht="15.75" customHeight="1">
      <c r="A50" s="4" t="s">
        <v>77</v>
      </c>
      <c r="B50" s="5">
        <v>44790.0</v>
      </c>
      <c r="C50" s="6" t="s">
        <v>14</v>
      </c>
      <c r="D50" s="6" t="s">
        <v>15</v>
      </c>
      <c r="E50" s="6" t="s">
        <v>24</v>
      </c>
      <c r="F50" s="6" t="s">
        <v>28</v>
      </c>
      <c r="G50" s="6">
        <v>31.0</v>
      </c>
      <c r="H50" s="6">
        <v>2.18</v>
      </c>
      <c r="I50" s="7">
        <f t="shared" si="7"/>
        <v>17</v>
      </c>
      <c r="J50" s="7">
        <f t="shared" si="8"/>
        <v>8</v>
      </c>
      <c r="K50" s="7">
        <f t="shared" si="6"/>
        <v>2022</v>
      </c>
      <c r="L50" s="7">
        <f t="shared" si="4"/>
        <v>67.58</v>
      </c>
      <c r="M50" s="6" t="str">
        <f t="shared" si="5"/>
        <v>Cheap</v>
      </c>
    </row>
    <row r="51" ht="15.75" customHeight="1">
      <c r="A51" s="4" t="s">
        <v>78</v>
      </c>
      <c r="B51" s="5">
        <v>44793.0</v>
      </c>
      <c r="C51" s="6" t="s">
        <v>14</v>
      </c>
      <c r="D51" s="6" t="s">
        <v>15</v>
      </c>
      <c r="E51" s="6" t="s">
        <v>16</v>
      </c>
      <c r="F51" s="6" t="s">
        <v>17</v>
      </c>
      <c r="G51" s="6">
        <v>109.0</v>
      </c>
      <c r="H51" s="6">
        <v>1.77</v>
      </c>
      <c r="I51" s="7">
        <f t="shared" si="7"/>
        <v>20</v>
      </c>
      <c r="J51" s="7">
        <f t="shared" si="8"/>
        <v>8</v>
      </c>
      <c r="K51" s="7">
        <f t="shared" si="6"/>
        <v>2022</v>
      </c>
      <c r="L51" s="7">
        <f t="shared" si="4"/>
        <v>192.93</v>
      </c>
      <c r="M51" s="6" t="str">
        <f t="shared" si="5"/>
        <v>Expensive</v>
      </c>
    </row>
    <row r="52" ht="15.75" customHeight="1">
      <c r="A52" s="4" t="s">
        <v>79</v>
      </c>
      <c r="B52" s="5">
        <v>44796.0</v>
      </c>
      <c r="C52" s="6" t="s">
        <v>14</v>
      </c>
      <c r="D52" s="6" t="s">
        <v>15</v>
      </c>
      <c r="E52" s="6" t="s">
        <v>19</v>
      </c>
      <c r="F52" s="6" t="s">
        <v>20</v>
      </c>
      <c r="G52" s="6">
        <v>21.0</v>
      </c>
      <c r="H52" s="6">
        <v>3.49</v>
      </c>
      <c r="I52" s="7">
        <f t="shared" si="7"/>
        <v>23</v>
      </c>
      <c r="J52" s="7">
        <f t="shared" si="8"/>
        <v>8</v>
      </c>
      <c r="K52" s="7">
        <f t="shared" si="6"/>
        <v>2022</v>
      </c>
      <c r="L52" s="7">
        <f t="shared" si="4"/>
        <v>73.29</v>
      </c>
      <c r="M52" s="6" t="str">
        <f t="shared" si="5"/>
        <v>Cheap</v>
      </c>
    </row>
    <row r="53" ht="15.75" customHeight="1">
      <c r="A53" s="4" t="s">
        <v>80</v>
      </c>
      <c r="B53" s="5">
        <v>44802.0</v>
      </c>
      <c r="C53" s="6" t="s">
        <v>14</v>
      </c>
      <c r="D53" s="6" t="s">
        <v>23</v>
      </c>
      <c r="E53" s="6" t="s">
        <v>16</v>
      </c>
      <c r="F53" s="6" t="s">
        <v>49</v>
      </c>
      <c r="G53" s="6">
        <v>75.0</v>
      </c>
      <c r="H53" s="6">
        <v>1.87</v>
      </c>
      <c r="I53" s="7">
        <f t="shared" si="7"/>
        <v>29</v>
      </c>
      <c r="J53" s="7">
        <f t="shared" si="8"/>
        <v>8</v>
      </c>
      <c r="K53" s="7">
        <f t="shared" si="6"/>
        <v>2022</v>
      </c>
      <c r="L53" s="7">
        <f t="shared" si="4"/>
        <v>140.25</v>
      </c>
      <c r="M53" s="6" t="str">
        <f t="shared" si="5"/>
        <v>Expensive</v>
      </c>
    </row>
    <row r="54" ht="15.75" customHeight="1">
      <c r="A54" s="4" t="s">
        <v>81</v>
      </c>
      <c r="B54" s="5">
        <v>44805.0</v>
      </c>
      <c r="C54" s="6" t="s">
        <v>14</v>
      </c>
      <c r="D54" s="6" t="s">
        <v>23</v>
      </c>
      <c r="E54" s="6" t="s">
        <v>24</v>
      </c>
      <c r="F54" s="6" t="s">
        <v>42</v>
      </c>
      <c r="G54" s="6">
        <v>74.0</v>
      </c>
      <c r="H54" s="6">
        <v>2.84</v>
      </c>
      <c r="I54" s="7">
        <f t="shared" si="7"/>
        <v>1</v>
      </c>
      <c r="J54" s="7">
        <f t="shared" si="8"/>
        <v>9</v>
      </c>
      <c r="K54" s="7">
        <f t="shared" si="6"/>
        <v>2022</v>
      </c>
      <c r="L54" s="7">
        <f t="shared" si="4"/>
        <v>210.16</v>
      </c>
      <c r="M54" s="6" t="str">
        <f t="shared" si="5"/>
        <v>Expensive</v>
      </c>
    </row>
    <row r="55" ht="15.75" customHeight="1">
      <c r="A55" s="4" t="s">
        <v>82</v>
      </c>
      <c r="B55" s="5">
        <v>44811.0</v>
      </c>
      <c r="C55" s="6" t="s">
        <v>14</v>
      </c>
      <c r="D55" s="6" t="s">
        <v>15</v>
      </c>
      <c r="E55" s="6" t="s">
        <v>24</v>
      </c>
      <c r="F55" s="6" t="s">
        <v>28</v>
      </c>
      <c r="G55" s="6">
        <v>28.0</v>
      </c>
      <c r="H55" s="6">
        <v>2.18</v>
      </c>
      <c r="I55" s="7">
        <f t="shared" si="7"/>
        <v>7</v>
      </c>
      <c r="J55" s="7">
        <f t="shared" si="8"/>
        <v>9</v>
      </c>
      <c r="K55" s="7">
        <f t="shared" si="6"/>
        <v>2022</v>
      </c>
      <c r="L55" s="7">
        <f t="shared" si="4"/>
        <v>61.04</v>
      </c>
      <c r="M55" s="6" t="str">
        <f t="shared" si="5"/>
        <v>Cheap</v>
      </c>
    </row>
    <row r="56" ht="15.75" customHeight="1">
      <c r="A56" s="4" t="s">
        <v>83</v>
      </c>
      <c r="B56" s="5">
        <v>44814.0</v>
      </c>
      <c r="C56" s="6" t="s">
        <v>14</v>
      </c>
      <c r="D56" s="6" t="s">
        <v>15</v>
      </c>
      <c r="E56" s="6" t="s">
        <v>16</v>
      </c>
      <c r="F56" s="6" t="s">
        <v>17</v>
      </c>
      <c r="G56" s="6">
        <v>143.0</v>
      </c>
      <c r="H56" s="6">
        <v>1.77</v>
      </c>
      <c r="I56" s="7">
        <f t="shared" si="7"/>
        <v>10</v>
      </c>
      <c r="J56" s="7">
        <f t="shared" si="8"/>
        <v>9</v>
      </c>
      <c r="K56" s="7">
        <f t="shared" si="6"/>
        <v>2022</v>
      </c>
      <c r="L56" s="7">
        <f t="shared" si="4"/>
        <v>253.11</v>
      </c>
      <c r="M56" s="6" t="str">
        <f t="shared" si="5"/>
        <v>Expensive</v>
      </c>
    </row>
    <row r="57" ht="15.75" customHeight="1">
      <c r="A57" s="4" t="s">
        <v>84</v>
      </c>
      <c r="B57" s="5">
        <v>44817.0</v>
      </c>
      <c r="C57" s="6" t="s">
        <v>14</v>
      </c>
      <c r="D57" s="6" t="s">
        <v>15</v>
      </c>
      <c r="E57" s="6" t="s">
        <v>33</v>
      </c>
      <c r="F57" s="6" t="s">
        <v>85</v>
      </c>
      <c r="G57" s="6">
        <v>27.0</v>
      </c>
      <c r="H57" s="6">
        <v>3.15</v>
      </c>
      <c r="I57" s="7">
        <f t="shared" si="7"/>
        <v>13</v>
      </c>
      <c r="J57" s="7">
        <f t="shared" si="8"/>
        <v>9</v>
      </c>
      <c r="K57" s="7">
        <f t="shared" si="6"/>
        <v>2022</v>
      </c>
      <c r="L57" s="7">
        <f t="shared" si="4"/>
        <v>85.05</v>
      </c>
      <c r="M57" s="6" t="str">
        <f t="shared" si="5"/>
        <v>Cheap</v>
      </c>
    </row>
    <row r="58" ht="15.75" customHeight="1">
      <c r="A58" s="4" t="s">
        <v>86</v>
      </c>
      <c r="B58" s="5">
        <v>44823.0</v>
      </c>
      <c r="C58" s="6" t="s">
        <v>14</v>
      </c>
      <c r="D58" s="6" t="s">
        <v>23</v>
      </c>
      <c r="E58" s="6" t="s">
        <v>24</v>
      </c>
      <c r="F58" s="6" t="s">
        <v>28</v>
      </c>
      <c r="G58" s="6">
        <v>110.0</v>
      </c>
      <c r="H58" s="6">
        <v>2.18</v>
      </c>
      <c r="I58" s="7">
        <f t="shared" si="7"/>
        <v>19</v>
      </c>
      <c r="J58" s="7">
        <f t="shared" si="8"/>
        <v>9</v>
      </c>
      <c r="K58" s="7">
        <f t="shared" si="6"/>
        <v>2022</v>
      </c>
      <c r="L58" s="7">
        <f t="shared" si="4"/>
        <v>239.8</v>
      </c>
      <c r="M58" s="6" t="str">
        <f t="shared" si="5"/>
        <v>Expensive</v>
      </c>
    </row>
    <row r="59" ht="15.75" customHeight="1">
      <c r="A59" s="4" t="s">
        <v>87</v>
      </c>
      <c r="B59" s="5">
        <v>44826.0</v>
      </c>
      <c r="C59" s="6" t="s">
        <v>14</v>
      </c>
      <c r="D59" s="6" t="s">
        <v>23</v>
      </c>
      <c r="E59" s="6" t="s">
        <v>24</v>
      </c>
      <c r="F59" s="6" t="s">
        <v>25</v>
      </c>
      <c r="G59" s="6">
        <v>65.0</v>
      </c>
      <c r="H59" s="6">
        <v>1.8699999999999999</v>
      </c>
      <c r="I59" s="7">
        <f t="shared" si="7"/>
        <v>22</v>
      </c>
      <c r="J59" s="7">
        <f t="shared" si="8"/>
        <v>9</v>
      </c>
      <c r="K59" s="7">
        <f t="shared" si="6"/>
        <v>2022</v>
      </c>
      <c r="L59" s="7">
        <f t="shared" si="4"/>
        <v>121.55</v>
      </c>
      <c r="M59" s="6" t="str">
        <f t="shared" si="5"/>
        <v>Expensive</v>
      </c>
    </row>
    <row r="60" ht="15.75" customHeight="1">
      <c r="A60" s="4" t="s">
        <v>88</v>
      </c>
      <c r="B60" s="5">
        <v>44832.0</v>
      </c>
      <c r="C60" s="6" t="s">
        <v>14</v>
      </c>
      <c r="D60" s="6" t="s">
        <v>15</v>
      </c>
      <c r="E60" s="6" t="s">
        <v>24</v>
      </c>
      <c r="F60" s="6" t="s">
        <v>28</v>
      </c>
      <c r="G60" s="6">
        <v>81.0</v>
      </c>
      <c r="H60" s="6">
        <v>2.18</v>
      </c>
      <c r="I60" s="7">
        <f t="shared" si="7"/>
        <v>28</v>
      </c>
      <c r="J60" s="7">
        <f t="shared" si="8"/>
        <v>9</v>
      </c>
      <c r="K60" s="7">
        <f t="shared" si="6"/>
        <v>2022</v>
      </c>
      <c r="L60" s="7">
        <f t="shared" si="4"/>
        <v>176.58</v>
      </c>
      <c r="M60" s="6" t="str">
        <f t="shared" si="5"/>
        <v>Expensive</v>
      </c>
    </row>
    <row r="61" ht="15.75" customHeight="1">
      <c r="A61" s="4" t="s">
        <v>89</v>
      </c>
      <c r="B61" s="5">
        <v>44835.0</v>
      </c>
      <c r="C61" s="6" t="s">
        <v>14</v>
      </c>
      <c r="D61" s="6" t="s">
        <v>15</v>
      </c>
      <c r="E61" s="6" t="s">
        <v>16</v>
      </c>
      <c r="F61" s="6" t="s">
        <v>17</v>
      </c>
      <c r="G61" s="6">
        <v>77.0</v>
      </c>
      <c r="H61" s="6">
        <v>1.7699999999999998</v>
      </c>
      <c r="I61" s="7">
        <f t="shared" si="7"/>
        <v>1</v>
      </c>
      <c r="J61" s="7">
        <f t="shared" si="8"/>
        <v>10</v>
      </c>
      <c r="K61" s="7">
        <f t="shared" si="6"/>
        <v>2022</v>
      </c>
      <c r="L61" s="7">
        <f t="shared" si="4"/>
        <v>136.29</v>
      </c>
      <c r="M61" s="6" t="str">
        <f t="shared" si="5"/>
        <v>Expensive</v>
      </c>
    </row>
    <row r="62" ht="15.75" customHeight="1">
      <c r="A62" s="4" t="s">
        <v>90</v>
      </c>
      <c r="B62" s="5">
        <v>44838.0</v>
      </c>
      <c r="C62" s="6" t="s">
        <v>14</v>
      </c>
      <c r="D62" s="6" t="s">
        <v>15</v>
      </c>
      <c r="E62" s="6" t="s">
        <v>19</v>
      </c>
      <c r="F62" s="6" t="s">
        <v>20</v>
      </c>
      <c r="G62" s="6">
        <v>38.0</v>
      </c>
      <c r="H62" s="6">
        <v>3.49</v>
      </c>
      <c r="I62" s="7">
        <f t="shared" si="7"/>
        <v>4</v>
      </c>
      <c r="J62" s="7">
        <f t="shared" si="8"/>
        <v>10</v>
      </c>
      <c r="K62" s="7">
        <f t="shared" si="6"/>
        <v>2022</v>
      </c>
      <c r="L62" s="7">
        <f t="shared" si="4"/>
        <v>132.62</v>
      </c>
      <c r="M62" s="6" t="str">
        <f t="shared" si="5"/>
        <v>Expensive</v>
      </c>
    </row>
    <row r="63" ht="15.75" customHeight="1">
      <c r="A63" s="4" t="s">
        <v>91</v>
      </c>
      <c r="B63" s="5">
        <v>44847.0</v>
      </c>
      <c r="C63" s="6" t="s">
        <v>14</v>
      </c>
      <c r="D63" s="6" t="s">
        <v>23</v>
      </c>
      <c r="E63" s="6" t="s">
        <v>24</v>
      </c>
      <c r="F63" s="6" t="s">
        <v>28</v>
      </c>
      <c r="G63" s="6">
        <v>224.0</v>
      </c>
      <c r="H63" s="6">
        <v>2.18</v>
      </c>
      <c r="I63" s="7">
        <f t="shared" si="7"/>
        <v>13</v>
      </c>
      <c r="J63" s="7">
        <f t="shared" si="8"/>
        <v>10</v>
      </c>
      <c r="K63" s="7">
        <f t="shared" si="6"/>
        <v>2022</v>
      </c>
      <c r="L63" s="7">
        <f t="shared" si="4"/>
        <v>488.32</v>
      </c>
      <c r="M63" s="6" t="str">
        <f t="shared" si="5"/>
        <v>Expensive</v>
      </c>
    </row>
    <row r="64" ht="15.75" customHeight="1">
      <c r="A64" s="4" t="s">
        <v>92</v>
      </c>
      <c r="B64" s="5">
        <v>44850.0</v>
      </c>
      <c r="C64" s="6" t="s">
        <v>14</v>
      </c>
      <c r="D64" s="6" t="s">
        <v>23</v>
      </c>
      <c r="E64" s="6" t="s">
        <v>16</v>
      </c>
      <c r="F64" s="6" t="s">
        <v>17</v>
      </c>
      <c r="G64" s="6">
        <v>141.0</v>
      </c>
      <c r="H64" s="6">
        <v>1.77</v>
      </c>
      <c r="I64" s="7">
        <f t="shared" si="7"/>
        <v>16</v>
      </c>
      <c r="J64" s="7">
        <f t="shared" si="8"/>
        <v>10</v>
      </c>
      <c r="K64" s="7">
        <f t="shared" si="6"/>
        <v>2022</v>
      </c>
      <c r="L64" s="7">
        <f t="shared" si="4"/>
        <v>249.57</v>
      </c>
      <c r="M64" s="6" t="str">
        <f t="shared" si="5"/>
        <v>Expensive</v>
      </c>
    </row>
    <row r="65" ht="15.75" customHeight="1">
      <c r="A65" s="4" t="s">
        <v>93</v>
      </c>
      <c r="B65" s="5">
        <v>44853.0</v>
      </c>
      <c r="C65" s="6" t="s">
        <v>14</v>
      </c>
      <c r="D65" s="6" t="s">
        <v>23</v>
      </c>
      <c r="E65" s="6" t="s">
        <v>19</v>
      </c>
      <c r="F65" s="6" t="s">
        <v>20</v>
      </c>
      <c r="G65" s="6">
        <v>32.0</v>
      </c>
      <c r="H65" s="6">
        <v>3.49</v>
      </c>
      <c r="I65" s="7">
        <f t="shared" si="7"/>
        <v>19</v>
      </c>
      <c r="J65" s="7">
        <f t="shared" si="8"/>
        <v>10</v>
      </c>
      <c r="K65" s="7">
        <f t="shared" si="6"/>
        <v>2022</v>
      </c>
      <c r="L65" s="7">
        <f t="shared" si="4"/>
        <v>111.68</v>
      </c>
      <c r="M65" s="6" t="str">
        <f t="shared" si="5"/>
        <v>Expensive</v>
      </c>
    </row>
    <row r="66" ht="15.75" customHeight="1">
      <c r="A66" s="4" t="s">
        <v>94</v>
      </c>
      <c r="B66" s="5">
        <v>44859.0</v>
      </c>
      <c r="C66" s="6" t="s">
        <v>14</v>
      </c>
      <c r="D66" s="6" t="s">
        <v>15</v>
      </c>
      <c r="E66" s="6" t="s">
        <v>24</v>
      </c>
      <c r="F66" s="6" t="s">
        <v>28</v>
      </c>
      <c r="G66" s="6">
        <v>40.0</v>
      </c>
      <c r="H66" s="6">
        <v>2.18</v>
      </c>
      <c r="I66" s="7">
        <f t="shared" si="7"/>
        <v>25</v>
      </c>
      <c r="J66" s="7">
        <f t="shared" si="8"/>
        <v>10</v>
      </c>
      <c r="K66" s="7">
        <f t="shared" si="6"/>
        <v>2022</v>
      </c>
      <c r="L66" s="7">
        <f t="shared" si="4"/>
        <v>87.2</v>
      </c>
      <c r="M66" s="6" t="str">
        <f t="shared" si="5"/>
        <v>Cheap</v>
      </c>
    </row>
    <row r="67" ht="15.75" customHeight="1">
      <c r="A67" s="4" t="s">
        <v>95</v>
      </c>
      <c r="B67" s="5">
        <v>44862.0</v>
      </c>
      <c r="C67" s="6" t="s">
        <v>14</v>
      </c>
      <c r="D67" s="6" t="s">
        <v>15</v>
      </c>
      <c r="E67" s="6" t="s">
        <v>24</v>
      </c>
      <c r="F67" s="6" t="s">
        <v>25</v>
      </c>
      <c r="G67" s="6">
        <v>49.0</v>
      </c>
      <c r="H67" s="6">
        <v>1.8699999999999999</v>
      </c>
      <c r="I67" s="7">
        <f t="shared" si="7"/>
        <v>28</v>
      </c>
      <c r="J67" s="7">
        <f t="shared" si="8"/>
        <v>10</v>
      </c>
      <c r="K67" s="7">
        <f t="shared" si="6"/>
        <v>2022</v>
      </c>
      <c r="L67" s="7">
        <f t="shared" si="4"/>
        <v>91.63</v>
      </c>
      <c r="M67" s="6" t="str">
        <f t="shared" si="5"/>
        <v>Cheap</v>
      </c>
    </row>
    <row r="68" ht="15.75" customHeight="1">
      <c r="A68" s="4" t="s">
        <v>96</v>
      </c>
      <c r="B68" s="5">
        <v>44865.0</v>
      </c>
      <c r="C68" s="6" t="s">
        <v>14</v>
      </c>
      <c r="D68" s="6" t="s">
        <v>15</v>
      </c>
      <c r="E68" s="6" t="s">
        <v>19</v>
      </c>
      <c r="F68" s="6" t="s">
        <v>20</v>
      </c>
      <c r="G68" s="6">
        <v>46.0</v>
      </c>
      <c r="H68" s="6">
        <v>3.4899999999999998</v>
      </c>
      <c r="I68" s="7">
        <f t="shared" si="7"/>
        <v>31</v>
      </c>
      <c r="J68" s="7">
        <f t="shared" si="8"/>
        <v>10</v>
      </c>
      <c r="K68" s="7">
        <f t="shared" si="6"/>
        <v>2022</v>
      </c>
      <c r="L68" s="7">
        <f t="shared" si="4"/>
        <v>160.54</v>
      </c>
      <c r="M68" s="6" t="str">
        <f t="shared" si="5"/>
        <v>Expensive</v>
      </c>
    </row>
    <row r="69" ht="15.75" customHeight="1">
      <c r="A69" s="4" t="s">
        <v>97</v>
      </c>
      <c r="B69" s="5">
        <v>44874.0</v>
      </c>
      <c r="C69" s="6" t="s">
        <v>14</v>
      </c>
      <c r="D69" s="6" t="s">
        <v>23</v>
      </c>
      <c r="E69" s="6" t="s">
        <v>16</v>
      </c>
      <c r="F69" s="6" t="s">
        <v>17</v>
      </c>
      <c r="G69" s="6">
        <v>90.0</v>
      </c>
      <c r="H69" s="6">
        <v>1.77</v>
      </c>
      <c r="I69" s="7">
        <f t="shared" si="7"/>
        <v>9</v>
      </c>
      <c r="J69" s="7">
        <f t="shared" si="8"/>
        <v>11</v>
      </c>
      <c r="K69" s="7">
        <f t="shared" si="6"/>
        <v>2022</v>
      </c>
      <c r="L69" s="7">
        <f t="shared" si="4"/>
        <v>159.3</v>
      </c>
      <c r="M69" s="6" t="str">
        <f t="shared" si="5"/>
        <v>Expensive</v>
      </c>
    </row>
    <row r="70" ht="15.75" customHeight="1">
      <c r="A70" s="4" t="s">
        <v>98</v>
      </c>
      <c r="B70" s="5">
        <v>44883.0</v>
      </c>
      <c r="C70" s="6" t="s">
        <v>14</v>
      </c>
      <c r="D70" s="6" t="s">
        <v>15</v>
      </c>
      <c r="E70" s="6" t="s">
        <v>16</v>
      </c>
      <c r="F70" s="6" t="s">
        <v>49</v>
      </c>
      <c r="G70" s="6">
        <v>66.0</v>
      </c>
      <c r="H70" s="6">
        <v>1.87</v>
      </c>
      <c r="I70" s="7">
        <f t="shared" si="7"/>
        <v>18</v>
      </c>
      <c r="J70" s="7">
        <f t="shared" si="8"/>
        <v>11</v>
      </c>
      <c r="K70" s="7">
        <f t="shared" si="6"/>
        <v>2022</v>
      </c>
      <c r="L70" s="7">
        <f t="shared" si="4"/>
        <v>123.42</v>
      </c>
      <c r="M70" s="6" t="str">
        <f t="shared" si="5"/>
        <v>Expensive</v>
      </c>
    </row>
    <row r="71" ht="15.75" customHeight="1">
      <c r="A71" s="4" t="s">
        <v>99</v>
      </c>
      <c r="B71" s="5">
        <v>44886.0</v>
      </c>
      <c r="C71" s="6" t="s">
        <v>14</v>
      </c>
      <c r="D71" s="6" t="s">
        <v>15</v>
      </c>
      <c r="E71" s="6" t="s">
        <v>24</v>
      </c>
      <c r="F71" s="6" t="s">
        <v>42</v>
      </c>
      <c r="G71" s="6">
        <v>97.0</v>
      </c>
      <c r="H71" s="6">
        <v>2.8400000000000003</v>
      </c>
      <c r="I71" s="7">
        <f t="shared" si="7"/>
        <v>21</v>
      </c>
      <c r="J71" s="7">
        <f t="shared" si="8"/>
        <v>11</v>
      </c>
      <c r="K71" s="7">
        <f t="shared" si="6"/>
        <v>2022</v>
      </c>
      <c r="L71" s="7">
        <f t="shared" si="4"/>
        <v>275.48</v>
      </c>
      <c r="M71" s="6" t="str">
        <f t="shared" si="5"/>
        <v>Expensive</v>
      </c>
    </row>
    <row r="72" ht="15.75" customHeight="1">
      <c r="A72" s="4" t="s">
        <v>100</v>
      </c>
      <c r="B72" s="5">
        <v>44895.0</v>
      </c>
      <c r="C72" s="6" t="s">
        <v>14</v>
      </c>
      <c r="D72" s="6" t="s">
        <v>23</v>
      </c>
      <c r="E72" s="6" t="s">
        <v>16</v>
      </c>
      <c r="F72" s="6" t="s">
        <v>17</v>
      </c>
      <c r="G72" s="6">
        <v>92.0</v>
      </c>
      <c r="H72" s="6">
        <v>1.77</v>
      </c>
      <c r="I72" s="7">
        <f t="shared" si="7"/>
        <v>30</v>
      </c>
      <c r="J72" s="7">
        <f t="shared" si="8"/>
        <v>11</v>
      </c>
      <c r="K72" s="7">
        <f t="shared" si="6"/>
        <v>2022</v>
      </c>
      <c r="L72" s="7">
        <f t="shared" si="4"/>
        <v>162.84</v>
      </c>
      <c r="M72" s="6" t="str">
        <f t="shared" si="5"/>
        <v>Expensive</v>
      </c>
    </row>
    <row r="73" ht="15.75" customHeight="1">
      <c r="A73" s="4" t="s">
        <v>101</v>
      </c>
      <c r="B73" s="5">
        <v>44904.0</v>
      </c>
      <c r="C73" s="6" t="s">
        <v>14</v>
      </c>
      <c r="D73" s="6" t="s">
        <v>15</v>
      </c>
      <c r="E73" s="6" t="s">
        <v>16</v>
      </c>
      <c r="F73" s="6" t="s">
        <v>102</v>
      </c>
      <c r="G73" s="6">
        <v>30.0</v>
      </c>
      <c r="H73" s="6">
        <v>2.27</v>
      </c>
      <c r="I73" s="7">
        <f t="shared" si="7"/>
        <v>9</v>
      </c>
      <c r="J73" s="7">
        <f t="shared" si="8"/>
        <v>12</v>
      </c>
      <c r="K73" s="7">
        <f t="shared" si="6"/>
        <v>2022</v>
      </c>
      <c r="L73" s="7">
        <f t="shared" si="4"/>
        <v>68.1</v>
      </c>
      <c r="M73" s="6" t="str">
        <f t="shared" si="5"/>
        <v>Cheap</v>
      </c>
    </row>
    <row r="74" ht="15.75" customHeight="1">
      <c r="A74" s="4" t="s">
        <v>103</v>
      </c>
      <c r="B74" s="5">
        <v>44907.0</v>
      </c>
      <c r="C74" s="6" t="s">
        <v>14</v>
      </c>
      <c r="D74" s="6" t="s">
        <v>15</v>
      </c>
      <c r="E74" s="6" t="s">
        <v>24</v>
      </c>
      <c r="F74" s="6" t="s">
        <v>25</v>
      </c>
      <c r="G74" s="6">
        <v>36.0</v>
      </c>
      <c r="H74" s="6">
        <v>1.8699999999999999</v>
      </c>
      <c r="I74" s="7">
        <f t="shared" si="7"/>
        <v>12</v>
      </c>
      <c r="J74" s="7">
        <f t="shared" si="8"/>
        <v>12</v>
      </c>
      <c r="K74" s="7">
        <f t="shared" si="6"/>
        <v>2022</v>
      </c>
      <c r="L74" s="7">
        <f t="shared" si="4"/>
        <v>67.32</v>
      </c>
      <c r="M74" s="6" t="str">
        <f t="shared" si="5"/>
        <v>Cheap</v>
      </c>
    </row>
    <row r="75" ht="15.75" customHeight="1">
      <c r="A75" s="4" t="s">
        <v>104</v>
      </c>
      <c r="B75" s="5">
        <v>44910.0</v>
      </c>
      <c r="C75" s="6" t="s">
        <v>14</v>
      </c>
      <c r="D75" s="6" t="s">
        <v>15</v>
      </c>
      <c r="E75" s="6" t="s">
        <v>19</v>
      </c>
      <c r="F75" s="6" t="s">
        <v>20</v>
      </c>
      <c r="G75" s="6">
        <v>41.0</v>
      </c>
      <c r="H75" s="6">
        <v>3.49</v>
      </c>
      <c r="I75" s="7">
        <f t="shared" si="7"/>
        <v>15</v>
      </c>
      <c r="J75" s="7">
        <f t="shared" si="8"/>
        <v>12</v>
      </c>
      <c r="K75" s="7">
        <f t="shared" si="6"/>
        <v>2022</v>
      </c>
      <c r="L75" s="7">
        <f t="shared" si="4"/>
        <v>143.09</v>
      </c>
      <c r="M75" s="6" t="str">
        <f t="shared" si="5"/>
        <v>Expensive</v>
      </c>
    </row>
    <row r="76" ht="15.75" customHeight="1">
      <c r="A76" s="4" t="s">
        <v>105</v>
      </c>
      <c r="B76" s="5">
        <v>44919.0</v>
      </c>
      <c r="C76" s="6" t="s">
        <v>14</v>
      </c>
      <c r="D76" s="6" t="s">
        <v>23</v>
      </c>
      <c r="E76" s="6" t="s">
        <v>24</v>
      </c>
      <c r="F76" s="6" t="s">
        <v>28</v>
      </c>
      <c r="G76" s="6">
        <v>237.0</v>
      </c>
      <c r="H76" s="6">
        <v>2.1799999999999997</v>
      </c>
      <c r="I76" s="7">
        <f t="shared" si="7"/>
        <v>24</v>
      </c>
      <c r="J76" s="7">
        <f t="shared" si="8"/>
        <v>12</v>
      </c>
      <c r="K76" s="7">
        <f t="shared" si="6"/>
        <v>2022</v>
      </c>
      <c r="L76" s="7">
        <f t="shared" si="4"/>
        <v>516.66</v>
      </c>
      <c r="M76" s="6" t="str">
        <f t="shared" si="5"/>
        <v>Expensive</v>
      </c>
    </row>
    <row r="77" ht="15.75" customHeight="1">
      <c r="A77" s="4" t="s">
        <v>106</v>
      </c>
      <c r="B77" s="5">
        <v>44922.0</v>
      </c>
      <c r="C77" s="6" t="s">
        <v>14</v>
      </c>
      <c r="D77" s="6" t="s">
        <v>23</v>
      </c>
      <c r="E77" s="6" t="s">
        <v>24</v>
      </c>
      <c r="F77" s="6" t="s">
        <v>25</v>
      </c>
      <c r="G77" s="6">
        <v>65.0</v>
      </c>
      <c r="H77" s="6">
        <v>1.8699999999999999</v>
      </c>
      <c r="I77" s="7">
        <f t="shared" si="7"/>
        <v>27</v>
      </c>
      <c r="J77" s="7">
        <f t="shared" si="8"/>
        <v>12</v>
      </c>
      <c r="K77" s="7">
        <f t="shared" si="6"/>
        <v>2022</v>
      </c>
      <c r="L77" s="7">
        <f t="shared" si="4"/>
        <v>121.55</v>
      </c>
      <c r="M77" s="6" t="str">
        <f t="shared" si="5"/>
        <v>Expensive</v>
      </c>
    </row>
    <row r="78" ht="15.75" customHeight="1">
      <c r="A78" s="4" t="s">
        <v>107</v>
      </c>
      <c r="B78" s="5">
        <v>44928.0</v>
      </c>
      <c r="C78" s="6" t="s">
        <v>14</v>
      </c>
      <c r="D78" s="6" t="s">
        <v>15</v>
      </c>
      <c r="E78" s="6" t="s">
        <v>24</v>
      </c>
      <c r="F78" s="6" t="s">
        <v>28</v>
      </c>
      <c r="G78" s="6">
        <v>32.0</v>
      </c>
      <c r="H78" s="6">
        <v>2.18</v>
      </c>
      <c r="I78" s="7">
        <f t="shared" si="7"/>
        <v>2</v>
      </c>
      <c r="J78" s="7">
        <f t="shared" si="8"/>
        <v>1</v>
      </c>
      <c r="K78" s="7">
        <f t="shared" si="6"/>
        <v>2023</v>
      </c>
      <c r="L78" s="7">
        <f t="shared" si="4"/>
        <v>69.76</v>
      </c>
      <c r="M78" s="6" t="str">
        <f t="shared" si="5"/>
        <v>Cheap</v>
      </c>
    </row>
    <row r="79" ht="15.75" customHeight="1">
      <c r="A79" s="4" t="s">
        <v>108</v>
      </c>
      <c r="B79" s="5">
        <v>44931.0</v>
      </c>
      <c r="C79" s="6" t="s">
        <v>14</v>
      </c>
      <c r="D79" s="6" t="s">
        <v>15</v>
      </c>
      <c r="E79" s="6" t="s">
        <v>16</v>
      </c>
      <c r="F79" s="6" t="s">
        <v>17</v>
      </c>
      <c r="G79" s="6">
        <v>63.0</v>
      </c>
      <c r="H79" s="6">
        <v>1.77</v>
      </c>
      <c r="I79" s="7">
        <f t="shared" si="7"/>
        <v>5</v>
      </c>
      <c r="J79" s="7">
        <f t="shared" si="8"/>
        <v>1</v>
      </c>
      <c r="K79" s="7">
        <f t="shared" si="6"/>
        <v>2023</v>
      </c>
      <c r="L79" s="7">
        <f t="shared" si="4"/>
        <v>111.51</v>
      </c>
      <c r="M79" s="6" t="str">
        <f t="shared" si="5"/>
        <v>Expensive</v>
      </c>
    </row>
    <row r="80" ht="15.75" customHeight="1">
      <c r="A80" s="4" t="s">
        <v>109</v>
      </c>
      <c r="B80" s="5">
        <v>44934.0</v>
      </c>
      <c r="C80" s="6" t="s">
        <v>14</v>
      </c>
      <c r="D80" s="6" t="s">
        <v>15</v>
      </c>
      <c r="E80" s="6" t="s">
        <v>33</v>
      </c>
      <c r="F80" s="6" t="s">
        <v>85</v>
      </c>
      <c r="G80" s="6">
        <v>29.0</v>
      </c>
      <c r="H80" s="6">
        <v>3.15</v>
      </c>
      <c r="I80" s="7">
        <f t="shared" si="7"/>
        <v>8</v>
      </c>
      <c r="J80" s="7">
        <f t="shared" si="8"/>
        <v>1</v>
      </c>
      <c r="K80" s="7">
        <f t="shared" si="6"/>
        <v>2023</v>
      </c>
      <c r="L80" s="7">
        <f t="shared" si="4"/>
        <v>91.35</v>
      </c>
      <c r="M80" s="6" t="str">
        <f t="shared" si="5"/>
        <v>Cheap</v>
      </c>
    </row>
    <row r="81" ht="15.75" customHeight="1">
      <c r="A81" s="4" t="s">
        <v>110</v>
      </c>
      <c r="B81" s="5">
        <v>44943.0</v>
      </c>
      <c r="C81" s="6" t="s">
        <v>14</v>
      </c>
      <c r="D81" s="6" t="s">
        <v>23</v>
      </c>
      <c r="E81" s="6" t="s">
        <v>16</v>
      </c>
      <c r="F81" s="6" t="s">
        <v>17</v>
      </c>
      <c r="G81" s="6">
        <v>102.0</v>
      </c>
      <c r="H81" s="6">
        <v>1.77</v>
      </c>
      <c r="I81" s="7">
        <f t="shared" si="7"/>
        <v>17</v>
      </c>
      <c r="J81" s="7">
        <f t="shared" si="8"/>
        <v>1</v>
      </c>
      <c r="K81" s="7">
        <f t="shared" si="6"/>
        <v>2023</v>
      </c>
      <c r="L81" s="7">
        <f t="shared" si="4"/>
        <v>180.54</v>
      </c>
      <c r="M81" s="6" t="str">
        <f t="shared" si="5"/>
        <v>Expensive</v>
      </c>
    </row>
    <row r="82" ht="15.75" customHeight="1">
      <c r="A82" s="4" t="s">
        <v>111</v>
      </c>
      <c r="B82" s="5">
        <v>44946.0</v>
      </c>
      <c r="C82" s="6" t="s">
        <v>14</v>
      </c>
      <c r="D82" s="6" t="s">
        <v>23</v>
      </c>
      <c r="E82" s="6" t="s">
        <v>19</v>
      </c>
      <c r="F82" s="6" t="s">
        <v>20</v>
      </c>
      <c r="G82" s="6">
        <v>31.0</v>
      </c>
      <c r="H82" s="6">
        <v>3.4899999999999998</v>
      </c>
      <c r="I82" s="7">
        <f t="shared" si="7"/>
        <v>20</v>
      </c>
      <c r="J82" s="7">
        <f t="shared" si="8"/>
        <v>1</v>
      </c>
      <c r="K82" s="7">
        <f t="shared" si="6"/>
        <v>2023</v>
      </c>
      <c r="L82" s="7">
        <f t="shared" si="4"/>
        <v>108.19</v>
      </c>
      <c r="M82" s="6" t="str">
        <f t="shared" si="5"/>
        <v>Expensive</v>
      </c>
    </row>
    <row r="83" ht="15.75" customHeight="1">
      <c r="A83" s="4" t="s">
        <v>112</v>
      </c>
      <c r="B83" s="5">
        <v>44952.0</v>
      </c>
      <c r="C83" s="6" t="s">
        <v>14</v>
      </c>
      <c r="D83" s="6" t="s">
        <v>15</v>
      </c>
      <c r="E83" s="6" t="s">
        <v>24</v>
      </c>
      <c r="F83" s="6" t="s">
        <v>28</v>
      </c>
      <c r="G83" s="6">
        <v>52.0</v>
      </c>
      <c r="H83" s="6">
        <v>2.18</v>
      </c>
      <c r="I83" s="7">
        <f t="shared" si="7"/>
        <v>26</v>
      </c>
      <c r="J83" s="7">
        <f t="shared" si="8"/>
        <v>1</v>
      </c>
      <c r="K83" s="7">
        <f t="shared" si="6"/>
        <v>2023</v>
      </c>
      <c r="L83" s="7">
        <f t="shared" si="4"/>
        <v>113.36</v>
      </c>
      <c r="M83" s="6" t="str">
        <f t="shared" si="5"/>
        <v>Expensive</v>
      </c>
    </row>
    <row r="84" ht="15.75" customHeight="1">
      <c r="A84" s="4" t="s">
        <v>113</v>
      </c>
      <c r="B84" s="5">
        <v>44955.0</v>
      </c>
      <c r="C84" s="6" t="s">
        <v>14</v>
      </c>
      <c r="D84" s="6" t="s">
        <v>15</v>
      </c>
      <c r="E84" s="6" t="s">
        <v>16</v>
      </c>
      <c r="F84" s="6" t="s">
        <v>17</v>
      </c>
      <c r="G84" s="6">
        <v>51.0</v>
      </c>
      <c r="H84" s="6">
        <v>1.77</v>
      </c>
      <c r="I84" s="7">
        <f t="shared" si="7"/>
        <v>29</v>
      </c>
      <c r="J84" s="7">
        <f t="shared" si="8"/>
        <v>1</v>
      </c>
      <c r="K84" s="7">
        <f t="shared" si="6"/>
        <v>2023</v>
      </c>
      <c r="L84" s="7">
        <f t="shared" si="4"/>
        <v>90.27</v>
      </c>
      <c r="M84" s="6" t="str">
        <f t="shared" si="5"/>
        <v>Cheap</v>
      </c>
    </row>
    <row r="85" ht="15.75" customHeight="1">
      <c r="A85" s="4" t="s">
        <v>114</v>
      </c>
      <c r="B85" s="5">
        <v>44958.0</v>
      </c>
      <c r="C85" s="6" t="s">
        <v>14</v>
      </c>
      <c r="D85" s="6" t="s">
        <v>15</v>
      </c>
      <c r="E85" s="6" t="s">
        <v>33</v>
      </c>
      <c r="F85" s="6" t="s">
        <v>34</v>
      </c>
      <c r="G85" s="6">
        <v>24.0</v>
      </c>
      <c r="H85" s="6">
        <v>1.68</v>
      </c>
      <c r="I85" s="7">
        <f t="shared" si="7"/>
        <v>1</v>
      </c>
      <c r="J85" s="7">
        <f t="shared" si="8"/>
        <v>2</v>
      </c>
      <c r="K85" s="7">
        <f t="shared" si="6"/>
        <v>2023</v>
      </c>
      <c r="L85" s="7">
        <f t="shared" si="4"/>
        <v>40.32</v>
      </c>
      <c r="M85" s="6" t="str">
        <f t="shared" si="5"/>
        <v>Cheap</v>
      </c>
    </row>
    <row r="86" ht="15.75" customHeight="1">
      <c r="A86" s="4" t="s">
        <v>115</v>
      </c>
      <c r="B86" s="5">
        <v>44967.0</v>
      </c>
      <c r="C86" s="6" t="s">
        <v>14</v>
      </c>
      <c r="D86" s="6" t="s">
        <v>23</v>
      </c>
      <c r="E86" s="6" t="s">
        <v>16</v>
      </c>
      <c r="F86" s="6" t="s">
        <v>17</v>
      </c>
      <c r="G86" s="6">
        <v>34.0</v>
      </c>
      <c r="H86" s="6">
        <v>1.77</v>
      </c>
      <c r="I86" s="7">
        <f t="shared" si="7"/>
        <v>10</v>
      </c>
      <c r="J86" s="7">
        <f t="shared" si="8"/>
        <v>2</v>
      </c>
      <c r="K86" s="7">
        <f t="shared" si="6"/>
        <v>2023</v>
      </c>
      <c r="L86" s="7">
        <f t="shared" si="4"/>
        <v>60.18</v>
      </c>
      <c r="M86" s="6" t="str">
        <f t="shared" si="5"/>
        <v>Cheap</v>
      </c>
    </row>
    <row r="87" ht="15.75" customHeight="1">
      <c r="A87" s="4" t="s">
        <v>116</v>
      </c>
      <c r="B87" s="5">
        <v>44970.0</v>
      </c>
      <c r="C87" s="6" t="s">
        <v>14</v>
      </c>
      <c r="D87" s="6" t="s">
        <v>23</v>
      </c>
      <c r="E87" s="6" t="s">
        <v>33</v>
      </c>
      <c r="F87" s="6" t="s">
        <v>34</v>
      </c>
      <c r="G87" s="6">
        <v>21.0</v>
      </c>
      <c r="H87" s="6">
        <v>1.6800000000000002</v>
      </c>
      <c r="I87" s="7">
        <f t="shared" si="7"/>
        <v>13</v>
      </c>
      <c r="J87" s="7">
        <f t="shared" si="8"/>
        <v>2</v>
      </c>
      <c r="K87" s="7">
        <f t="shared" si="6"/>
        <v>2023</v>
      </c>
      <c r="L87" s="7">
        <f t="shared" si="4"/>
        <v>35.28</v>
      </c>
      <c r="M87" s="6" t="str">
        <f t="shared" si="5"/>
        <v>Cheap</v>
      </c>
    </row>
    <row r="88" ht="15.75" customHeight="1">
      <c r="A88" s="4" t="s">
        <v>117</v>
      </c>
      <c r="B88" s="5">
        <v>44976.0</v>
      </c>
      <c r="C88" s="6" t="s">
        <v>14</v>
      </c>
      <c r="D88" s="6" t="s">
        <v>15</v>
      </c>
      <c r="E88" s="6" t="s">
        <v>16</v>
      </c>
      <c r="F88" s="6" t="s">
        <v>17</v>
      </c>
      <c r="G88" s="6">
        <v>68.0</v>
      </c>
      <c r="H88" s="6">
        <v>1.77</v>
      </c>
      <c r="I88" s="7">
        <f t="shared" si="7"/>
        <v>19</v>
      </c>
      <c r="J88" s="7">
        <f t="shared" si="8"/>
        <v>2</v>
      </c>
      <c r="K88" s="7">
        <f t="shared" si="6"/>
        <v>2023</v>
      </c>
      <c r="L88" s="7">
        <f t="shared" si="4"/>
        <v>120.36</v>
      </c>
      <c r="M88" s="6" t="str">
        <f t="shared" si="5"/>
        <v>Expensive</v>
      </c>
    </row>
    <row r="89" ht="15.75" customHeight="1">
      <c r="A89" s="4" t="s">
        <v>118</v>
      </c>
      <c r="B89" s="5">
        <v>44979.0</v>
      </c>
      <c r="C89" s="6" t="s">
        <v>14</v>
      </c>
      <c r="D89" s="6" t="s">
        <v>15</v>
      </c>
      <c r="E89" s="6" t="s">
        <v>33</v>
      </c>
      <c r="F89" s="6" t="s">
        <v>85</v>
      </c>
      <c r="G89" s="6">
        <v>31.0</v>
      </c>
      <c r="H89" s="6">
        <v>3.1500000000000004</v>
      </c>
      <c r="I89" s="7">
        <f t="shared" si="7"/>
        <v>22</v>
      </c>
      <c r="J89" s="7">
        <f t="shared" si="8"/>
        <v>2</v>
      </c>
      <c r="K89" s="7">
        <f t="shared" si="6"/>
        <v>2023</v>
      </c>
      <c r="L89" s="7">
        <f t="shared" si="4"/>
        <v>97.65</v>
      </c>
      <c r="M89" s="6" t="str">
        <f t="shared" si="5"/>
        <v>Cheap</v>
      </c>
    </row>
    <row r="90" ht="15.75" customHeight="1">
      <c r="A90" s="4" t="s">
        <v>119</v>
      </c>
      <c r="B90" s="5">
        <v>44987.0</v>
      </c>
      <c r="C90" s="6" t="s">
        <v>14</v>
      </c>
      <c r="D90" s="6" t="s">
        <v>23</v>
      </c>
      <c r="E90" s="6" t="s">
        <v>16</v>
      </c>
      <c r="F90" s="6" t="s">
        <v>49</v>
      </c>
      <c r="G90" s="6">
        <v>68.0</v>
      </c>
      <c r="H90" s="6">
        <v>1.8699999999999999</v>
      </c>
      <c r="I90" s="7">
        <f t="shared" si="7"/>
        <v>2</v>
      </c>
      <c r="J90" s="7">
        <f t="shared" si="8"/>
        <v>3</v>
      </c>
      <c r="K90" s="7">
        <f t="shared" si="6"/>
        <v>2023</v>
      </c>
      <c r="L90" s="7">
        <f t="shared" si="4"/>
        <v>127.16</v>
      </c>
      <c r="M90" s="6" t="str">
        <f t="shared" si="5"/>
        <v>Expensive</v>
      </c>
    </row>
    <row r="91" ht="15.75" customHeight="1">
      <c r="A91" s="4" t="s">
        <v>120</v>
      </c>
      <c r="B91" s="5">
        <v>44990.0</v>
      </c>
      <c r="C91" s="6" t="s">
        <v>14</v>
      </c>
      <c r="D91" s="6" t="s">
        <v>23</v>
      </c>
      <c r="E91" s="6" t="s">
        <v>24</v>
      </c>
      <c r="F91" s="6" t="s">
        <v>42</v>
      </c>
      <c r="G91" s="6">
        <v>97.0</v>
      </c>
      <c r="H91" s="6">
        <v>2.8400000000000003</v>
      </c>
      <c r="I91" s="7">
        <f t="shared" si="7"/>
        <v>5</v>
      </c>
      <c r="J91" s="7">
        <f t="shared" si="8"/>
        <v>3</v>
      </c>
      <c r="K91" s="7">
        <f t="shared" si="6"/>
        <v>2023</v>
      </c>
      <c r="L91" s="7">
        <f t="shared" si="4"/>
        <v>275.48</v>
      </c>
      <c r="M91" s="6" t="str">
        <f t="shared" si="5"/>
        <v>Expensive</v>
      </c>
    </row>
    <row r="92" ht="15.75" customHeight="1">
      <c r="A92" s="4" t="s">
        <v>121</v>
      </c>
      <c r="B92" s="5">
        <v>44999.0</v>
      </c>
      <c r="C92" s="6" t="s">
        <v>14</v>
      </c>
      <c r="D92" s="6" t="s">
        <v>15</v>
      </c>
      <c r="E92" s="6" t="s">
        <v>16</v>
      </c>
      <c r="F92" s="6" t="s">
        <v>17</v>
      </c>
      <c r="G92" s="6">
        <v>93.0</v>
      </c>
      <c r="H92" s="6">
        <v>1.7700000000000002</v>
      </c>
      <c r="I92" s="7">
        <f t="shared" si="7"/>
        <v>14</v>
      </c>
      <c r="J92" s="7">
        <f t="shared" si="8"/>
        <v>3</v>
      </c>
      <c r="K92" s="7">
        <f t="shared" si="6"/>
        <v>2023</v>
      </c>
      <c r="L92" s="7">
        <f t="shared" si="4"/>
        <v>164.61</v>
      </c>
      <c r="M92" s="6" t="str">
        <f t="shared" si="5"/>
        <v>Expensive</v>
      </c>
    </row>
    <row r="93" ht="15.75" customHeight="1">
      <c r="A93" s="4" t="s">
        <v>122</v>
      </c>
      <c r="B93" s="5">
        <v>45002.0</v>
      </c>
      <c r="C93" s="6" t="s">
        <v>14</v>
      </c>
      <c r="D93" s="6" t="s">
        <v>15</v>
      </c>
      <c r="E93" s="6" t="s">
        <v>33</v>
      </c>
      <c r="F93" s="6" t="s">
        <v>34</v>
      </c>
      <c r="G93" s="6">
        <v>47.0</v>
      </c>
      <c r="H93" s="6">
        <v>1.68</v>
      </c>
      <c r="I93" s="7">
        <f t="shared" si="7"/>
        <v>17</v>
      </c>
      <c r="J93" s="7">
        <f t="shared" si="8"/>
        <v>3</v>
      </c>
      <c r="K93" s="7">
        <f t="shared" si="6"/>
        <v>2023</v>
      </c>
      <c r="L93" s="7">
        <f t="shared" si="4"/>
        <v>78.96</v>
      </c>
      <c r="M93" s="6" t="str">
        <f t="shared" si="5"/>
        <v>Cheap</v>
      </c>
    </row>
    <row r="94" ht="15.75" customHeight="1">
      <c r="A94" s="4" t="s">
        <v>123</v>
      </c>
      <c r="B94" s="5">
        <v>45011.0</v>
      </c>
      <c r="C94" s="6" t="s">
        <v>14</v>
      </c>
      <c r="D94" s="6" t="s">
        <v>23</v>
      </c>
      <c r="E94" s="6" t="s">
        <v>16</v>
      </c>
      <c r="F94" s="6" t="s">
        <v>49</v>
      </c>
      <c r="G94" s="6">
        <v>57.0</v>
      </c>
      <c r="H94" s="6">
        <v>1.87</v>
      </c>
      <c r="I94" s="7">
        <f t="shared" si="7"/>
        <v>26</v>
      </c>
      <c r="J94" s="7">
        <f t="shared" si="8"/>
        <v>3</v>
      </c>
      <c r="K94" s="7">
        <f t="shared" si="6"/>
        <v>2023</v>
      </c>
      <c r="L94" s="7">
        <f t="shared" si="4"/>
        <v>106.59</v>
      </c>
      <c r="M94" s="6" t="str">
        <f t="shared" si="5"/>
        <v>Expensive</v>
      </c>
    </row>
    <row r="95" ht="15.75" customHeight="1">
      <c r="A95" s="4" t="s">
        <v>124</v>
      </c>
      <c r="B95" s="5">
        <v>45014.0</v>
      </c>
      <c r="C95" s="6" t="s">
        <v>14</v>
      </c>
      <c r="D95" s="6" t="s">
        <v>23</v>
      </c>
      <c r="E95" s="6" t="s">
        <v>24</v>
      </c>
      <c r="F95" s="6" t="s">
        <v>42</v>
      </c>
      <c r="G95" s="6">
        <v>65.0</v>
      </c>
      <c r="H95" s="6">
        <v>2.84</v>
      </c>
      <c r="I95" s="7">
        <f t="shared" si="7"/>
        <v>29</v>
      </c>
      <c r="J95" s="7">
        <f t="shared" si="8"/>
        <v>3</v>
      </c>
      <c r="K95" s="7">
        <f t="shared" si="6"/>
        <v>2023</v>
      </c>
      <c r="L95" s="7">
        <f t="shared" si="4"/>
        <v>184.6</v>
      </c>
      <c r="M95" s="6" t="str">
        <f t="shared" si="5"/>
        <v>Expensive</v>
      </c>
    </row>
    <row r="96" ht="15.75" customHeight="1">
      <c r="A96" s="4" t="s">
        <v>125</v>
      </c>
      <c r="B96" s="5">
        <v>45020.0</v>
      </c>
      <c r="C96" s="6" t="s">
        <v>14</v>
      </c>
      <c r="D96" s="6" t="s">
        <v>15</v>
      </c>
      <c r="E96" s="6" t="s">
        <v>24</v>
      </c>
      <c r="F96" s="6" t="s">
        <v>28</v>
      </c>
      <c r="G96" s="6">
        <v>36.0</v>
      </c>
      <c r="H96" s="6">
        <v>2.18</v>
      </c>
      <c r="I96" s="7">
        <f t="shared" si="7"/>
        <v>4</v>
      </c>
      <c r="J96" s="7">
        <f t="shared" si="8"/>
        <v>4</v>
      </c>
      <c r="K96" s="7">
        <f t="shared" si="6"/>
        <v>2023</v>
      </c>
      <c r="L96" s="7">
        <f t="shared" si="4"/>
        <v>78.48</v>
      </c>
      <c r="M96" s="6" t="str">
        <f t="shared" si="5"/>
        <v>Cheap</v>
      </c>
    </row>
    <row r="97" ht="15.75" customHeight="1">
      <c r="A97" s="4" t="s">
        <v>126</v>
      </c>
      <c r="B97" s="5">
        <v>45023.0</v>
      </c>
      <c r="C97" s="6" t="s">
        <v>14</v>
      </c>
      <c r="D97" s="6" t="s">
        <v>15</v>
      </c>
      <c r="E97" s="6" t="s">
        <v>24</v>
      </c>
      <c r="F97" s="6" t="s">
        <v>42</v>
      </c>
      <c r="G97" s="6">
        <v>123.0</v>
      </c>
      <c r="H97" s="6">
        <v>2.84</v>
      </c>
      <c r="I97" s="7">
        <f t="shared" si="7"/>
        <v>7</v>
      </c>
      <c r="J97" s="7">
        <f t="shared" si="8"/>
        <v>4</v>
      </c>
      <c r="K97" s="7">
        <f t="shared" si="6"/>
        <v>2023</v>
      </c>
      <c r="L97" s="7">
        <f t="shared" si="4"/>
        <v>349.32</v>
      </c>
      <c r="M97" s="6" t="str">
        <f t="shared" si="5"/>
        <v>Expensive</v>
      </c>
    </row>
    <row r="98" ht="15.75" customHeight="1">
      <c r="A98" s="4" t="s">
        <v>127</v>
      </c>
      <c r="B98" s="5">
        <v>45032.0</v>
      </c>
      <c r="C98" s="6" t="s">
        <v>14</v>
      </c>
      <c r="D98" s="6" t="s">
        <v>23</v>
      </c>
      <c r="E98" s="6" t="s">
        <v>16</v>
      </c>
      <c r="F98" s="6" t="s">
        <v>17</v>
      </c>
      <c r="G98" s="6">
        <v>48.0</v>
      </c>
      <c r="H98" s="6">
        <v>1.7699999999999998</v>
      </c>
      <c r="I98" s="7">
        <f t="shared" si="7"/>
        <v>16</v>
      </c>
      <c r="J98" s="7">
        <f t="shared" si="8"/>
        <v>4</v>
      </c>
      <c r="K98" s="7">
        <f t="shared" si="6"/>
        <v>2023</v>
      </c>
      <c r="L98" s="7">
        <f t="shared" si="4"/>
        <v>84.96</v>
      </c>
      <c r="M98" s="6" t="str">
        <f t="shared" si="5"/>
        <v>Cheap</v>
      </c>
    </row>
    <row r="99" ht="15.75" customHeight="1">
      <c r="A99" s="4" t="s">
        <v>128</v>
      </c>
      <c r="B99" s="5">
        <v>45035.0</v>
      </c>
      <c r="C99" s="6" t="s">
        <v>14</v>
      </c>
      <c r="D99" s="6" t="s">
        <v>23</v>
      </c>
      <c r="E99" s="6" t="s">
        <v>33</v>
      </c>
      <c r="F99" s="6" t="s">
        <v>34</v>
      </c>
      <c r="G99" s="6">
        <v>24.0</v>
      </c>
      <c r="H99" s="6">
        <v>1.68</v>
      </c>
      <c r="I99" s="7">
        <f t="shared" si="7"/>
        <v>19</v>
      </c>
      <c r="J99" s="7">
        <f t="shared" si="8"/>
        <v>4</v>
      </c>
      <c r="K99" s="7">
        <f t="shared" si="6"/>
        <v>2023</v>
      </c>
      <c r="L99" s="7">
        <f t="shared" si="4"/>
        <v>40.32</v>
      </c>
      <c r="M99" s="6" t="str">
        <f t="shared" si="5"/>
        <v>Cheap</v>
      </c>
    </row>
    <row r="100" ht="15.75" customHeight="1">
      <c r="A100" s="4" t="s">
        <v>129</v>
      </c>
      <c r="B100" s="5">
        <v>45041.0</v>
      </c>
      <c r="C100" s="6" t="s">
        <v>14</v>
      </c>
      <c r="D100" s="6" t="s">
        <v>15</v>
      </c>
      <c r="E100" s="6" t="s">
        <v>16</v>
      </c>
      <c r="F100" s="6" t="s">
        <v>49</v>
      </c>
      <c r="G100" s="6">
        <v>27.0</v>
      </c>
      <c r="H100" s="6">
        <v>1.87</v>
      </c>
      <c r="I100" s="7">
        <f t="shared" si="7"/>
        <v>25</v>
      </c>
      <c r="J100" s="7">
        <f t="shared" si="8"/>
        <v>4</v>
      </c>
      <c r="K100" s="7">
        <f t="shared" si="6"/>
        <v>2023</v>
      </c>
      <c r="L100" s="7">
        <f t="shared" si="4"/>
        <v>50.49</v>
      </c>
      <c r="M100" s="6" t="str">
        <f t="shared" si="5"/>
        <v>Cheap</v>
      </c>
    </row>
    <row r="101" ht="15.75" customHeight="1">
      <c r="A101" s="4" t="s">
        <v>130</v>
      </c>
      <c r="B101" s="5">
        <v>45044.0</v>
      </c>
      <c r="C101" s="6" t="s">
        <v>14</v>
      </c>
      <c r="D101" s="6" t="s">
        <v>15</v>
      </c>
      <c r="E101" s="6" t="s">
        <v>24</v>
      </c>
      <c r="F101" s="6" t="s">
        <v>42</v>
      </c>
      <c r="G101" s="6">
        <v>129.0</v>
      </c>
      <c r="H101" s="6">
        <v>2.8400000000000003</v>
      </c>
      <c r="I101" s="7">
        <f t="shared" si="7"/>
        <v>28</v>
      </c>
      <c r="J101" s="7">
        <f t="shared" si="8"/>
        <v>4</v>
      </c>
      <c r="K101" s="7">
        <f t="shared" si="6"/>
        <v>2023</v>
      </c>
      <c r="L101" s="7">
        <f t="shared" si="4"/>
        <v>366.36</v>
      </c>
      <c r="M101" s="6" t="str">
        <f t="shared" si="5"/>
        <v>Expensive</v>
      </c>
    </row>
    <row r="102" ht="15.75" customHeight="1">
      <c r="A102" s="4" t="s">
        <v>131</v>
      </c>
      <c r="B102" s="5">
        <v>45053.0</v>
      </c>
      <c r="C102" s="6" t="s">
        <v>14</v>
      </c>
      <c r="D102" s="6" t="s">
        <v>23</v>
      </c>
      <c r="E102" s="6" t="s">
        <v>16</v>
      </c>
      <c r="F102" s="6" t="s">
        <v>49</v>
      </c>
      <c r="G102" s="6">
        <v>47.0</v>
      </c>
      <c r="H102" s="6">
        <v>1.87</v>
      </c>
      <c r="I102" s="7">
        <f t="shared" si="7"/>
        <v>7</v>
      </c>
      <c r="J102" s="7">
        <f t="shared" si="8"/>
        <v>5</v>
      </c>
      <c r="K102" s="7">
        <f t="shared" si="6"/>
        <v>2023</v>
      </c>
      <c r="L102" s="7">
        <f t="shared" si="4"/>
        <v>87.89</v>
      </c>
      <c r="M102" s="6" t="str">
        <f t="shared" si="5"/>
        <v>Cheap</v>
      </c>
    </row>
    <row r="103" ht="15.75" customHeight="1">
      <c r="A103" s="4" t="s">
        <v>132</v>
      </c>
      <c r="B103" s="5">
        <v>45056.0</v>
      </c>
      <c r="C103" s="6" t="s">
        <v>14</v>
      </c>
      <c r="D103" s="6" t="s">
        <v>23</v>
      </c>
      <c r="E103" s="6" t="s">
        <v>24</v>
      </c>
      <c r="F103" s="6" t="s">
        <v>42</v>
      </c>
      <c r="G103" s="6">
        <v>33.0</v>
      </c>
      <c r="H103" s="6">
        <v>2.84</v>
      </c>
      <c r="I103" s="7">
        <f t="shared" si="7"/>
        <v>10</v>
      </c>
      <c r="J103" s="7">
        <f t="shared" si="8"/>
        <v>5</v>
      </c>
      <c r="K103" s="7">
        <f t="shared" si="6"/>
        <v>2023</v>
      </c>
      <c r="L103" s="7">
        <f t="shared" si="4"/>
        <v>93.72</v>
      </c>
      <c r="M103" s="6" t="str">
        <f t="shared" si="5"/>
        <v>Cheap</v>
      </c>
    </row>
    <row r="104" ht="15.75" customHeight="1">
      <c r="A104" s="4" t="s">
        <v>133</v>
      </c>
      <c r="B104" s="5">
        <v>45062.0</v>
      </c>
      <c r="C104" s="6" t="s">
        <v>14</v>
      </c>
      <c r="D104" s="6" t="s">
        <v>15</v>
      </c>
      <c r="E104" s="6" t="s">
        <v>16</v>
      </c>
      <c r="F104" s="6" t="s">
        <v>17</v>
      </c>
      <c r="G104" s="6">
        <v>58.0</v>
      </c>
      <c r="H104" s="6">
        <v>1.77</v>
      </c>
      <c r="I104" s="7">
        <f t="shared" si="7"/>
        <v>16</v>
      </c>
      <c r="J104" s="7">
        <f t="shared" si="8"/>
        <v>5</v>
      </c>
      <c r="K104" s="7">
        <f t="shared" si="6"/>
        <v>2023</v>
      </c>
      <c r="L104" s="7">
        <f t="shared" si="4"/>
        <v>102.66</v>
      </c>
      <c r="M104" s="6" t="str">
        <f t="shared" si="5"/>
        <v>Expensive</v>
      </c>
    </row>
    <row r="105" ht="15.75" customHeight="1">
      <c r="A105" s="4" t="s">
        <v>134</v>
      </c>
      <c r="B105" s="5">
        <v>45065.0</v>
      </c>
      <c r="C105" s="6" t="s">
        <v>14</v>
      </c>
      <c r="D105" s="6" t="s">
        <v>15</v>
      </c>
      <c r="E105" s="6" t="s">
        <v>33</v>
      </c>
      <c r="F105" s="6" t="s">
        <v>85</v>
      </c>
      <c r="G105" s="6">
        <v>30.0</v>
      </c>
      <c r="H105" s="6">
        <v>3.15</v>
      </c>
      <c r="I105" s="7">
        <f t="shared" si="7"/>
        <v>19</v>
      </c>
      <c r="J105" s="7">
        <f t="shared" si="8"/>
        <v>5</v>
      </c>
      <c r="K105" s="7">
        <f t="shared" si="6"/>
        <v>2023</v>
      </c>
      <c r="L105" s="7">
        <f t="shared" si="4"/>
        <v>94.5</v>
      </c>
      <c r="M105" s="6" t="str">
        <f t="shared" si="5"/>
        <v>Cheap</v>
      </c>
    </row>
    <row r="106" ht="15.75" customHeight="1">
      <c r="A106" s="4" t="s">
        <v>135</v>
      </c>
      <c r="B106" s="5">
        <v>45071.0</v>
      </c>
      <c r="C106" s="6" t="s">
        <v>14</v>
      </c>
      <c r="D106" s="6" t="s">
        <v>23</v>
      </c>
      <c r="E106" s="6" t="s">
        <v>16</v>
      </c>
      <c r="F106" s="6" t="s">
        <v>17</v>
      </c>
      <c r="G106" s="6">
        <v>84.0</v>
      </c>
      <c r="H106" s="6">
        <v>1.77</v>
      </c>
      <c r="I106" s="7">
        <f t="shared" si="7"/>
        <v>25</v>
      </c>
      <c r="J106" s="7">
        <f t="shared" si="8"/>
        <v>5</v>
      </c>
      <c r="K106" s="7">
        <f t="shared" si="6"/>
        <v>2023</v>
      </c>
      <c r="L106" s="7">
        <f t="shared" si="4"/>
        <v>148.68</v>
      </c>
      <c r="M106" s="6" t="str">
        <f t="shared" si="5"/>
        <v>Expensive</v>
      </c>
    </row>
    <row r="107" ht="15.75" customHeight="1">
      <c r="A107" s="4" t="s">
        <v>136</v>
      </c>
      <c r="B107" s="5">
        <v>45080.0</v>
      </c>
      <c r="C107" s="6" t="s">
        <v>14</v>
      </c>
      <c r="D107" s="6" t="s">
        <v>15</v>
      </c>
      <c r="E107" s="6" t="s">
        <v>16</v>
      </c>
      <c r="F107" s="6" t="s">
        <v>49</v>
      </c>
      <c r="G107" s="6">
        <v>27.0</v>
      </c>
      <c r="H107" s="6">
        <v>1.87</v>
      </c>
      <c r="I107" s="7">
        <f t="shared" si="7"/>
        <v>3</v>
      </c>
      <c r="J107" s="7">
        <f t="shared" si="8"/>
        <v>6</v>
      </c>
      <c r="K107" s="7">
        <f t="shared" si="6"/>
        <v>2023</v>
      </c>
      <c r="L107" s="7">
        <f t="shared" si="4"/>
        <v>50.49</v>
      </c>
      <c r="M107" s="6" t="str">
        <f t="shared" si="5"/>
        <v>Cheap</v>
      </c>
    </row>
    <row r="108" ht="15.75" customHeight="1">
      <c r="A108" s="4" t="s">
        <v>137</v>
      </c>
      <c r="B108" s="5">
        <v>45083.0</v>
      </c>
      <c r="C108" s="6" t="s">
        <v>14</v>
      </c>
      <c r="D108" s="6" t="s">
        <v>15</v>
      </c>
      <c r="E108" s="6" t="s">
        <v>24</v>
      </c>
      <c r="F108" s="6" t="s">
        <v>42</v>
      </c>
      <c r="G108" s="6">
        <v>120.0</v>
      </c>
      <c r="H108" s="6">
        <v>2.8400000000000003</v>
      </c>
      <c r="I108" s="7">
        <f t="shared" si="7"/>
        <v>6</v>
      </c>
      <c r="J108" s="7">
        <f t="shared" si="8"/>
        <v>6</v>
      </c>
      <c r="K108" s="7">
        <f t="shared" si="6"/>
        <v>2023</v>
      </c>
      <c r="L108" s="7">
        <f t="shared" si="4"/>
        <v>340.8</v>
      </c>
      <c r="M108" s="6" t="str">
        <f t="shared" si="5"/>
        <v>Expensive</v>
      </c>
    </row>
    <row r="109" ht="15.75" customHeight="1">
      <c r="A109" s="4" t="s">
        <v>138</v>
      </c>
      <c r="B109" s="5">
        <v>45086.0</v>
      </c>
      <c r="C109" s="6" t="s">
        <v>14</v>
      </c>
      <c r="D109" s="6" t="s">
        <v>15</v>
      </c>
      <c r="E109" s="6" t="s">
        <v>19</v>
      </c>
      <c r="F109" s="6" t="s">
        <v>20</v>
      </c>
      <c r="G109" s="6">
        <v>26.0</v>
      </c>
      <c r="H109" s="6">
        <v>3.4899999999999998</v>
      </c>
      <c r="I109" s="7">
        <f t="shared" si="7"/>
        <v>9</v>
      </c>
      <c r="J109" s="7">
        <f t="shared" si="8"/>
        <v>6</v>
      </c>
      <c r="K109" s="7">
        <f t="shared" si="6"/>
        <v>2023</v>
      </c>
      <c r="L109" s="7">
        <f t="shared" si="4"/>
        <v>90.74</v>
      </c>
      <c r="M109" s="6" t="str">
        <f t="shared" si="5"/>
        <v>Cheap</v>
      </c>
    </row>
    <row r="110" ht="15.75" customHeight="1">
      <c r="A110" s="4" t="s">
        <v>139</v>
      </c>
      <c r="B110" s="5">
        <v>45092.0</v>
      </c>
      <c r="C110" s="6" t="s">
        <v>14</v>
      </c>
      <c r="D110" s="6" t="s">
        <v>23</v>
      </c>
      <c r="E110" s="6" t="s">
        <v>16</v>
      </c>
      <c r="F110" s="6" t="s">
        <v>49</v>
      </c>
      <c r="G110" s="6">
        <v>38.0</v>
      </c>
      <c r="H110" s="6">
        <v>1.87</v>
      </c>
      <c r="I110" s="7">
        <f t="shared" si="7"/>
        <v>15</v>
      </c>
      <c r="J110" s="7">
        <f t="shared" si="8"/>
        <v>6</v>
      </c>
      <c r="K110" s="7">
        <f t="shared" si="6"/>
        <v>2023</v>
      </c>
      <c r="L110" s="7">
        <f t="shared" si="4"/>
        <v>71.06</v>
      </c>
      <c r="M110" s="6" t="str">
        <f t="shared" si="5"/>
        <v>Cheap</v>
      </c>
    </row>
    <row r="111" ht="15.75" customHeight="1">
      <c r="A111" s="4" t="s">
        <v>140</v>
      </c>
      <c r="B111" s="5">
        <v>45095.0</v>
      </c>
      <c r="C111" s="6" t="s">
        <v>14</v>
      </c>
      <c r="D111" s="6" t="s">
        <v>23</v>
      </c>
      <c r="E111" s="6" t="s">
        <v>24</v>
      </c>
      <c r="F111" s="6" t="s">
        <v>42</v>
      </c>
      <c r="G111" s="6">
        <v>40.0</v>
      </c>
      <c r="H111" s="6">
        <v>2.84</v>
      </c>
      <c r="I111" s="7">
        <f t="shared" si="7"/>
        <v>18</v>
      </c>
      <c r="J111" s="7">
        <f t="shared" si="8"/>
        <v>6</v>
      </c>
      <c r="K111" s="7">
        <f t="shared" si="6"/>
        <v>2023</v>
      </c>
      <c r="L111" s="7">
        <f t="shared" si="4"/>
        <v>113.6</v>
      </c>
      <c r="M111" s="6" t="str">
        <f t="shared" si="5"/>
        <v>Expensive</v>
      </c>
    </row>
    <row r="112" ht="15.75" customHeight="1">
      <c r="A112" s="4" t="s">
        <v>141</v>
      </c>
      <c r="B112" s="5">
        <v>45101.0</v>
      </c>
      <c r="C112" s="6" t="s">
        <v>14</v>
      </c>
      <c r="D112" s="6" t="s">
        <v>15</v>
      </c>
      <c r="E112" s="6" t="s">
        <v>16</v>
      </c>
      <c r="F112" s="6" t="s">
        <v>102</v>
      </c>
      <c r="G112" s="6">
        <v>27.0</v>
      </c>
      <c r="H112" s="6">
        <v>2.27</v>
      </c>
      <c r="I112" s="7">
        <f t="shared" si="7"/>
        <v>24</v>
      </c>
      <c r="J112" s="7">
        <f t="shared" si="8"/>
        <v>6</v>
      </c>
      <c r="K112" s="7">
        <f t="shared" si="6"/>
        <v>2023</v>
      </c>
      <c r="L112" s="7">
        <f t="shared" si="4"/>
        <v>61.29</v>
      </c>
      <c r="M112" s="6" t="str">
        <f t="shared" si="5"/>
        <v>Cheap</v>
      </c>
    </row>
    <row r="113" ht="15.75" customHeight="1">
      <c r="A113" s="4" t="s">
        <v>142</v>
      </c>
      <c r="B113" s="5">
        <v>45104.0</v>
      </c>
      <c r="C113" s="6" t="s">
        <v>14</v>
      </c>
      <c r="D113" s="6" t="s">
        <v>15</v>
      </c>
      <c r="E113" s="6" t="s">
        <v>24</v>
      </c>
      <c r="F113" s="6" t="s">
        <v>25</v>
      </c>
      <c r="G113" s="6">
        <v>38.0</v>
      </c>
      <c r="H113" s="6">
        <v>1.87</v>
      </c>
      <c r="I113" s="7">
        <f t="shared" si="7"/>
        <v>27</v>
      </c>
      <c r="J113" s="7">
        <f t="shared" si="8"/>
        <v>6</v>
      </c>
      <c r="K113" s="7">
        <f t="shared" si="6"/>
        <v>2023</v>
      </c>
      <c r="L113" s="7">
        <f t="shared" si="4"/>
        <v>71.06</v>
      </c>
      <c r="M113" s="6" t="str">
        <f t="shared" si="5"/>
        <v>Cheap</v>
      </c>
    </row>
    <row r="114" ht="15.75" customHeight="1">
      <c r="A114" s="4" t="s">
        <v>143</v>
      </c>
      <c r="B114" s="5">
        <v>45107.0</v>
      </c>
      <c r="C114" s="6" t="s">
        <v>14</v>
      </c>
      <c r="D114" s="6" t="s">
        <v>15</v>
      </c>
      <c r="E114" s="6" t="s">
        <v>19</v>
      </c>
      <c r="F114" s="6" t="s">
        <v>20</v>
      </c>
      <c r="G114" s="6">
        <v>34.0</v>
      </c>
      <c r="H114" s="6">
        <v>3.4899999999999998</v>
      </c>
      <c r="I114" s="7">
        <f t="shared" si="7"/>
        <v>30</v>
      </c>
      <c r="J114" s="7">
        <f t="shared" si="8"/>
        <v>6</v>
      </c>
      <c r="K114" s="7">
        <f t="shared" si="6"/>
        <v>2023</v>
      </c>
      <c r="L114" s="7">
        <f t="shared" si="4"/>
        <v>118.66</v>
      </c>
      <c r="M114" s="6" t="str">
        <f t="shared" si="5"/>
        <v>Expensive</v>
      </c>
    </row>
    <row r="115" ht="15.75" customHeight="1">
      <c r="A115" s="4" t="s">
        <v>144</v>
      </c>
      <c r="B115" s="5">
        <v>45116.0</v>
      </c>
      <c r="C115" s="6" t="s">
        <v>14</v>
      </c>
      <c r="D115" s="6" t="s">
        <v>23</v>
      </c>
      <c r="E115" s="6" t="s">
        <v>24</v>
      </c>
      <c r="F115" s="6" t="s">
        <v>28</v>
      </c>
      <c r="G115" s="6">
        <v>37.0</v>
      </c>
      <c r="H115" s="6">
        <v>2.1799999999999997</v>
      </c>
      <c r="I115" s="7">
        <f t="shared" si="7"/>
        <v>9</v>
      </c>
      <c r="J115" s="7">
        <f t="shared" si="8"/>
        <v>7</v>
      </c>
      <c r="K115" s="7">
        <f t="shared" si="6"/>
        <v>2023</v>
      </c>
      <c r="L115" s="7">
        <f t="shared" si="4"/>
        <v>80.66</v>
      </c>
      <c r="M115" s="6" t="str">
        <f t="shared" si="5"/>
        <v>Cheap</v>
      </c>
    </row>
    <row r="116" ht="15.75" customHeight="1">
      <c r="A116" s="4" t="s">
        <v>145</v>
      </c>
      <c r="B116" s="5">
        <v>45119.0</v>
      </c>
      <c r="C116" s="6" t="s">
        <v>14</v>
      </c>
      <c r="D116" s="6" t="s">
        <v>23</v>
      </c>
      <c r="E116" s="6" t="s">
        <v>24</v>
      </c>
      <c r="F116" s="6" t="s">
        <v>25</v>
      </c>
      <c r="G116" s="6">
        <v>40.0</v>
      </c>
      <c r="H116" s="6">
        <v>1.8699999999999999</v>
      </c>
      <c r="I116" s="7">
        <f t="shared" si="7"/>
        <v>12</v>
      </c>
      <c r="J116" s="7">
        <f t="shared" si="8"/>
        <v>7</v>
      </c>
      <c r="K116" s="7">
        <f t="shared" si="6"/>
        <v>2023</v>
      </c>
      <c r="L116" s="7">
        <f t="shared" si="4"/>
        <v>74.8</v>
      </c>
      <c r="M116" s="6" t="str">
        <f t="shared" si="5"/>
        <v>Cheap</v>
      </c>
    </row>
    <row r="117" ht="15.75" customHeight="1">
      <c r="A117" s="4" t="s">
        <v>146</v>
      </c>
      <c r="B117" s="5">
        <v>45125.0</v>
      </c>
      <c r="C117" s="6" t="s">
        <v>14</v>
      </c>
      <c r="D117" s="6" t="s">
        <v>15</v>
      </c>
      <c r="E117" s="6" t="s">
        <v>16</v>
      </c>
      <c r="F117" s="6" t="s">
        <v>102</v>
      </c>
      <c r="G117" s="6">
        <v>22.0</v>
      </c>
      <c r="H117" s="6">
        <v>2.27</v>
      </c>
      <c r="I117" s="7">
        <f t="shared" si="7"/>
        <v>18</v>
      </c>
      <c r="J117" s="7">
        <f t="shared" si="8"/>
        <v>7</v>
      </c>
      <c r="K117" s="7">
        <f t="shared" si="6"/>
        <v>2023</v>
      </c>
      <c r="L117" s="7">
        <f t="shared" si="4"/>
        <v>49.94</v>
      </c>
      <c r="M117" s="6" t="str">
        <f t="shared" si="5"/>
        <v>Cheap</v>
      </c>
    </row>
    <row r="118" ht="15.75" customHeight="1">
      <c r="A118" s="4" t="s">
        <v>147</v>
      </c>
      <c r="B118" s="5">
        <v>45128.0</v>
      </c>
      <c r="C118" s="6" t="s">
        <v>14</v>
      </c>
      <c r="D118" s="6" t="s">
        <v>15</v>
      </c>
      <c r="E118" s="6" t="s">
        <v>24</v>
      </c>
      <c r="F118" s="6" t="s">
        <v>25</v>
      </c>
      <c r="G118" s="6">
        <v>32.0</v>
      </c>
      <c r="H118" s="6">
        <v>1.87</v>
      </c>
      <c r="I118" s="7">
        <f t="shared" si="7"/>
        <v>21</v>
      </c>
      <c r="J118" s="7">
        <f t="shared" si="8"/>
        <v>7</v>
      </c>
      <c r="K118" s="7">
        <f t="shared" si="6"/>
        <v>2023</v>
      </c>
      <c r="L118" s="7">
        <f t="shared" si="4"/>
        <v>59.84</v>
      </c>
      <c r="M118" s="6" t="str">
        <f t="shared" si="5"/>
        <v>Cheap</v>
      </c>
    </row>
    <row r="119" ht="15.75" customHeight="1">
      <c r="A119" s="4" t="s">
        <v>148</v>
      </c>
      <c r="B119" s="5">
        <v>45131.0</v>
      </c>
      <c r="C119" s="6" t="s">
        <v>14</v>
      </c>
      <c r="D119" s="6" t="s">
        <v>15</v>
      </c>
      <c r="E119" s="6" t="s">
        <v>19</v>
      </c>
      <c r="F119" s="6" t="s">
        <v>20</v>
      </c>
      <c r="G119" s="6">
        <v>23.0</v>
      </c>
      <c r="H119" s="6">
        <v>3.4899999999999998</v>
      </c>
      <c r="I119" s="7">
        <f t="shared" si="7"/>
        <v>24</v>
      </c>
      <c r="J119" s="7">
        <f t="shared" si="8"/>
        <v>7</v>
      </c>
      <c r="K119" s="7">
        <f t="shared" si="6"/>
        <v>2023</v>
      </c>
      <c r="L119" s="7">
        <f t="shared" si="4"/>
        <v>80.27</v>
      </c>
      <c r="M119" s="6" t="str">
        <f t="shared" si="5"/>
        <v>Cheap</v>
      </c>
    </row>
    <row r="120" ht="15.75" customHeight="1">
      <c r="A120" s="4" t="s">
        <v>149</v>
      </c>
      <c r="B120" s="5">
        <v>45140.0</v>
      </c>
      <c r="C120" s="6" t="s">
        <v>14</v>
      </c>
      <c r="D120" s="6" t="s">
        <v>23</v>
      </c>
      <c r="E120" s="6" t="s">
        <v>16</v>
      </c>
      <c r="F120" s="6" t="s">
        <v>17</v>
      </c>
      <c r="G120" s="6">
        <v>71.0</v>
      </c>
      <c r="H120" s="6">
        <v>1.77</v>
      </c>
      <c r="I120" s="7">
        <f t="shared" si="7"/>
        <v>2</v>
      </c>
      <c r="J120" s="7">
        <f t="shared" si="8"/>
        <v>8</v>
      </c>
      <c r="K120" s="7">
        <f t="shared" si="6"/>
        <v>2023</v>
      </c>
      <c r="L120" s="7">
        <f t="shared" si="4"/>
        <v>125.67</v>
      </c>
      <c r="M120" s="6" t="str">
        <f t="shared" si="5"/>
        <v>Expensive</v>
      </c>
    </row>
    <row r="121" ht="15.75" customHeight="1">
      <c r="A121" s="4" t="s">
        <v>150</v>
      </c>
      <c r="B121" s="5">
        <v>45149.0</v>
      </c>
      <c r="C121" s="6" t="s">
        <v>14</v>
      </c>
      <c r="D121" s="6" t="s">
        <v>15</v>
      </c>
      <c r="E121" s="6" t="s">
        <v>16</v>
      </c>
      <c r="F121" s="6" t="s">
        <v>17</v>
      </c>
      <c r="G121" s="6">
        <v>55.0</v>
      </c>
      <c r="H121" s="6">
        <v>1.7699999999999998</v>
      </c>
      <c r="I121" s="7">
        <f t="shared" si="7"/>
        <v>11</v>
      </c>
      <c r="J121" s="7">
        <f t="shared" si="8"/>
        <v>8</v>
      </c>
      <c r="K121" s="7">
        <f t="shared" si="6"/>
        <v>2023</v>
      </c>
      <c r="L121" s="7">
        <f t="shared" si="4"/>
        <v>97.35</v>
      </c>
      <c r="M121" s="6" t="str">
        <f t="shared" si="5"/>
        <v>Cheap</v>
      </c>
    </row>
    <row r="122" ht="15.75" customHeight="1">
      <c r="A122" s="4" t="s">
        <v>151</v>
      </c>
      <c r="B122" s="5">
        <v>45152.0</v>
      </c>
      <c r="C122" s="6" t="s">
        <v>14</v>
      </c>
      <c r="D122" s="6" t="s">
        <v>15</v>
      </c>
      <c r="E122" s="6" t="s">
        <v>33</v>
      </c>
      <c r="F122" s="6" t="s">
        <v>85</v>
      </c>
      <c r="G122" s="6">
        <v>22.0</v>
      </c>
      <c r="H122" s="6">
        <v>3.15</v>
      </c>
      <c r="I122" s="7">
        <f t="shared" si="7"/>
        <v>14</v>
      </c>
      <c r="J122" s="7">
        <f t="shared" si="8"/>
        <v>8</v>
      </c>
      <c r="K122" s="7">
        <f t="shared" si="6"/>
        <v>2023</v>
      </c>
      <c r="L122" s="7">
        <f t="shared" si="4"/>
        <v>69.3</v>
      </c>
      <c r="M122" s="6" t="str">
        <f t="shared" si="5"/>
        <v>Cheap</v>
      </c>
    </row>
    <row r="123" ht="15.75" customHeight="1">
      <c r="A123" s="4" t="s">
        <v>152</v>
      </c>
      <c r="B123" s="5">
        <v>45158.0</v>
      </c>
      <c r="C123" s="6" t="s">
        <v>14</v>
      </c>
      <c r="D123" s="6" t="s">
        <v>23</v>
      </c>
      <c r="E123" s="6" t="s">
        <v>16</v>
      </c>
      <c r="F123" s="6" t="s">
        <v>49</v>
      </c>
      <c r="G123" s="6">
        <v>39.0</v>
      </c>
      <c r="H123" s="6">
        <v>1.87</v>
      </c>
      <c r="I123" s="7">
        <f t="shared" si="7"/>
        <v>20</v>
      </c>
      <c r="J123" s="7">
        <f t="shared" si="8"/>
        <v>8</v>
      </c>
      <c r="K123" s="7">
        <f t="shared" si="6"/>
        <v>2023</v>
      </c>
      <c r="L123" s="7">
        <f t="shared" si="4"/>
        <v>72.93</v>
      </c>
      <c r="M123" s="6" t="str">
        <f t="shared" si="5"/>
        <v>Cheap</v>
      </c>
    </row>
    <row r="124" ht="15.75" customHeight="1">
      <c r="A124" s="4" t="s">
        <v>153</v>
      </c>
      <c r="B124" s="5">
        <v>45161.0</v>
      </c>
      <c r="C124" s="6" t="s">
        <v>14</v>
      </c>
      <c r="D124" s="6" t="s">
        <v>23</v>
      </c>
      <c r="E124" s="6" t="s">
        <v>24</v>
      </c>
      <c r="F124" s="6" t="s">
        <v>42</v>
      </c>
      <c r="G124" s="6">
        <v>41.0</v>
      </c>
      <c r="H124" s="6">
        <v>2.84</v>
      </c>
      <c r="I124" s="7">
        <f t="shared" si="7"/>
        <v>23</v>
      </c>
      <c r="J124" s="7">
        <f t="shared" si="8"/>
        <v>8</v>
      </c>
      <c r="K124" s="7">
        <f t="shared" si="6"/>
        <v>2023</v>
      </c>
      <c r="L124" s="7">
        <f t="shared" si="4"/>
        <v>116.44</v>
      </c>
      <c r="M124" s="6" t="str">
        <f t="shared" si="5"/>
        <v>Expensive</v>
      </c>
    </row>
    <row r="125" ht="15.75" customHeight="1">
      <c r="A125" s="4" t="s">
        <v>154</v>
      </c>
      <c r="B125" s="5">
        <v>45167.0</v>
      </c>
      <c r="C125" s="6" t="s">
        <v>14</v>
      </c>
      <c r="D125" s="6" t="s">
        <v>15</v>
      </c>
      <c r="E125" s="6" t="s">
        <v>24</v>
      </c>
      <c r="F125" s="6" t="s">
        <v>28</v>
      </c>
      <c r="G125" s="6">
        <v>136.0</v>
      </c>
      <c r="H125" s="6">
        <v>2.18</v>
      </c>
      <c r="I125" s="7">
        <f t="shared" si="7"/>
        <v>29</v>
      </c>
      <c r="J125" s="7">
        <f t="shared" si="8"/>
        <v>8</v>
      </c>
      <c r="K125" s="7">
        <f t="shared" si="6"/>
        <v>2023</v>
      </c>
      <c r="L125" s="7">
        <f t="shared" si="4"/>
        <v>296.48</v>
      </c>
      <c r="M125" s="6" t="str">
        <f t="shared" si="5"/>
        <v>Expensive</v>
      </c>
    </row>
    <row r="126" ht="15.75" customHeight="1">
      <c r="A126" s="4" t="s">
        <v>155</v>
      </c>
      <c r="B126" s="5">
        <v>45170.0</v>
      </c>
      <c r="C126" s="6" t="s">
        <v>14</v>
      </c>
      <c r="D126" s="6" t="s">
        <v>15</v>
      </c>
      <c r="E126" s="6" t="s">
        <v>16</v>
      </c>
      <c r="F126" s="6" t="s">
        <v>17</v>
      </c>
      <c r="G126" s="6">
        <v>25.0</v>
      </c>
      <c r="H126" s="6">
        <v>1.77</v>
      </c>
      <c r="I126" s="7">
        <f t="shared" si="7"/>
        <v>1</v>
      </c>
      <c r="J126" s="7">
        <f t="shared" si="8"/>
        <v>9</v>
      </c>
      <c r="K126" s="7">
        <f t="shared" si="6"/>
        <v>2023</v>
      </c>
      <c r="L126" s="7">
        <f t="shared" si="4"/>
        <v>44.25</v>
      </c>
      <c r="M126" s="6" t="str">
        <f t="shared" si="5"/>
        <v>Cheap</v>
      </c>
    </row>
    <row r="127" ht="15.75" customHeight="1">
      <c r="A127" s="4" t="s">
        <v>156</v>
      </c>
      <c r="B127" s="5">
        <v>45173.0</v>
      </c>
      <c r="C127" s="6" t="s">
        <v>14</v>
      </c>
      <c r="D127" s="6" t="s">
        <v>15</v>
      </c>
      <c r="E127" s="6" t="s">
        <v>33</v>
      </c>
      <c r="F127" s="6" t="s">
        <v>85</v>
      </c>
      <c r="G127" s="6">
        <v>26.0</v>
      </c>
      <c r="H127" s="6">
        <v>3.1500000000000004</v>
      </c>
      <c r="I127" s="7">
        <f t="shared" si="7"/>
        <v>4</v>
      </c>
      <c r="J127" s="7">
        <f t="shared" si="8"/>
        <v>9</v>
      </c>
      <c r="K127" s="7">
        <f t="shared" si="6"/>
        <v>2023</v>
      </c>
      <c r="L127" s="7">
        <f t="shared" si="4"/>
        <v>81.9</v>
      </c>
      <c r="M127" s="6" t="str">
        <f t="shared" si="5"/>
        <v>Cheap</v>
      </c>
    </row>
    <row r="128" ht="15.75" customHeight="1">
      <c r="A128" s="4" t="s">
        <v>157</v>
      </c>
      <c r="B128" s="5">
        <v>45182.0</v>
      </c>
      <c r="C128" s="6" t="s">
        <v>14</v>
      </c>
      <c r="D128" s="6" t="s">
        <v>23</v>
      </c>
      <c r="E128" s="6" t="s">
        <v>16</v>
      </c>
      <c r="F128" s="6" t="s">
        <v>17</v>
      </c>
      <c r="G128" s="6">
        <v>30.0</v>
      </c>
      <c r="H128" s="6">
        <v>1.77</v>
      </c>
      <c r="I128" s="7">
        <f t="shared" si="7"/>
        <v>13</v>
      </c>
      <c r="J128" s="7">
        <f t="shared" si="8"/>
        <v>9</v>
      </c>
      <c r="K128" s="7">
        <f t="shared" si="6"/>
        <v>2023</v>
      </c>
      <c r="L128" s="7">
        <f t="shared" si="4"/>
        <v>53.1</v>
      </c>
      <c r="M128" s="6" t="str">
        <f t="shared" si="5"/>
        <v>Cheap</v>
      </c>
    </row>
    <row r="129" ht="15.75" customHeight="1">
      <c r="A129" s="4" t="s">
        <v>158</v>
      </c>
      <c r="B129" s="5">
        <v>45185.0</v>
      </c>
      <c r="C129" s="6" t="s">
        <v>14</v>
      </c>
      <c r="D129" s="6" t="s">
        <v>23</v>
      </c>
      <c r="E129" s="6" t="s">
        <v>33</v>
      </c>
      <c r="F129" s="6" t="s">
        <v>34</v>
      </c>
      <c r="G129" s="6">
        <v>20.0</v>
      </c>
      <c r="H129" s="6">
        <v>1.6800000000000002</v>
      </c>
      <c r="I129" s="7">
        <f t="shared" si="7"/>
        <v>16</v>
      </c>
      <c r="J129" s="7">
        <f t="shared" si="8"/>
        <v>9</v>
      </c>
      <c r="K129" s="7">
        <f t="shared" si="6"/>
        <v>2023</v>
      </c>
      <c r="L129" s="7">
        <f t="shared" si="4"/>
        <v>33.6</v>
      </c>
      <c r="M129" s="6" t="str">
        <f t="shared" si="5"/>
        <v>Cheap</v>
      </c>
    </row>
    <row r="130" ht="15.75" customHeight="1">
      <c r="A130" s="4" t="s">
        <v>159</v>
      </c>
      <c r="B130" s="5">
        <v>45191.0</v>
      </c>
      <c r="C130" s="6" t="s">
        <v>14</v>
      </c>
      <c r="D130" s="6" t="s">
        <v>15</v>
      </c>
      <c r="E130" s="6" t="s">
        <v>24</v>
      </c>
      <c r="F130" s="6" t="s">
        <v>28</v>
      </c>
      <c r="G130" s="6">
        <v>40.0</v>
      </c>
      <c r="H130" s="6">
        <v>2.18</v>
      </c>
      <c r="I130" s="7">
        <f t="shared" si="7"/>
        <v>22</v>
      </c>
      <c r="J130" s="7">
        <f t="shared" si="8"/>
        <v>9</v>
      </c>
      <c r="K130" s="7">
        <f t="shared" si="6"/>
        <v>2023</v>
      </c>
      <c r="L130" s="7">
        <f t="shared" si="4"/>
        <v>87.2</v>
      </c>
      <c r="M130" s="6" t="str">
        <f t="shared" si="5"/>
        <v>Cheap</v>
      </c>
    </row>
    <row r="131" ht="15.75" customHeight="1">
      <c r="A131" s="4" t="s">
        <v>160</v>
      </c>
      <c r="B131" s="5">
        <v>45194.0</v>
      </c>
      <c r="C131" s="6" t="s">
        <v>14</v>
      </c>
      <c r="D131" s="6" t="s">
        <v>15</v>
      </c>
      <c r="E131" s="6" t="s">
        <v>16</v>
      </c>
      <c r="F131" s="6" t="s">
        <v>17</v>
      </c>
      <c r="G131" s="6">
        <v>31.0</v>
      </c>
      <c r="H131" s="6">
        <v>1.77</v>
      </c>
      <c r="I131" s="7">
        <f t="shared" si="7"/>
        <v>25</v>
      </c>
      <c r="J131" s="7">
        <f t="shared" si="8"/>
        <v>9</v>
      </c>
      <c r="K131" s="7">
        <f t="shared" si="6"/>
        <v>2023</v>
      </c>
      <c r="L131" s="7">
        <f t="shared" si="4"/>
        <v>54.87</v>
      </c>
      <c r="M131" s="6" t="str">
        <f t="shared" si="5"/>
        <v>Cheap</v>
      </c>
    </row>
    <row r="132" ht="15.75" customHeight="1">
      <c r="A132" s="4" t="s">
        <v>161</v>
      </c>
      <c r="B132" s="5">
        <v>45197.0</v>
      </c>
      <c r="C132" s="6" t="s">
        <v>14</v>
      </c>
      <c r="D132" s="6" t="s">
        <v>15</v>
      </c>
      <c r="E132" s="6" t="s">
        <v>33</v>
      </c>
      <c r="F132" s="6" t="s">
        <v>85</v>
      </c>
      <c r="G132" s="6">
        <v>21.0</v>
      </c>
      <c r="H132" s="6">
        <v>3.1500000000000004</v>
      </c>
      <c r="I132" s="7">
        <f t="shared" si="7"/>
        <v>28</v>
      </c>
      <c r="J132" s="7">
        <f t="shared" si="8"/>
        <v>9</v>
      </c>
      <c r="K132" s="7">
        <f t="shared" si="6"/>
        <v>2023</v>
      </c>
      <c r="L132" s="7">
        <f t="shared" si="4"/>
        <v>66.15</v>
      </c>
      <c r="M132" s="6" t="str">
        <f t="shared" si="5"/>
        <v>Cheap</v>
      </c>
    </row>
    <row r="133" ht="15.75" customHeight="1">
      <c r="A133" s="4" t="s">
        <v>162</v>
      </c>
      <c r="B133" s="5">
        <v>45206.0</v>
      </c>
      <c r="C133" s="6" t="s">
        <v>14</v>
      </c>
      <c r="D133" s="6" t="s">
        <v>23</v>
      </c>
      <c r="E133" s="6" t="s">
        <v>24</v>
      </c>
      <c r="F133" s="6" t="s">
        <v>28</v>
      </c>
      <c r="G133" s="6">
        <v>175.0</v>
      </c>
      <c r="H133" s="6">
        <v>2.18</v>
      </c>
      <c r="I133" s="7">
        <f t="shared" si="7"/>
        <v>7</v>
      </c>
      <c r="J133" s="7">
        <f t="shared" si="8"/>
        <v>10</v>
      </c>
      <c r="K133" s="7">
        <f t="shared" si="6"/>
        <v>2023</v>
      </c>
      <c r="L133" s="7">
        <f t="shared" si="4"/>
        <v>381.5</v>
      </c>
      <c r="M133" s="6" t="str">
        <f t="shared" si="5"/>
        <v>Expensive</v>
      </c>
    </row>
    <row r="134" ht="15.75" customHeight="1">
      <c r="A134" s="4" t="s">
        <v>163</v>
      </c>
      <c r="B134" s="5">
        <v>45209.0</v>
      </c>
      <c r="C134" s="6" t="s">
        <v>14</v>
      </c>
      <c r="D134" s="6" t="s">
        <v>23</v>
      </c>
      <c r="E134" s="6" t="s">
        <v>24</v>
      </c>
      <c r="F134" s="6" t="s">
        <v>25</v>
      </c>
      <c r="G134" s="6">
        <v>23.0</v>
      </c>
      <c r="H134" s="6">
        <v>1.8699999999999999</v>
      </c>
      <c r="I134" s="7">
        <f t="shared" si="7"/>
        <v>10</v>
      </c>
      <c r="J134" s="7">
        <f t="shared" si="8"/>
        <v>10</v>
      </c>
      <c r="K134" s="7">
        <f t="shared" si="6"/>
        <v>2023</v>
      </c>
      <c r="L134" s="7">
        <f t="shared" si="4"/>
        <v>43.01</v>
      </c>
      <c r="M134" s="6" t="str">
        <f t="shared" si="5"/>
        <v>Cheap</v>
      </c>
    </row>
    <row r="135" ht="15.75" customHeight="1">
      <c r="A135" s="4" t="s">
        <v>164</v>
      </c>
      <c r="B135" s="5">
        <v>45215.0</v>
      </c>
      <c r="C135" s="6" t="s">
        <v>14</v>
      </c>
      <c r="D135" s="6" t="s">
        <v>15</v>
      </c>
      <c r="E135" s="6" t="s">
        <v>24</v>
      </c>
      <c r="F135" s="6" t="s">
        <v>28</v>
      </c>
      <c r="G135" s="6">
        <v>87.0</v>
      </c>
      <c r="H135" s="6">
        <v>2.18</v>
      </c>
      <c r="I135" s="7">
        <f t="shared" si="7"/>
        <v>16</v>
      </c>
      <c r="J135" s="7">
        <f t="shared" si="8"/>
        <v>10</v>
      </c>
      <c r="K135" s="7">
        <f t="shared" si="6"/>
        <v>2023</v>
      </c>
      <c r="L135" s="7">
        <f t="shared" si="4"/>
        <v>189.66</v>
      </c>
      <c r="M135" s="6" t="str">
        <f t="shared" si="5"/>
        <v>Expensive</v>
      </c>
    </row>
    <row r="136" ht="15.75" customHeight="1">
      <c r="A136" s="4" t="s">
        <v>165</v>
      </c>
      <c r="B136" s="5">
        <v>45218.0</v>
      </c>
      <c r="C136" s="6" t="s">
        <v>14</v>
      </c>
      <c r="D136" s="6" t="s">
        <v>15</v>
      </c>
      <c r="E136" s="6" t="s">
        <v>16</v>
      </c>
      <c r="F136" s="6" t="s">
        <v>17</v>
      </c>
      <c r="G136" s="6">
        <v>43.0</v>
      </c>
      <c r="H136" s="6">
        <v>1.77</v>
      </c>
      <c r="I136" s="7">
        <f t="shared" si="7"/>
        <v>19</v>
      </c>
      <c r="J136" s="7">
        <f t="shared" si="8"/>
        <v>10</v>
      </c>
      <c r="K136" s="7">
        <f t="shared" si="6"/>
        <v>2023</v>
      </c>
      <c r="L136" s="7">
        <f t="shared" si="4"/>
        <v>76.11</v>
      </c>
      <c r="M136" s="6" t="str">
        <f t="shared" si="5"/>
        <v>Cheap</v>
      </c>
    </row>
    <row r="137" ht="15.75" customHeight="1">
      <c r="A137" s="4" t="s">
        <v>166</v>
      </c>
      <c r="B137" s="5">
        <v>45221.0</v>
      </c>
      <c r="C137" s="6" t="s">
        <v>14</v>
      </c>
      <c r="D137" s="6" t="s">
        <v>15</v>
      </c>
      <c r="E137" s="6" t="s">
        <v>19</v>
      </c>
      <c r="F137" s="6" t="s">
        <v>20</v>
      </c>
      <c r="G137" s="6">
        <v>30.0</v>
      </c>
      <c r="H137" s="6">
        <v>3.49</v>
      </c>
      <c r="I137" s="7">
        <f t="shared" si="7"/>
        <v>22</v>
      </c>
      <c r="J137" s="7">
        <f t="shared" si="8"/>
        <v>10</v>
      </c>
      <c r="K137" s="7">
        <f t="shared" si="6"/>
        <v>2023</v>
      </c>
      <c r="L137" s="7">
        <f t="shared" si="4"/>
        <v>104.7</v>
      </c>
      <c r="M137" s="6" t="str">
        <f t="shared" si="5"/>
        <v>Expensive</v>
      </c>
    </row>
    <row r="138" ht="15.75" customHeight="1">
      <c r="A138" s="4" t="s">
        <v>167</v>
      </c>
      <c r="B138" s="5">
        <v>45227.0</v>
      </c>
      <c r="C138" s="6" t="s">
        <v>14</v>
      </c>
      <c r="D138" s="6" t="s">
        <v>23</v>
      </c>
      <c r="E138" s="6" t="s">
        <v>16</v>
      </c>
      <c r="F138" s="6" t="s">
        <v>49</v>
      </c>
      <c r="G138" s="6">
        <v>57.0</v>
      </c>
      <c r="H138" s="6">
        <v>1.87</v>
      </c>
      <c r="I138" s="7">
        <f t="shared" si="7"/>
        <v>28</v>
      </c>
      <c r="J138" s="7">
        <f t="shared" si="8"/>
        <v>10</v>
      </c>
      <c r="K138" s="7">
        <f t="shared" si="6"/>
        <v>2023</v>
      </c>
      <c r="L138" s="7">
        <f t="shared" si="4"/>
        <v>106.59</v>
      </c>
      <c r="M138" s="6" t="str">
        <f t="shared" si="5"/>
        <v>Expensive</v>
      </c>
    </row>
    <row r="139" ht="15.75" customHeight="1">
      <c r="A139" s="4" t="s">
        <v>168</v>
      </c>
      <c r="B139" s="5">
        <v>45230.0</v>
      </c>
      <c r="C139" s="6" t="s">
        <v>14</v>
      </c>
      <c r="D139" s="6" t="s">
        <v>23</v>
      </c>
      <c r="E139" s="6" t="s">
        <v>33</v>
      </c>
      <c r="F139" s="6" t="s">
        <v>34</v>
      </c>
      <c r="G139" s="6">
        <v>25.0</v>
      </c>
      <c r="H139" s="6">
        <v>1.68</v>
      </c>
      <c r="I139" s="7">
        <f t="shared" si="7"/>
        <v>31</v>
      </c>
      <c r="J139" s="7">
        <f t="shared" si="8"/>
        <v>10</v>
      </c>
      <c r="K139" s="7">
        <f t="shared" si="6"/>
        <v>2023</v>
      </c>
      <c r="L139" s="7">
        <f t="shared" si="4"/>
        <v>42</v>
      </c>
      <c r="M139" s="6" t="str">
        <f t="shared" si="5"/>
        <v>Cheap</v>
      </c>
    </row>
    <row r="140" ht="15.75" customHeight="1">
      <c r="A140" s="4" t="s">
        <v>169</v>
      </c>
      <c r="B140" s="5">
        <v>45236.0</v>
      </c>
      <c r="C140" s="6" t="s">
        <v>14</v>
      </c>
      <c r="D140" s="6" t="s">
        <v>15</v>
      </c>
      <c r="E140" s="6" t="s">
        <v>16</v>
      </c>
      <c r="F140" s="6" t="s">
        <v>49</v>
      </c>
      <c r="G140" s="6">
        <v>83.0</v>
      </c>
      <c r="H140" s="6">
        <v>1.87</v>
      </c>
      <c r="I140" s="7">
        <f t="shared" si="7"/>
        <v>6</v>
      </c>
      <c r="J140" s="7">
        <f t="shared" si="8"/>
        <v>11</v>
      </c>
      <c r="K140" s="7">
        <f t="shared" si="6"/>
        <v>2023</v>
      </c>
      <c r="L140" s="7">
        <f t="shared" si="4"/>
        <v>155.21</v>
      </c>
      <c r="M140" s="6" t="str">
        <f t="shared" si="5"/>
        <v>Expensive</v>
      </c>
    </row>
    <row r="141" ht="15.75" customHeight="1">
      <c r="A141" s="4" t="s">
        <v>170</v>
      </c>
      <c r="B141" s="5">
        <v>45239.0</v>
      </c>
      <c r="C141" s="6" t="s">
        <v>14</v>
      </c>
      <c r="D141" s="6" t="s">
        <v>15</v>
      </c>
      <c r="E141" s="6" t="s">
        <v>24</v>
      </c>
      <c r="F141" s="6" t="s">
        <v>42</v>
      </c>
      <c r="G141" s="6">
        <v>124.0</v>
      </c>
      <c r="H141" s="6">
        <v>2.8400000000000003</v>
      </c>
      <c r="I141" s="7">
        <f t="shared" si="7"/>
        <v>9</v>
      </c>
      <c r="J141" s="7">
        <f t="shared" si="8"/>
        <v>11</v>
      </c>
      <c r="K141" s="7">
        <f t="shared" si="6"/>
        <v>2023</v>
      </c>
      <c r="L141" s="7">
        <f t="shared" si="4"/>
        <v>352.16</v>
      </c>
      <c r="M141" s="6" t="str">
        <f t="shared" si="5"/>
        <v>Expensive</v>
      </c>
    </row>
    <row r="142" ht="15.75" customHeight="1">
      <c r="A142" s="4" t="s">
        <v>171</v>
      </c>
      <c r="B142" s="5">
        <v>45245.0</v>
      </c>
      <c r="C142" s="6" t="s">
        <v>14</v>
      </c>
      <c r="D142" s="6" t="s">
        <v>23</v>
      </c>
      <c r="E142" s="6" t="s">
        <v>24</v>
      </c>
      <c r="F142" s="6" t="s">
        <v>28</v>
      </c>
      <c r="G142" s="6">
        <v>146.0</v>
      </c>
      <c r="H142" s="6">
        <v>2.1799999999999997</v>
      </c>
      <c r="I142" s="7">
        <f t="shared" si="7"/>
        <v>15</v>
      </c>
      <c r="J142" s="7">
        <f t="shared" si="8"/>
        <v>11</v>
      </c>
      <c r="K142" s="7">
        <f t="shared" si="6"/>
        <v>2023</v>
      </c>
      <c r="L142" s="7">
        <f t="shared" si="4"/>
        <v>318.28</v>
      </c>
      <c r="M142" s="6" t="str">
        <f t="shared" si="5"/>
        <v>Expensive</v>
      </c>
    </row>
    <row r="143" ht="15.75" customHeight="1">
      <c r="A143" s="4" t="s">
        <v>172</v>
      </c>
      <c r="B143" s="5">
        <v>45248.0</v>
      </c>
      <c r="C143" s="6" t="s">
        <v>14</v>
      </c>
      <c r="D143" s="6" t="s">
        <v>23</v>
      </c>
      <c r="E143" s="6" t="s">
        <v>24</v>
      </c>
      <c r="F143" s="6" t="s">
        <v>25</v>
      </c>
      <c r="G143" s="6">
        <v>34.0</v>
      </c>
      <c r="H143" s="6">
        <v>1.8699999999999999</v>
      </c>
      <c r="I143" s="7">
        <f t="shared" si="7"/>
        <v>18</v>
      </c>
      <c r="J143" s="7">
        <f t="shared" si="8"/>
        <v>11</v>
      </c>
      <c r="K143" s="7">
        <f t="shared" si="6"/>
        <v>2023</v>
      </c>
      <c r="L143" s="7">
        <f t="shared" si="4"/>
        <v>63.58</v>
      </c>
      <c r="M143" s="6" t="str">
        <f t="shared" si="5"/>
        <v>Cheap</v>
      </c>
    </row>
    <row r="144" ht="15.75" customHeight="1">
      <c r="A144" s="4" t="s">
        <v>173</v>
      </c>
      <c r="B144" s="5">
        <v>45254.0</v>
      </c>
      <c r="C144" s="6" t="s">
        <v>14</v>
      </c>
      <c r="D144" s="6" t="s">
        <v>15</v>
      </c>
      <c r="E144" s="6" t="s">
        <v>24</v>
      </c>
      <c r="F144" s="6" t="s">
        <v>28</v>
      </c>
      <c r="G144" s="6">
        <v>139.0</v>
      </c>
      <c r="H144" s="6">
        <v>2.1799999999999997</v>
      </c>
      <c r="I144" s="7">
        <f t="shared" si="7"/>
        <v>24</v>
      </c>
      <c r="J144" s="7">
        <f t="shared" si="8"/>
        <v>11</v>
      </c>
      <c r="K144" s="7">
        <f t="shared" si="6"/>
        <v>2023</v>
      </c>
      <c r="L144" s="7">
        <f t="shared" si="4"/>
        <v>303.02</v>
      </c>
      <c r="M144" s="6" t="str">
        <f t="shared" si="5"/>
        <v>Expensive</v>
      </c>
    </row>
    <row r="145" ht="15.75" customHeight="1">
      <c r="A145" s="4" t="s">
        <v>174</v>
      </c>
      <c r="B145" s="5">
        <v>45257.0</v>
      </c>
      <c r="C145" s="6" t="s">
        <v>14</v>
      </c>
      <c r="D145" s="6" t="s">
        <v>15</v>
      </c>
      <c r="E145" s="6" t="s">
        <v>24</v>
      </c>
      <c r="F145" s="6" t="s">
        <v>25</v>
      </c>
      <c r="G145" s="6">
        <v>211.0</v>
      </c>
      <c r="H145" s="6">
        <v>1.8699999999999999</v>
      </c>
      <c r="I145" s="7">
        <f t="shared" si="7"/>
        <v>27</v>
      </c>
      <c r="J145" s="7">
        <f t="shared" si="8"/>
        <v>11</v>
      </c>
      <c r="K145" s="7">
        <f t="shared" si="6"/>
        <v>2023</v>
      </c>
      <c r="L145" s="7">
        <f t="shared" si="4"/>
        <v>394.57</v>
      </c>
      <c r="M145" s="6" t="str">
        <f t="shared" si="5"/>
        <v>Expensive</v>
      </c>
    </row>
    <row r="146" ht="15.75" customHeight="1">
      <c r="A146" s="4" t="s">
        <v>175</v>
      </c>
      <c r="B146" s="5">
        <v>45260.0</v>
      </c>
      <c r="C146" s="6" t="s">
        <v>14</v>
      </c>
      <c r="D146" s="6" t="s">
        <v>15</v>
      </c>
      <c r="E146" s="6" t="s">
        <v>19</v>
      </c>
      <c r="F146" s="6" t="s">
        <v>20</v>
      </c>
      <c r="G146" s="6">
        <v>20.0</v>
      </c>
      <c r="H146" s="6">
        <v>3.4899999999999998</v>
      </c>
      <c r="I146" s="7">
        <f t="shared" si="7"/>
        <v>30</v>
      </c>
      <c r="J146" s="7">
        <f t="shared" si="8"/>
        <v>11</v>
      </c>
      <c r="K146" s="7">
        <f t="shared" si="6"/>
        <v>2023</v>
      </c>
      <c r="L146" s="7">
        <f t="shared" si="4"/>
        <v>69.8</v>
      </c>
      <c r="M146" s="6" t="str">
        <f t="shared" si="5"/>
        <v>Cheap</v>
      </c>
    </row>
    <row r="147" ht="15.75" customHeight="1">
      <c r="A147" s="4" t="s">
        <v>176</v>
      </c>
      <c r="B147" s="5">
        <v>45269.0</v>
      </c>
      <c r="C147" s="6" t="s">
        <v>14</v>
      </c>
      <c r="D147" s="6" t="s">
        <v>23</v>
      </c>
      <c r="E147" s="6" t="s">
        <v>16</v>
      </c>
      <c r="F147" s="6" t="s">
        <v>17</v>
      </c>
      <c r="G147" s="6">
        <v>38.0</v>
      </c>
      <c r="H147" s="6">
        <v>1.7700000000000002</v>
      </c>
      <c r="I147" s="7">
        <f t="shared" si="7"/>
        <v>9</v>
      </c>
      <c r="J147" s="7">
        <f t="shared" si="8"/>
        <v>12</v>
      </c>
      <c r="K147" s="7">
        <f t="shared" si="6"/>
        <v>2023</v>
      </c>
      <c r="L147" s="7">
        <f t="shared" si="4"/>
        <v>67.26</v>
      </c>
      <c r="M147" s="6" t="str">
        <f t="shared" si="5"/>
        <v>Cheap</v>
      </c>
    </row>
    <row r="148" ht="15.75" customHeight="1">
      <c r="A148" s="4" t="s">
        <v>177</v>
      </c>
      <c r="B148" s="5">
        <v>45272.0</v>
      </c>
      <c r="C148" s="6" t="s">
        <v>14</v>
      </c>
      <c r="D148" s="6" t="s">
        <v>23</v>
      </c>
      <c r="E148" s="6" t="s">
        <v>19</v>
      </c>
      <c r="F148" s="6" t="s">
        <v>20</v>
      </c>
      <c r="G148" s="6">
        <v>25.0</v>
      </c>
      <c r="H148" s="6">
        <v>3.49</v>
      </c>
      <c r="I148" s="7">
        <f t="shared" si="7"/>
        <v>12</v>
      </c>
      <c r="J148" s="7">
        <f t="shared" si="8"/>
        <v>12</v>
      </c>
      <c r="K148" s="7">
        <f t="shared" si="6"/>
        <v>2023</v>
      </c>
      <c r="L148" s="7">
        <f t="shared" si="4"/>
        <v>87.25</v>
      </c>
      <c r="M148" s="6" t="str">
        <f t="shared" si="5"/>
        <v>Cheap</v>
      </c>
    </row>
    <row r="149" ht="15.75" customHeight="1">
      <c r="A149" s="4" t="s">
        <v>178</v>
      </c>
      <c r="B149" s="5">
        <v>45278.0</v>
      </c>
      <c r="C149" s="6" t="s">
        <v>14</v>
      </c>
      <c r="D149" s="6" t="s">
        <v>15</v>
      </c>
      <c r="E149" s="6" t="s">
        <v>24</v>
      </c>
      <c r="F149" s="6" t="s">
        <v>28</v>
      </c>
      <c r="G149" s="6">
        <v>34.0</v>
      </c>
      <c r="H149" s="6">
        <v>2.18</v>
      </c>
      <c r="I149" s="7">
        <f t="shared" si="7"/>
        <v>18</v>
      </c>
      <c r="J149" s="7">
        <f t="shared" si="8"/>
        <v>12</v>
      </c>
      <c r="K149" s="7">
        <f t="shared" si="6"/>
        <v>2023</v>
      </c>
      <c r="L149" s="7">
        <f t="shared" si="4"/>
        <v>74.12</v>
      </c>
      <c r="M149" s="6" t="str">
        <f t="shared" si="5"/>
        <v>Cheap</v>
      </c>
    </row>
    <row r="150" ht="15.75" customHeight="1">
      <c r="A150" s="4" t="s">
        <v>179</v>
      </c>
      <c r="B150" s="5">
        <v>45281.0</v>
      </c>
      <c r="C150" s="6" t="s">
        <v>14</v>
      </c>
      <c r="D150" s="6" t="s">
        <v>15</v>
      </c>
      <c r="E150" s="6" t="s">
        <v>24</v>
      </c>
      <c r="F150" s="6" t="s">
        <v>25</v>
      </c>
      <c r="G150" s="6">
        <v>245.0</v>
      </c>
      <c r="H150" s="6">
        <v>1.8699999999999999</v>
      </c>
      <c r="I150" s="7">
        <f t="shared" si="7"/>
        <v>21</v>
      </c>
      <c r="J150" s="7">
        <f t="shared" si="8"/>
        <v>12</v>
      </c>
      <c r="K150" s="7">
        <f t="shared" si="6"/>
        <v>2023</v>
      </c>
      <c r="L150" s="7">
        <f t="shared" si="4"/>
        <v>458.15</v>
      </c>
      <c r="M150" s="6" t="str">
        <f t="shared" si="5"/>
        <v>Expensive</v>
      </c>
    </row>
    <row r="151" ht="15.75" customHeight="1">
      <c r="A151" s="4" t="s">
        <v>180</v>
      </c>
      <c r="B151" s="5">
        <v>45284.0</v>
      </c>
      <c r="C151" s="6" t="s">
        <v>14</v>
      </c>
      <c r="D151" s="6" t="s">
        <v>15</v>
      </c>
      <c r="E151" s="6" t="s">
        <v>19</v>
      </c>
      <c r="F151" s="6" t="s">
        <v>20</v>
      </c>
      <c r="G151" s="6">
        <v>30.0</v>
      </c>
      <c r="H151" s="6">
        <v>3.49</v>
      </c>
      <c r="I151" s="7">
        <f t="shared" si="7"/>
        <v>24</v>
      </c>
      <c r="J151" s="7">
        <f t="shared" si="8"/>
        <v>12</v>
      </c>
      <c r="K151" s="7">
        <f t="shared" si="6"/>
        <v>2023</v>
      </c>
      <c r="L151" s="7">
        <f t="shared" si="4"/>
        <v>104.7</v>
      </c>
      <c r="M151" s="6" t="str">
        <f t="shared" si="5"/>
        <v>Expensive</v>
      </c>
    </row>
    <row r="152" ht="15.75" customHeight="1">
      <c r="A152" s="4" t="s">
        <v>181</v>
      </c>
      <c r="B152" s="5">
        <v>44568.0</v>
      </c>
      <c r="C152" s="6" t="s">
        <v>182</v>
      </c>
      <c r="D152" s="6" t="s">
        <v>183</v>
      </c>
      <c r="E152" s="6" t="s">
        <v>24</v>
      </c>
      <c r="F152" s="6" t="s">
        <v>25</v>
      </c>
      <c r="G152" s="6">
        <v>58.0</v>
      </c>
      <c r="H152" s="6">
        <v>1.8699999999999999</v>
      </c>
      <c r="I152" s="7">
        <f t="shared" si="7"/>
        <v>7</v>
      </c>
      <c r="J152" s="7">
        <f t="shared" si="8"/>
        <v>1</v>
      </c>
      <c r="K152" s="7">
        <f t="shared" si="6"/>
        <v>2022</v>
      </c>
      <c r="L152" s="7">
        <f t="shared" si="4"/>
        <v>108.46</v>
      </c>
      <c r="M152" s="6" t="str">
        <f t="shared" si="5"/>
        <v>Expensive</v>
      </c>
      <c r="P152" s="10"/>
      <c r="Q152" s="11"/>
      <c r="R152" s="11"/>
      <c r="S152" s="11"/>
      <c r="T152" s="11"/>
      <c r="U152" s="11"/>
      <c r="V152" s="11"/>
    </row>
    <row r="153" ht="15.75" customHeight="1">
      <c r="A153" s="4" t="s">
        <v>184</v>
      </c>
      <c r="B153" s="5">
        <v>44583.0</v>
      </c>
      <c r="C153" s="6" t="s">
        <v>182</v>
      </c>
      <c r="D153" s="6" t="s">
        <v>183</v>
      </c>
      <c r="E153" s="6" t="s">
        <v>16</v>
      </c>
      <c r="F153" s="6" t="s">
        <v>17</v>
      </c>
      <c r="G153" s="6">
        <v>51.0</v>
      </c>
      <c r="H153" s="6">
        <v>1.77</v>
      </c>
      <c r="I153" s="7">
        <f t="shared" si="7"/>
        <v>22</v>
      </c>
      <c r="J153" s="7">
        <f t="shared" si="8"/>
        <v>1</v>
      </c>
      <c r="K153" s="7">
        <f t="shared" si="6"/>
        <v>2022</v>
      </c>
      <c r="L153" s="7">
        <f t="shared" si="4"/>
        <v>90.27</v>
      </c>
      <c r="M153" s="6" t="str">
        <f t="shared" si="5"/>
        <v>Cheap</v>
      </c>
    </row>
    <row r="154" ht="15.75" customHeight="1">
      <c r="A154" s="4" t="s">
        <v>185</v>
      </c>
      <c r="B154" s="5">
        <v>44601.0</v>
      </c>
      <c r="C154" s="6" t="s">
        <v>182</v>
      </c>
      <c r="D154" s="6" t="s">
        <v>183</v>
      </c>
      <c r="E154" s="6" t="s">
        <v>16</v>
      </c>
      <c r="F154" s="6" t="s">
        <v>17</v>
      </c>
      <c r="G154" s="6">
        <v>44.0</v>
      </c>
      <c r="H154" s="6">
        <v>1.7699999999999998</v>
      </c>
      <c r="I154" s="7">
        <f t="shared" si="7"/>
        <v>9</v>
      </c>
      <c r="J154" s="7">
        <f t="shared" si="8"/>
        <v>2</v>
      </c>
      <c r="K154" s="7">
        <f t="shared" si="6"/>
        <v>2022</v>
      </c>
      <c r="L154" s="7">
        <f t="shared" si="4"/>
        <v>77.88</v>
      </c>
      <c r="M154" s="6" t="str">
        <f t="shared" si="5"/>
        <v>Cheap</v>
      </c>
    </row>
    <row r="155" ht="15.75" customHeight="1">
      <c r="A155" s="4" t="s">
        <v>186</v>
      </c>
      <c r="B155" s="5">
        <v>44616.0</v>
      </c>
      <c r="C155" s="6" t="s">
        <v>182</v>
      </c>
      <c r="D155" s="6" t="s">
        <v>183</v>
      </c>
      <c r="E155" s="6" t="s">
        <v>16</v>
      </c>
      <c r="F155" s="6" t="s">
        <v>49</v>
      </c>
      <c r="G155" s="6">
        <v>42.0</v>
      </c>
      <c r="H155" s="6">
        <v>1.87</v>
      </c>
      <c r="I155" s="7">
        <f t="shared" si="7"/>
        <v>24</v>
      </c>
      <c r="J155" s="7">
        <f t="shared" si="8"/>
        <v>2</v>
      </c>
      <c r="K155" s="7">
        <f t="shared" si="6"/>
        <v>2022</v>
      </c>
      <c r="L155" s="7">
        <f t="shared" si="4"/>
        <v>78.54</v>
      </c>
      <c r="M155" s="6" t="str">
        <f t="shared" si="5"/>
        <v>Cheap</v>
      </c>
    </row>
    <row r="156" ht="15.75" customHeight="1">
      <c r="A156" s="4" t="s">
        <v>187</v>
      </c>
      <c r="B156" s="5">
        <v>44619.0</v>
      </c>
      <c r="C156" s="6" t="s">
        <v>182</v>
      </c>
      <c r="D156" s="6" t="s">
        <v>183</v>
      </c>
      <c r="E156" s="6" t="s">
        <v>24</v>
      </c>
      <c r="F156" s="6" t="s">
        <v>42</v>
      </c>
      <c r="G156" s="6">
        <v>33.0</v>
      </c>
      <c r="H156" s="6">
        <v>2.84</v>
      </c>
      <c r="I156" s="7">
        <f t="shared" si="7"/>
        <v>27</v>
      </c>
      <c r="J156" s="7">
        <f t="shared" si="8"/>
        <v>2</v>
      </c>
      <c r="K156" s="7">
        <f t="shared" si="6"/>
        <v>2022</v>
      </c>
      <c r="L156" s="7">
        <f t="shared" si="4"/>
        <v>93.72</v>
      </c>
      <c r="M156" s="6" t="str">
        <f t="shared" si="5"/>
        <v>Cheap</v>
      </c>
    </row>
    <row r="157" ht="15.75" customHeight="1">
      <c r="A157" s="4" t="s">
        <v>188</v>
      </c>
      <c r="B157" s="5">
        <v>44625.0</v>
      </c>
      <c r="C157" s="6" t="s">
        <v>182</v>
      </c>
      <c r="D157" s="6" t="s">
        <v>189</v>
      </c>
      <c r="E157" s="6" t="s">
        <v>24</v>
      </c>
      <c r="F157" s="6" t="s">
        <v>42</v>
      </c>
      <c r="G157" s="6">
        <v>30.0</v>
      </c>
      <c r="H157" s="6">
        <v>2.8400000000000003</v>
      </c>
      <c r="I157" s="7">
        <f t="shared" si="7"/>
        <v>5</v>
      </c>
      <c r="J157" s="7">
        <f t="shared" si="8"/>
        <v>3</v>
      </c>
      <c r="K157" s="7">
        <f t="shared" si="6"/>
        <v>2022</v>
      </c>
      <c r="L157" s="7">
        <f t="shared" si="4"/>
        <v>85.2</v>
      </c>
      <c r="M157" s="6" t="str">
        <f t="shared" si="5"/>
        <v>Cheap</v>
      </c>
    </row>
    <row r="158" ht="15.75" customHeight="1">
      <c r="A158" s="4" t="s">
        <v>190</v>
      </c>
      <c r="B158" s="5">
        <v>44634.0</v>
      </c>
      <c r="C158" s="6" t="s">
        <v>182</v>
      </c>
      <c r="D158" s="6" t="s">
        <v>183</v>
      </c>
      <c r="E158" s="6" t="s">
        <v>24</v>
      </c>
      <c r="F158" s="6" t="s">
        <v>25</v>
      </c>
      <c r="G158" s="6">
        <v>86.0</v>
      </c>
      <c r="H158" s="6">
        <v>1.8699999999999999</v>
      </c>
      <c r="I158" s="7">
        <f t="shared" si="7"/>
        <v>14</v>
      </c>
      <c r="J158" s="7">
        <f t="shared" si="8"/>
        <v>3</v>
      </c>
      <c r="K158" s="7">
        <f t="shared" si="6"/>
        <v>2022</v>
      </c>
      <c r="L158" s="7">
        <f t="shared" si="4"/>
        <v>160.82</v>
      </c>
      <c r="M158" s="6" t="str">
        <f t="shared" si="5"/>
        <v>Expensive</v>
      </c>
    </row>
    <row r="159" ht="15.75" customHeight="1">
      <c r="A159" s="4" t="s">
        <v>191</v>
      </c>
      <c r="B159" s="5">
        <v>44643.0</v>
      </c>
      <c r="C159" s="6" t="s">
        <v>182</v>
      </c>
      <c r="D159" s="6" t="s">
        <v>189</v>
      </c>
      <c r="E159" s="6" t="s">
        <v>24</v>
      </c>
      <c r="F159" s="6" t="s">
        <v>25</v>
      </c>
      <c r="G159" s="6">
        <v>39.0</v>
      </c>
      <c r="H159" s="6">
        <v>1.87</v>
      </c>
      <c r="I159" s="7">
        <f t="shared" si="7"/>
        <v>23</v>
      </c>
      <c r="J159" s="7">
        <f t="shared" si="8"/>
        <v>3</v>
      </c>
      <c r="K159" s="7">
        <f t="shared" si="6"/>
        <v>2022</v>
      </c>
      <c r="L159" s="7">
        <f t="shared" si="4"/>
        <v>72.93</v>
      </c>
      <c r="M159" s="6" t="str">
        <f t="shared" si="5"/>
        <v>Cheap</v>
      </c>
    </row>
    <row r="160" ht="15.75" customHeight="1">
      <c r="A160" s="4" t="s">
        <v>192</v>
      </c>
      <c r="B160" s="5">
        <v>44652.0</v>
      </c>
      <c r="C160" s="6" t="s">
        <v>182</v>
      </c>
      <c r="D160" s="6" t="s">
        <v>183</v>
      </c>
      <c r="E160" s="6" t="s">
        <v>16</v>
      </c>
      <c r="F160" s="6" t="s">
        <v>17</v>
      </c>
      <c r="G160" s="6">
        <v>58.0</v>
      </c>
      <c r="H160" s="6">
        <v>1.77</v>
      </c>
      <c r="I160" s="7">
        <f t="shared" si="7"/>
        <v>1</v>
      </c>
      <c r="J160" s="7">
        <f t="shared" si="8"/>
        <v>4</v>
      </c>
      <c r="K160" s="7">
        <f t="shared" si="6"/>
        <v>2022</v>
      </c>
      <c r="L160" s="7">
        <f t="shared" si="4"/>
        <v>102.66</v>
      </c>
      <c r="M160" s="6" t="str">
        <f t="shared" si="5"/>
        <v>Expensive</v>
      </c>
    </row>
    <row r="161" ht="15.75" customHeight="1">
      <c r="A161" s="4" t="s">
        <v>193</v>
      </c>
      <c r="B161" s="5">
        <v>44655.0</v>
      </c>
      <c r="C161" s="6" t="s">
        <v>182</v>
      </c>
      <c r="D161" s="6" t="s">
        <v>183</v>
      </c>
      <c r="E161" s="6" t="s">
        <v>33</v>
      </c>
      <c r="F161" s="6" t="s">
        <v>34</v>
      </c>
      <c r="G161" s="6">
        <v>68.0</v>
      </c>
      <c r="H161" s="6">
        <v>1.68</v>
      </c>
      <c r="I161" s="7">
        <f t="shared" si="7"/>
        <v>4</v>
      </c>
      <c r="J161" s="7">
        <f t="shared" si="8"/>
        <v>4</v>
      </c>
      <c r="K161" s="7">
        <f t="shared" si="6"/>
        <v>2022</v>
      </c>
      <c r="L161" s="7">
        <f t="shared" si="4"/>
        <v>114.24</v>
      </c>
      <c r="M161" s="6" t="str">
        <f t="shared" si="5"/>
        <v>Expensive</v>
      </c>
    </row>
    <row r="162" ht="15.75" customHeight="1">
      <c r="A162" s="4" t="s">
        <v>194</v>
      </c>
      <c r="B162" s="5">
        <v>44664.0</v>
      </c>
      <c r="C162" s="6" t="s">
        <v>182</v>
      </c>
      <c r="D162" s="6" t="s">
        <v>189</v>
      </c>
      <c r="E162" s="6" t="s">
        <v>33</v>
      </c>
      <c r="F162" s="6" t="s">
        <v>34</v>
      </c>
      <c r="G162" s="6">
        <v>28.0</v>
      </c>
      <c r="H162" s="6">
        <v>1.68</v>
      </c>
      <c r="I162" s="7">
        <f t="shared" si="7"/>
        <v>13</v>
      </c>
      <c r="J162" s="7">
        <f t="shared" si="8"/>
        <v>4</v>
      </c>
      <c r="K162" s="7">
        <f t="shared" si="6"/>
        <v>2022</v>
      </c>
      <c r="L162" s="7">
        <f t="shared" si="4"/>
        <v>47.04</v>
      </c>
      <c r="M162" s="6" t="str">
        <f t="shared" si="5"/>
        <v>Cheap</v>
      </c>
    </row>
    <row r="163" ht="15.75" customHeight="1">
      <c r="A163" s="4" t="s">
        <v>195</v>
      </c>
      <c r="B163" s="5">
        <v>44673.0</v>
      </c>
      <c r="C163" s="6" t="s">
        <v>182</v>
      </c>
      <c r="D163" s="6" t="s">
        <v>183</v>
      </c>
      <c r="E163" s="6" t="s">
        <v>16</v>
      </c>
      <c r="F163" s="6" t="s">
        <v>17</v>
      </c>
      <c r="G163" s="6">
        <v>20.0</v>
      </c>
      <c r="H163" s="6">
        <v>1.77</v>
      </c>
      <c r="I163" s="7">
        <f t="shared" si="7"/>
        <v>22</v>
      </c>
      <c r="J163" s="7">
        <f t="shared" si="8"/>
        <v>4</v>
      </c>
      <c r="K163" s="7">
        <f t="shared" si="6"/>
        <v>2022</v>
      </c>
      <c r="L163" s="7">
        <f t="shared" si="4"/>
        <v>35.4</v>
      </c>
      <c r="M163" s="6" t="str">
        <f t="shared" si="5"/>
        <v>Cheap</v>
      </c>
    </row>
    <row r="164" ht="15.75" customHeight="1">
      <c r="A164" s="4" t="s">
        <v>196</v>
      </c>
      <c r="B164" s="5">
        <v>44682.0</v>
      </c>
      <c r="C164" s="6" t="s">
        <v>182</v>
      </c>
      <c r="D164" s="6" t="s">
        <v>189</v>
      </c>
      <c r="E164" s="6" t="s">
        <v>24</v>
      </c>
      <c r="F164" s="6" t="s">
        <v>25</v>
      </c>
      <c r="G164" s="6">
        <v>63.0</v>
      </c>
      <c r="H164" s="6">
        <v>1.87</v>
      </c>
      <c r="I164" s="7">
        <f t="shared" si="7"/>
        <v>1</v>
      </c>
      <c r="J164" s="7">
        <f t="shared" si="8"/>
        <v>5</v>
      </c>
      <c r="K164" s="7">
        <f t="shared" si="6"/>
        <v>2022</v>
      </c>
      <c r="L164" s="7">
        <f t="shared" si="4"/>
        <v>117.81</v>
      </c>
      <c r="M164" s="6" t="str">
        <f t="shared" si="5"/>
        <v>Expensive</v>
      </c>
    </row>
    <row r="165" ht="15.75" customHeight="1">
      <c r="A165" s="4" t="s">
        <v>197</v>
      </c>
      <c r="B165" s="5">
        <v>44691.0</v>
      </c>
      <c r="C165" s="6" t="s">
        <v>182</v>
      </c>
      <c r="D165" s="6" t="s">
        <v>183</v>
      </c>
      <c r="E165" s="6" t="s">
        <v>16</v>
      </c>
      <c r="F165" s="6" t="s">
        <v>17</v>
      </c>
      <c r="G165" s="6">
        <v>25.0</v>
      </c>
      <c r="H165" s="6">
        <v>1.77</v>
      </c>
      <c r="I165" s="7">
        <f t="shared" si="7"/>
        <v>10</v>
      </c>
      <c r="J165" s="7">
        <f t="shared" si="8"/>
        <v>5</v>
      </c>
      <c r="K165" s="7">
        <f t="shared" si="6"/>
        <v>2022</v>
      </c>
      <c r="L165" s="7">
        <f t="shared" si="4"/>
        <v>44.25</v>
      </c>
      <c r="M165" s="6" t="str">
        <f t="shared" si="5"/>
        <v>Cheap</v>
      </c>
    </row>
    <row r="166" ht="15.75" customHeight="1">
      <c r="A166" s="4" t="s">
        <v>198</v>
      </c>
      <c r="B166" s="5">
        <v>44694.0</v>
      </c>
      <c r="C166" s="6" t="s">
        <v>182</v>
      </c>
      <c r="D166" s="6" t="s">
        <v>183</v>
      </c>
      <c r="E166" s="6" t="s">
        <v>19</v>
      </c>
      <c r="F166" s="6" t="s">
        <v>20</v>
      </c>
      <c r="G166" s="6">
        <v>21.0</v>
      </c>
      <c r="H166" s="6">
        <v>3.49</v>
      </c>
      <c r="I166" s="7">
        <f t="shared" si="7"/>
        <v>13</v>
      </c>
      <c r="J166" s="7">
        <f t="shared" si="8"/>
        <v>5</v>
      </c>
      <c r="K166" s="7">
        <f t="shared" si="6"/>
        <v>2022</v>
      </c>
      <c r="L166" s="7">
        <f t="shared" si="4"/>
        <v>73.29</v>
      </c>
      <c r="M166" s="6" t="str">
        <f t="shared" si="5"/>
        <v>Cheap</v>
      </c>
    </row>
    <row r="167" ht="15.75" customHeight="1">
      <c r="A167" s="4" t="s">
        <v>199</v>
      </c>
      <c r="B167" s="5">
        <v>44703.0</v>
      </c>
      <c r="C167" s="6" t="s">
        <v>182</v>
      </c>
      <c r="D167" s="6" t="s">
        <v>189</v>
      </c>
      <c r="E167" s="6" t="s">
        <v>24</v>
      </c>
      <c r="F167" s="6" t="s">
        <v>25</v>
      </c>
      <c r="G167" s="6">
        <v>55.0</v>
      </c>
      <c r="H167" s="6">
        <v>1.8699999999999999</v>
      </c>
      <c r="I167" s="7">
        <f t="shared" si="7"/>
        <v>22</v>
      </c>
      <c r="J167" s="7">
        <f t="shared" si="8"/>
        <v>5</v>
      </c>
      <c r="K167" s="7">
        <f t="shared" si="6"/>
        <v>2022</v>
      </c>
      <c r="L167" s="7">
        <f t="shared" si="4"/>
        <v>102.85</v>
      </c>
      <c r="M167" s="6" t="str">
        <f t="shared" si="5"/>
        <v>Expensive</v>
      </c>
    </row>
    <row r="168" ht="15.75" customHeight="1">
      <c r="A168" s="4" t="s">
        <v>200</v>
      </c>
      <c r="B168" s="5">
        <v>44715.0</v>
      </c>
      <c r="C168" s="6" t="s">
        <v>182</v>
      </c>
      <c r="D168" s="6" t="s">
        <v>183</v>
      </c>
      <c r="E168" s="6" t="s">
        <v>24</v>
      </c>
      <c r="F168" s="6" t="s">
        <v>42</v>
      </c>
      <c r="G168" s="6">
        <v>288.0</v>
      </c>
      <c r="H168" s="6">
        <v>2.84</v>
      </c>
      <c r="I168" s="7">
        <f t="shared" si="7"/>
        <v>3</v>
      </c>
      <c r="J168" s="7">
        <f t="shared" si="8"/>
        <v>6</v>
      </c>
      <c r="K168" s="7">
        <f t="shared" si="6"/>
        <v>2022</v>
      </c>
      <c r="L168" s="7">
        <f t="shared" si="4"/>
        <v>817.92</v>
      </c>
      <c r="M168" s="6" t="str">
        <f t="shared" si="5"/>
        <v>Expensive</v>
      </c>
    </row>
    <row r="169" ht="15.75" customHeight="1">
      <c r="A169" s="4" t="s">
        <v>201</v>
      </c>
      <c r="B169" s="5">
        <v>44721.0</v>
      </c>
      <c r="C169" s="6" t="s">
        <v>182</v>
      </c>
      <c r="D169" s="6" t="s">
        <v>189</v>
      </c>
      <c r="E169" s="6" t="s">
        <v>16</v>
      </c>
      <c r="F169" s="6" t="s">
        <v>17</v>
      </c>
      <c r="G169" s="6">
        <v>42.0</v>
      </c>
      <c r="H169" s="6">
        <v>1.77</v>
      </c>
      <c r="I169" s="7">
        <f t="shared" si="7"/>
        <v>9</v>
      </c>
      <c r="J169" s="7">
        <f t="shared" si="8"/>
        <v>6</v>
      </c>
      <c r="K169" s="7">
        <f t="shared" si="6"/>
        <v>2022</v>
      </c>
      <c r="L169" s="7">
        <f t="shared" si="4"/>
        <v>74.34</v>
      </c>
      <c r="M169" s="6" t="str">
        <f t="shared" si="5"/>
        <v>Cheap</v>
      </c>
    </row>
    <row r="170" ht="15.75" customHeight="1">
      <c r="A170" s="4" t="s">
        <v>202</v>
      </c>
      <c r="B170" s="5">
        <v>44724.0</v>
      </c>
      <c r="C170" s="6" t="s">
        <v>182</v>
      </c>
      <c r="D170" s="6" t="s">
        <v>189</v>
      </c>
      <c r="E170" s="6" t="s">
        <v>19</v>
      </c>
      <c r="F170" s="6" t="s">
        <v>20</v>
      </c>
      <c r="G170" s="6">
        <v>20.0</v>
      </c>
      <c r="H170" s="6">
        <v>3.4899999999999998</v>
      </c>
      <c r="I170" s="7">
        <f t="shared" si="7"/>
        <v>12</v>
      </c>
      <c r="J170" s="7">
        <f t="shared" si="8"/>
        <v>6</v>
      </c>
      <c r="K170" s="7">
        <f t="shared" si="6"/>
        <v>2022</v>
      </c>
      <c r="L170" s="7">
        <f t="shared" si="4"/>
        <v>69.8</v>
      </c>
      <c r="M170" s="6" t="str">
        <f t="shared" si="5"/>
        <v>Cheap</v>
      </c>
    </row>
    <row r="171" ht="15.75" customHeight="1">
      <c r="A171" s="4" t="s">
        <v>203</v>
      </c>
      <c r="B171" s="5">
        <v>44733.0</v>
      </c>
      <c r="C171" s="6" t="s">
        <v>182</v>
      </c>
      <c r="D171" s="6" t="s">
        <v>183</v>
      </c>
      <c r="E171" s="6" t="s">
        <v>16</v>
      </c>
      <c r="F171" s="6" t="s">
        <v>17</v>
      </c>
      <c r="G171" s="6">
        <v>306.0</v>
      </c>
      <c r="H171" s="6">
        <v>1.77</v>
      </c>
      <c r="I171" s="7">
        <f t="shared" si="7"/>
        <v>21</v>
      </c>
      <c r="J171" s="7">
        <f t="shared" si="8"/>
        <v>6</v>
      </c>
      <c r="K171" s="7">
        <f t="shared" si="6"/>
        <v>2022</v>
      </c>
      <c r="L171" s="7">
        <f t="shared" si="4"/>
        <v>541.62</v>
      </c>
      <c r="M171" s="6" t="str">
        <f t="shared" si="5"/>
        <v>Expensive</v>
      </c>
    </row>
    <row r="172" ht="15.75" customHeight="1">
      <c r="A172" s="4" t="s">
        <v>204</v>
      </c>
      <c r="B172" s="5">
        <v>44736.0</v>
      </c>
      <c r="C172" s="6" t="s">
        <v>182</v>
      </c>
      <c r="D172" s="6" t="s">
        <v>183</v>
      </c>
      <c r="E172" s="6" t="s">
        <v>33</v>
      </c>
      <c r="F172" s="6" t="s">
        <v>34</v>
      </c>
      <c r="G172" s="6">
        <v>28.0</v>
      </c>
      <c r="H172" s="6">
        <v>1.68</v>
      </c>
      <c r="I172" s="7">
        <f t="shared" si="7"/>
        <v>24</v>
      </c>
      <c r="J172" s="7">
        <f t="shared" si="8"/>
        <v>6</v>
      </c>
      <c r="K172" s="7">
        <f t="shared" si="6"/>
        <v>2022</v>
      </c>
      <c r="L172" s="7">
        <f t="shared" si="4"/>
        <v>47.04</v>
      </c>
      <c r="M172" s="6" t="str">
        <f t="shared" si="5"/>
        <v>Cheap</v>
      </c>
    </row>
    <row r="173" ht="15.75" customHeight="1">
      <c r="A173" s="4" t="s">
        <v>205</v>
      </c>
      <c r="B173" s="5">
        <v>44745.0</v>
      </c>
      <c r="C173" s="6" t="s">
        <v>182</v>
      </c>
      <c r="D173" s="6" t="s">
        <v>189</v>
      </c>
      <c r="E173" s="6" t="s">
        <v>16</v>
      </c>
      <c r="F173" s="6" t="s">
        <v>17</v>
      </c>
      <c r="G173" s="6">
        <v>52.0</v>
      </c>
      <c r="H173" s="6">
        <v>1.77</v>
      </c>
      <c r="I173" s="7">
        <f t="shared" si="7"/>
        <v>3</v>
      </c>
      <c r="J173" s="7">
        <f t="shared" si="8"/>
        <v>7</v>
      </c>
      <c r="K173" s="7">
        <f t="shared" si="6"/>
        <v>2022</v>
      </c>
      <c r="L173" s="7">
        <f t="shared" si="4"/>
        <v>92.04</v>
      </c>
      <c r="M173" s="6" t="str">
        <f t="shared" si="5"/>
        <v>Cheap</v>
      </c>
    </row>
    <row r="174" ht="15.75" customHeight="1">
      <c r="A174" s="4" t="s">
        <v>206</v>
      </c>
      <c r="B174" s="5">
        <v>44748.0</v>
      </c>
      <c r="C174" s="6" t="s">
        <v>182</v>
      </c>
      <c r="D174" s="6" t="s">
        <v>189</v>
      </c>
      <c r="E174" s="6" t="s">
        <v>19</v>
      </c>
      <c r="F174" s="6" t="s">
        <v>20</v>
      </c>
      <c r="G174" s="6">
        <v>28.0</v>
      </c>
      <c r="H174" s="6">
        <v>3.4899999999999998</v>
      </c>
      <c r="I174" s="7">
        <f t="shared" si="7"/>
        <v>6</v>
      </c>
      <c r="J174" s="7">
        <f t="shared" si="8"/>
        <v>7</v>
      </c>
      <c r="K174" s="7">
        <f t="shared" si="6"/>
        <v>2022</v>
      </c>
      <c r="L174" s="7">
        <f t="shared" si="4"/>
        <v>97.72</v>
      </c>
      <c r="M174" s="6" t="str">
        <f t="shared" si="5"/>
        <v>Cheap</v>
      </c>
    </row>
    <row r="175" ht="15.75" customHeight="1">
      <c r="A175" s="4" t="s">
        <v>207</v>
      </c>
      <c r="B175" s="5">
        <v>44757.0</v>
      </c>
      <c r="C175" s="6" t="s">
        <v>182</v>
      </c>
      <c r="D175" s="6" t="s">
        <v>183</v>
      </c>
      <c r="E175" s="6" t="s">
        <v>24</v>
      </c>
      <c r="F175" s="6" t="s">
        <v>25</v>
      </c>
      <c r="G175" s="6">
        <v>75.0</v>
      </c>
      <c r="H175" s="6">
        <v>1.87</v>
      </c>
      <c r="I175" s="7">
        <f t="shared" si="7"/>
        <v>15</v>
      </c>
      <c r="J175" s="7">
        <f t="shared" si="8"/>
        <v>7</v>
      </c>
      <c r="K175" s="7">
        <f t="shared" si="6"/>
        <v>2022</v>
      </c>
      <c r="L175" s="7">
        <f t="shared" si="4"/>
        <v>140.25</v>
      </c>
      <c r="M175" s="6" t="str">
        <f t="shared" si="5"/>
        <v>Expensive</v>
      </c>
    </row>
    <row r="176" ht="15.75" customHeight="1">
      <c r="A176" s="4" t="s">
        <v>208</v>
      </c>
      <c r="B176" s="5">
        <v>44766.0</v>
      </c>
      <c r="C176" s="6" t="s">
        <v>182</v>
      </c>
      <c r="D176" s="6" t="s">
        <v>189</v>
      </c>
      <c r="E176" s="6" t="s">
        <v>16</v>
      </c>
      <c r="F176" s="6" t="s">
        <v>49</v>
      </c>
      <c r="G176" s="6">
        <v>51.0</v>
      </c>
      <c r="H176" s="6">
        <v>1.87</v>
      </c>
      <c r="I176" s="7">
        <f t="shared" si="7"/>
        <v>24</v>
      </c>
      <c r="J176" s="7">
        <f t="shared" si="8"/>
        <v>7</v>
      </c>
      <c r="K176" s="7">
        <f t="shared" si="6"/>
        <v>2022</v>
      </c>
      <c r="L176" s="7">
        <f t="shared" si="4"/>
        <v>95.37</v>
      </c>
      <c r="M176" s="6" t="str">
        <f t="shared" si="5"/>
        <v>Cheap</v>
      </c>
    </row>
    <row r="177" ht="15.75" customHeight="1">
      <c r="A177" s="4" t="s">
        <v>209</v>
      </c>
      <c r="B177" s="5">
        <v>44769.0</v>
      </c>
      <c r="C177" s="6" t="s">
        <v>182</v>
      </c>
      <c r="D177" s="6" t="s">
        <v>189</v>
      </c>
      <c r="E177" s="6" t="s">
        <v>33</v>
      </c>
      <c r="F177" s="6" t="s">
        <v>34</v>
      </c>
      <c r="G177" s="6">
        <v>31.0</v>
      </c>
      <c r="H177" s="6">
        <v>1.68</v>
      </c>
      <c r="I177" s="7">
        <f t="shared" si="7"/>
        <v>27</v>
      </c>
      <c r="J177" s="7">
        <f t="shared" si="8"/>
        <v>7</v>
      </c>
      <c r="K177" s="7">
        <f t="shared" si="6"/>
        <v>2022</v>
      </c>
      <c r="L177" s="7">
        <f t="shared" si="4"/>
        <v>52.08</v>
      </c>
      <c r="M177" s="6" t="str">
        <f t="shared" si="5"/>
        <v>Cheap</v>
      </c>
    </row>
    <row r="178" ht="15.75" customHeight="1">
      <c r="A178" s="4" t="s">
        <v>210</v>
      </c>
      <c r="B178" s="5">
        <v>44778.0</v>
      </c>
      <c r="C178" s="6" t="s">
        <v>182</v>
      </c>
      <c r="D178" s="6" t="s">
        <v>183</v>
      </c>
      <c r="E178" s="6" t="s">
        <v>24</v>
      </c>
      <c r="F178" s="6" t="s">
        <v>25</v>
      </c>
      <c r="G178" s="6">
        <v>107.0</v>
      </c>
      <c r="H178" s="6">
        <v>1.87</v>
      </c>
      <c r="I178" s="7">
        <f t="shared" si="7"/>
        <v>5</v>
      </c>
      <c r="J178" s="7">
        <f t="shared" si="8"/>
        <v>8</v>
      </c>
      <c r="K178" s="7">
        <f t="shared" si="6"/>
        <v>2022</v>
      </c>
      <c r="L178" s="7">
        <f t="shared" si="4"/>
        <v>200.09</v>
      </c>
      <c r="M178" s="6" t="str">
        <f t="shared" si="5"/>
        <v>Expensive</v>
      </c>
    </row>
    <row r="179" ht="15.75" customHeight="1">
      <c r="A179" s="4" t="s">
        <v>211</v>
      </c>
      <c r="B179" s="5">
        <v>44787.0</v>
      </c>
      <c r="C179" s="6" t="s">
        <v>182</v>
      </c>
      <c r="D179" s="6" t="s">
        <v>189</v>
      </c>
      <c r="E179" s="6" t="s">
        <v>24</v>
      </c>
      <c r="F179" s="6" t="s">
        <v>25</v>
      </c>
      <c r="G179" s="6">
        <v>70.0</v>
      </c>
      <c r="H179" s="6">
        <v>1.87</v>
      </c>
      <c r="I179" s="7">
        <f t="shared" si="7"/>
        <v>14</v>
      </c>
      <c r="J179" s="7">
        <f t="shared" si="8"/>
        <v>8</v>
      </c>
      <c r="K179" s="7">
        <f t="shared" si="6"/>
        <v>2022</v>
      </c>
      <c r="L179" s="7">
        <f t="shared" si="4"/>
        <v>130.9</v>
      </c>
      <c r="M179" s="6" t="str">
        <f t="shared" si="5"/>
        <v>Expensive</v>
      </c>
    </row>
    <row r="180" ht="15.75" customHeight="1">
      <c r="A180" s="4" t="s">
        <v>212</v>
      </c>
      <c r="B180" s="5">
        <v>44799.0</v>
      </c>
      <c r="C180" s="6" t="s">
        <v>182</v>
      </c>
      <c r="D180" s="6" t="s">
        <v>183</v>
      </c>
      <c r="E180" s="6" t="s">
        <v>24</v>
      </c>
      <c r="F180" s="6" t="s">
        <v>25</v>
      </c>
      <c r="G180" s="6">
        <v>80.0</v>
      </c>
      <c r="H180" s="6">
        <v>1.8699999999999999</v>
      </c>
      <c r="I180" s="7">
        <f t="shared" si="7"/>
        <v>26</v>
      </c>
      <c r="J180" s="7">
        <f t="shared" si="8"/>
        <v>8</v>
      </c>
      <c r="K180" s="7">
        <f t="shared" si="6"/>
        <v>2022</v>
      </c>
      <c r="L180" s="7">
        <f t="shared" si="4"/>
        <v>149.6</v>
      </c>
      <c r="M180" s="6" t="str">
        <f t="shared" si="5"/>
        <v>Expensive</v>
      </c>
    </row>
    <row r="181" ht="15.75" customHeight="1">
      <c r="A181" s="4" t="s">
        <v>213</v>
      </c>
      <c r="B181" s="5">
        <v>44808.0</v>
      </c>
      <c r="C181" s="6" t="s">
        <v>182</v>
      </c>
      <c r="D181" s="6" t="s">
        <v>189</v>
      </c>
      <c r="E181" s="6" t="s">
        <v>16</v>
      </c>
      <c r="F181" s="6" t="s">
        <v>17</v>
      </c>
      <c r="G181" s="6">
        <v>45.0</v>
      </c>
      <c r="H181" s="6">
        <v>1.77</v>
      </c>
      <c r="I181" s="7">
        <f t="shared" si="7"/>
        <v>4</v>
      </c>
      <c r="J181" s="7">
        <f t="shared" si="8"/>
        <v>9</v>
      </c>
      <c r="K181" s="7">
        <f t="shared" si="6"/>
        <v>2022</v>
      </c>
      <c r="L181" s="7">
        <f t="shared" si="4"/>
        <v>79.65</v>
      </c>
      <c r="M181" s="6" t="str">
        <f t="shared" si="5"/>
        <v>Cheap</v>
      </c>
    </row>
    <row r="182" ht="15.75" customHeight="1">
      <c r="A182" s="4" t="s">
        <v>214</v>
      </c>
      <c r="B182" s="5">
        <v>44820.0</v>
      </c>
      <c r="C182" s="6" t="s">
        <v>182</v>
      </c>
      <c r="D182" s="6" t="s">
        <v>183</v>
      </c>
      <c r="E182" s="6" t="s">
        <v>16</v>
      </c>
      <c r="F182" s="6" t="s">
        <v>17</v>
      </c>
      <c r="G182" s="6">
        <v>133.0</v>
      </c>
      <c r="H182" s="6">
        <v>1.77</v>
      </c>
      <c r="I182" s="7">
        <f t="shared" si="7"/>
        <v>16</v>
      </c>
      <c r="J182" s="7">
        <f t="shared" si="8"/>
        <v>9</v>
      </c>
      <c r="K182" s="7">
        <f t="shared" si="6"/>
        <v>2022</v>
      </c>
      <c r="L182" s="7">
        <f t="shared" si="4"/>
        <v>235.41</v>
      </c>
      <c r="M182" s="6" t="str">
        <f t="shared" si="5"/>
        <v>Expensive</v>
      </c>
    </row>
    <row r="183" ht="15.75" customHeight="1">
      <c r="A183" s="4" t="s">
        <v>215</v>
      </c>
      <c r="B183" s="5">
        <v>44829.0</v>
      </c>
      <c r="C183" s="6" t="s">
        <v>182</v>
      </c>
      <c r="D183" s="6" t="s">
        <v>189</v>
      </c>
      <c r="E183" s="6" t="s">
        <v>16</v>
      </c>
      <c r="F183" s="6" t="s">
        <v>49</v>
      </c>
      <c r="G183" s="6">
        <v>33.0</v>
      </c>
      <c r="H183" s="6">
        <v>1.87</v>
      </c>
      <c r="I183" s="7">
        <f t="shared" si="7"/>
        <v>25</v>
      </c>
      <c r="J183" s="7">
        <f t="shared" si="8"/>
        <v>9</v>
      </c>
      <c r="K183" s="7">
        <f t="shared" si="6"/>
        <v>2022</v>
      </c>
      <c r="L183" s="7">
        <f t="shared" si="4"/>
        <v>61.71</v>
      </c>
      <c r="M183" s="6" t="str">
        <f t="shared" si="5"/>
        <v>Cheap</v>
      </c>
    </row>
    <row r="184" ht="15.75" customHeight="1">
      <c r="A184" s="4" t="s">
        <v>216</v>
      </c>
      <c r="B184" s="5">
        <v>44841.0</v>
      </c>
      <c r="C184" s="6" t="s">
        <v>182</v>
      </c>
      <c r="D184" s="6" t="s">
        <v>183</v>
      </c>
      <c r="E184" s="6" t="s">
        <v>16</v>
      </c>
      <c r="F184" s="6" t="s">
        <v>17</v>
      </c>
      <c r="G184" s="6">
        <v>40.0</v>
      </c>
      <c r="H184" s="6">
        <v>1.77</v>
      </c>
      <c r="I184" s="7">
        <f t="shared" si="7"/>
        <v>7</v>
      </c>
      <c r="J184" s="7">
        <f t="shared" si="8"/>
        <v>10</v>
      </c>
      <c r="K184" s="7">
        <f t="shared" si="6"/>
        <v>2022</v>
      </c>
      <c r="L184" s="7">
        <f t="shared" si="4"/>
        <v>70.8</v>
      </c>
      <c r="M184" s="6" t="str">
        <f t="shared" si="5"/>
        <v>Cheap</v>
      </c>
    </row>
    <row r="185" ht="15.75" customHeight="1">
      <c r="A185" s="4" t="s">
        <v>217</v>
      </c>
      <c r="B185" s="5">
        <v>44844.0</v>
      </c>
      <c r="C185" s="6" t="s">
        <v>182</v>
      </c>
      <c r="D185" s="6" t="s">
        <v>183</v>
      </c>
      <c r="E185" s="6" t="s">
        <v>33</v>
      </c>
      <c r="F185" s="6" t="s">
        <v>34</v>
      </c>
      <c r="G185" s="6">
        <v>114.0</v>
      </c>
      <c r="H185" s="6">
        <v>1.6800000000000002</v>
      </c>
      <c r="I185" s="7">
        <f t="shared" si="7"/>
        <v>10</v>
      </c>
      <c r="J185" s="7">
        <f t="shared" si="8"/>
        <v>10</v>
      </c>
      <c r="K185" s="7">
        <f t="shared" si="6"/>
        <v>2022</v>
      </c>
      <c r="L185" s="7">
        <f t="shared" si="4"/>
        <v>191.52</v>
      </c>
      <c r="M185" s="6" t="str">
        <f t="shared" si="5"/>
        <v>Expensive</v>
      </c>
    </row>
    <row r="186" ht="15.75" customHeight="1">
      <c r="A186" s="4" t="s">
        <v>218</v>
      </c>
      <c r="B186" s="5">
        <v>44856.0</v>
      </c>
      <c r="C186" s="6" t="s">
        <v>182</v>
      </c>
      <c r="D186" s="6" t="s">
        <v>189</v>
      </c>
      <c r="E186" s="6" t="s">
        <v>16</v>
      </c>
      <c r="F186" s="6" t="s">
        <v>17</v>
      </c>
      <c r="G186" s="6">
        <v>20.0</v>
      </c>
      <c r="H186" s="6">
        <v>1.77</v>
      </c>
      <c r="I186" s="7">
        <f t="shared" si="7"/>
        <v>22</v>
      </c>
      <c r="J186" s="7">
        <f t="shared" si="8"/>
        <v>10</v>
      </c>
      <c r="K186" s="7">
        <f t="shared" si="6"/>
        <v>2022</v>
      </c>
      <c r="L186" s="7">
        <f t="shared" si="4"/>
        <v>35.4</v>
      </c>
      <c r="M186" s="6" t="str">
        <f t="shared" si="5"/>
        <v>Cheap</v>
      </c>
    </row>
    <row r="187" ht="15.75" customHeight="1">
      <c r="A187" s="4" t="s">
        <v>219</v>
      </c>
      <c r="B187" s="5">
        <v>44868.0</v>
      </c>
      <c r="C187" s="6" t="s">
        <v>182</v>
      </c>
      <c r="D187" s="6" t="s">
        <v>183</v>
      </c>
      <c r="E187" s="6" t="s">
        <v>16</v>
      </c>
      <c r="F187" s="6" t="s">
        <v>17</v>
      </c>
      <c r="G187" s="6">
        <v>39.0</v>
      </c>
      <c r="H187" s="6">
        <v>1.77</v>
      </c>
      <c r="I187" s="7">
        <f t="shared" si="7"/>
        <v>3</v>
      </c>
      <c r="J187" s="7">
        <f t="shared" si="8"/>
        <v>11</v>
      </c>
      <c r="K187" s="7">
        <f t="shared" si="6"/>
        <v>2022</v>
      </c>
      <c r="L187" s="7">
        <f t="shared" si="4"/>
        <v>69.03</v>
      </c>
      <c r="M187" s="6" t="str">
        <f t="shared" si="5"/>
        <v>Cheap</v>
      </c>
    </row>
    <row r="188" ht="15.75" customHeight="1">
      <c r="A188" s="4" t="s">
        <v>220</v>
      </c>
      <c r="B188" s="5">
        <v>44871.0</v>
      </c>
      <c r="C188" s="6" t="s">
        <v>182</v>
      </c>
      <c r="D188" s="6" t="s">
        <v>183</v>
      </c>
      <c r="E188" s="6" t="s">
        <v>33</v>
      </c>
      <c r="F188" s="6" t="s">
        <v>34</v>
      </c>
      <c r="G188" s="6">
        <v>62.0</v>
      </c>
      <c r="H188" s="6">
        <v>1.68</v>
      </c>
      <c r="I188" s="7">
        <f t="shared" si="7"/>
        <v>6</v>
      </c>
      <c r="J188" s="7">
        <f t="shared" si="8"/>
        <v>11</v>
      </c>
      <c r="K188" s="7">
        <f t="shared" si="6"/>
        <v>2022</v>
      </c>
      <c r="L188" s="7">
        <f t="shared" si="4"/>
        <v>104.16</v>
      </c>
      <c r="M188" s="6" t="str">
        <f t="shared" si="5"/>
        <v>Expensive</v>
      </c>
    </row>
    <row r="189" ht="15.75" customHeight="1">
      <c r="A189" s="4" t="s">
        <v>221</v>
      </c>
      <c r="B189" s="5">
        <v>44877.0</v>
      </c>
      <c r="C189" s="6" t="s">
        <v>182</v>
      </c>
      <c r="D189" s="6" t="s">
        <v>189</v>
      </c>
      <c r="E189" s="6" t="s">
        <v>24</v>
      </c>
      <c r="F189" s="6" t="s">
        <v>28</v>
      </c>
      <c r="G189" s="6">
        <v>103.0</v>
      </c>
      <c r="H189" s="6">
        <v>2.1799999999999997</v>
      </c>
      <c r="I189" s="7">
        <f t="shared" si="7"/>
        <v>12</v>
      </c>
      <c r="J189" s="7">
        <f t="shared" si="8"/>
        <v>11</v>
      </c>
      <c r="K189" s="7">
        <f t="shared" si="6"/>
        <v>2022</v>
      </c>
      <c r="L189" s="7">
        <f t="shared" si="4"/>
        <v>224.54</v>
      </c>
      <c r="M189" s="6" t="str">
        <f t="shared" si="5"/>
        <v>Expensive</v>
      </c>
    </row>
    <row r="190" ht="15.75" customHeight="1">
      <c r="A190" s="4" t="s">
        <v>222</v>
      </c>
      <c r="B190" s="5">
        <v>44880.0</v>
      </c>
      <c r="C190" s="6" t="s">
        <v>182</v>
      </c>
      <c r="D190" s="6" t="s">
        <v>189</v>
      </c>
      <c r="E190" s="6" t="s">
        <v>24</v>
      </c>
      <c r="F190" s="6" t="s">
        <v>42</v>
      </c>
      <c r="G190" s="6">
        <v>32.0</v>
      </c>
      <c r="H190" s="6">
        <v>2.84</v>
      </c>
      <c r="I190" s="7">
        <f t="shared" si="7"/>
        <v>15</v>
      </c>
      <c r="J190" s="7">
        <f t="shared" si="8"/>
        <v>11</v>
      </c>
      <c r="K190" s="7">
        <f t="shared" si="6"/>
        <v>2022</v>
      </c>
      <c r="L190" s="7">
        <f t="shared" si="4"/>
        <v>90.88</v>
      </c>
      <c r="M190" s="6" t="str">
        <f t="shared" si="5"/>
        <v>Cheap</v>
      </c>
    </row>
    <row r="191" ht="15.75" customHeight="1">
      <c r="A191" s="4" t="s">
        <v>223</v>
      </c>
      <c r="B191" s="5">
        <v>44889.0</v>
      </c>
      <c r="C191" s="6" t="s">
        <v>182</v>
      </c>
      <c r="D191" s="6" t="s">
        <v>183</v>
      </c>
      <c r="E191" s="6" t="s">
        <v>16</v>
      </c>
      <c r="F191" s="6" t="s">
        <v>17</v>
      </c>
      <c r="G191" s="6">
        <v>30.0</v>
      </c>
      <c r="H191" s="6">
        <v>1.77</v>
      </c>
      <c r="I191" s="7">
        <f t="shared" si="7"/>
        <v>24</v>
      </c>
      <c r="J191" s="7">
        <f t="shared" si="8"/>
        <v>11</v>
      </c>
      <c r="K191" s="7">
        <f t="shared" si="6"/>
        <v>2022</v>
      </c>
      <c r="L191" s="7">
        <f t="shared" si="4"/>
        <v>53.1</v>
      </c>
      <c r="M191" s="6" t="str">
        <f t="shared" si="5"/>
        <v>Cheap</v>
      </c>
    </row>
    <row r="192" ht="15.75" customHeight="1">
      <c r="A192" s="4" t="s">
        <v>224</v>
      </c>
      <c r="B192" s="5">
        <v>44892.0</v>
      </c>
      <c r="C192" s="6" t="s">
        <v>182</v>
      </c>
      <c r="D192" s="6" t="s">
        <v>183</v>
      </c>
      <c r="E192" s="6" t="s">
        <v>33</v>
      </c>
      <c r="F192" s="6" t="s">
        <v>34</v>
      </c>
      <c r="G192" s="6">
        <v>29.0</v>
      </c>
      <c r="H192" s="6">
        <v>1.68</v>
      </c>
      <c r="I192" s="7">
        <f t="shared" si="7"/>
        <v>27</v>
      </c>
      <c r="J192" s="7">
        <f t="shared" si="8"/>
        <v>11</v>
      </c>
      <c r="K192" s="7">
        <f t="shared" si="6"/>
        <v>2022</v>
      </c>
      <c r="L192" s="7">
        <f t="shared" si="4"/>
        <v>48.72</v>
      </c>
      <c r="M192" s="6" t="str">
        <f t="shared" si="5"/>
        <v>Cheap</v>
      </c>
    </row>
    <row r="193" ht="15.75" customHeight="1">
      <c r="A193" s="4" t="s">
        <v>225</v>
      </c>
      <c r="B193" s="5">
        <v>44898.0</v>
      </c>
      <c r="C193" s="6" t="s">
        <v>182</v>
      </c>
      <c r="D193" s="6" t="s">
        <v>189</v>
      </c>
      <c r="E193" s="6" t="s">
        <v>24</v>
      </c>
      <c r="F193" s="6" t="s">
        <v>28</v>
      </c>
      <c r="G193" s="6">
        <v>139.0</v>
      </c>
      <c r="H193" s="6">
        <v>2.1799999999999997</v>
      </c>
      <c r="I193" s="7">
        <f t="shared" si="7"/>
        <v>3</v>
      </c>
      <c r="J193" s="7">
        <f t="shared" si="8"/>
        <v>12</v>
      </c>
      <c r="K193" s="7">
        <f t="shared" si="6"/>
        <v>2022</v>
      </c>
      <c r="L193" s="7">
        <f t="shared" si="4"/>
        <v>303.02</v>
      </c>
      <c r="M193" s="6" t="str">
        <f t="shared" si="5"/>
        <v>Expensive</v>
      </c>
    </row>
    <row r="194" ht="15.75" customHeight="1">
      <c r="A194" s="4" t="s">
        <v>226</v>
      </c>
      <c r="B194" s="5">
        <v>44901.0</v>
      </c>
      <c r="C194" s="6" t="s">
        <v>182</v>
      </c>
      <c r="D194" s="6" t="s">
        <v>189</v>
      </c>
      <c r="E194" s="6" t="s">
        <v>24</v>
      </c>
      <c r="F194" s="6" t="s">
        <v>42</v>
      </c>
      <c r="G194" s="6">
        <v>29.0</v>
      </c>
      <c r="H194" s="6">
        <v>2.84</v>
      </c>
      <c r="I194" s="7">
        <f t="shared" si="7"/>
        <v>6</v>
      </c>
      <c r="J194" s="7">
        <f t="shared" si="8"/>
        <v>12</v>
      </c>
      <c r="K194" s="7">
        <f t="shared" si="6"/>
        <v>2022</v>
      </c>
      <c r="L194" s="7">
        <f t="shared" si="4"/>
        <v>82.36</v>
      </c>
      <c r="M194" s="6" t="str">
        <f t="shared" si="5"/>
        <v>Cheap</v>
      </c>
    </row>
    <row r="195" ht="15.75" customHeight="1">
      <c r="A195" s="4" t="s">
        <v>227</v>
      </c>
      <c r="B195" s="5">
        <v>44913.0</v>
      </c>
      <c r="C195" s="6" t="s">
        <v>182</v>
      </c>
      <c r="D195" s="6" t="s">
        <v>183</v>
      </c>
      <c r="E195" s="6" t="s">
        <v>16</v>
      </c>
      <c r="F195" s="6" t="s">
        <v>17</v>
      </c>
      <c r="G195" s="6">
        <v>44.0</v>
      </c>
      <c r="H195" s="6">
        <v>1.7699999999999998</v>
      </c>
      <c r="I195" s="7">
        <f t="shared" si="7"/>
        <v>18</v>
      </c>
      <c r="J195" s="7">
        <f t="shared" si="8"/>
        <v>12</v>
      </c>
      <c r="K195" s="7">
        <f t="shared" si="6"/>
        <v>2022</v>
      </c>
      <c r="L195" s="7">
        <f t="shared" si="4"/>
        <v>77.88</v>
      </c>
      <c r="M195" s="6" t="str">
        <f t="shared" si="5"/>
        <v>Cheap</v>
      </c>
    </row>
    <row r="196" ht="15.75" customHeight="1">
      <c r="A196" s="4" t="s">
        <v>228</v>
      </c>
      <c r="B196" s="5">
        <v>44916.0</v>
      </c>
      <c r="C196" s="6" t="s">
        <v>182</v>
      </c>
      <c r="D196" s="6" t="s">
        <v>183</v>
      </c>
      <c r="E196" s="6" t="s">
        <v>33</v>
      </c>
      <c r="F196" s="6" t="s">
        <v>34</v>
      </c>
      <c r="G196" s="6">
        <v>29.0</v>
      </c>
      <c r="H196" s="6">
        <v>1.68</v>
      </c>
      <c r="I196" s="7">
        <f t="shared" si="7"/>
        <v>21</v>
      </c>
      <c r="J196" s="7">
        <f t="shared" si="8"/>
        <v>12</v>
      </c>
      <c r="K196" s="7">
        <f t="shared" si="6"/>
        <v>2022</v>
      </c>
      <c r="L196" s="7">
        <f t="shared" si="4"/>
        <v>48.72</v>
      </c>
      <c r="M196" s="6" t="str">
        <f t="shared" si="5"/>
        <v>Cheap</v>
      </c>
    </row>
    <row r="197" ht="15.75" customHeight="1">
      <c r="A197" s="4" t="s">
        <v>229</v>
      </c>
      <c r="B197" s="5">
        <v>44925.0</v>
      </c>
      <c r="C197" s="6" t="s">
        <v>182</v>
      </c>
      <c r="D197" s="6" t="s">
        <v>189</v>
      </c>
      <c r="E197" s="6" t="s">
        <v>24</v>
      </c>
      <c r="F197" s="6" t="s">
        <v>28</v>
      </c>
      <c r="G197" s="6">
        <v>83.0</v>
      </c>
      <c r="H197" s="6">
        <v>2.18</v>
      </c>
      <c r="I197" s="7">
        <f t="shared" si="7"/>
        <v>30</v>
      </c>
      <c r="J197" s="7">
        <f t="shared" si="8"/>
        <v>12</v>
      </c>
      <c r="K197" s="7">
        <f t="shared" si="6"/>
        <v>2022</v>
      </c>
      <c r="L197" s="7">
        <f t="shared" si="4"/>
        <v>180.94</v>
      </c>
      <c r="M197" s="6" t="str">
        <f t="shared" si="5"/>
        <v>Expensive</v>
      </c>
    </row>
    <row r="198" ht="15.75" customHeight="1">
      <c r="A198" s="4" t="s">
        <v>230</v>
      </c>
      <c r="B198" s="5">
        <v>44937.0</v>
      </c>
      <c r="C198" s="6" t="s">
        <v>182</v>
      </c>
      <c r="D198" s="6" t="s">
        <v>183</v>
      </c>
      <c r="E198" s="6" t="s">
        <v>16</v>
      </c>
      <c r="F198" s="6" t="s">
        <v>49</v>
      </c>
      <c r="G198" s="6">
        <v>77.0</v>
      </c>
      <c r="H198" s="6">
        <v>1.87</v>
      </c>
      <c r="I198" s="7">
        <f t="shared" si="7"/>
        <v>11</v>
      </c>
      <c r="J198" s="7">
        <f t="shared" si="8"/>
        <v>1</v>
      </c>
      <c r="K198" s="7">
        <f t="shared" si="6"/>
        <v>2023</v>
      </c>
      <c r="L198" s="7">
        <f t="shared" si="4"/>
        <v>143.99</v>
      </c>
      <c r="M198" s="6" t="str">
        <f t="shared" si="5"/>
        <v>Expensive</v>
      </c>
    </row>
    <row r="199" ht="15.75" customHeight="1">
      <c r="A199" s="4" t="s">
        <v>231</v>
      </c>
      <c r="B199" s="5">
        <v>44940.0</v>
      </c>
      <c r="C199" s="6" t="s">
        <v>182</v>
      </c>
      <c r="D199" s="6" t="s">
        <v>183</v>
      </c>
      <c r="E199" s="6" t="s">
        <v>24</v>
      </c>
      <c r="F199" s="6" t="s">
        <v>42</v>
      </c>
      <c r="G199" s="6">
        <v>80.0</v>
      </c>
      <c r="H199" s="6">
        <v>2.84</v>
      </c>
      <c r="I199" s="7">
        <f t="shared" si="7"/>
        <v>14</v>
      </c>
      <c r="J199" s="7">
        <f t="shared" si="8"/>
        <v>1</v>
      </c>
      <c r="K199" s="7">
        <f t="shared" si="6"/>
        <v>2023</v>
      </c>
      <c r="L199" s="7">
        <f t="shared" si="4"/>
        <v>227.2</v>
      </c>
      <c r="M199" s="6" t="str">
        <f t="shared" si="5"/>
        <v>Expensive</v>
      </c>
    </row>
    <row r="200" ht="15.75" customHeight="1">
      <c r="A200" s="4" t="s">
        <v>232</v>
      </c>
      <c r="B200" s="5">
        <v>44949.0</v>
      </c>
      <c r="C200" s="6" t="s">
        <v>182</v>
      </c>
      <c r="D200" s="6" t="s">
        <v>189</v>
      </c>
      <c r="E200" s="6" t="s">
        <v>16</v>
      </c>
      <c r="F200" s="6" t="s">
        <v>17</v>
      </c>
      <c r="G200" s="6">
        <v>56.0</v>
      </c>
      <c r="H200" s="6">
        <v>1.77</v>
      </c>
      <c r="I200" s="7">
        <f t="shared" si="7"/>
        <v>23</v>
      </c>
      <c r="J200" s="7">
        <f t="shared" si="8"/>
        <v>1</v>
      </c>
      <c r="K200" s="7">
        <f t="shared" si="6"/>
        <v>2023</v>
      </c>
      <c r="L200" s="7">
        <f t="shared" si="4"/>
        <v>99.12</v>
      </c>
      <c r="M200" s="6" t="str">
        <f t="shared" si="5"/>
        <v>Cheap</v>
      </c>
    </row>
    <row r="201" ht="15.75" customHeight="1">
      <c r="A201" s="4" t="s">
        <v>233</v>
      </c>
      <c r="B201" s="5">
        <v>44961.0</v>
      </c>
      <c r="C201" s="6" t="s">
        <v>182</v>
      </c>
      <c r="D201" s="6" t="s">
        <v>183</v>
      </c>
      <c r="E201" s="6" t="s">
        <v>24</v>
      </c>
      <c r="F201" s="6" t="s">
        <v>28</v>
      </c>
      <c r="G201" s="6">
        <v>58.0</v>
      </c>
      <c r="H201" s="6">
        <v>2.18</v>
      </c>
      <c r="I201" s="7">
        <f t="shared" si="7"/>
        <v>4</v>
      </c>
      <c r="J201" s="7">
        <f t="shared" si="8"/>
        <v>2</v>
      </c>
      <c r="K201" s="7">
        <f t="shared" si="6"/>
        <v>2023</v>
      </c>
      <c r="L201" s="7">
        <f t="shared" si="4"/>
        <v>126.44</v>
      </c>
      <c r="M201" s="6" t="str">
        <f t="shared" si="5"/>
        <v>Expensive</v>
      </c>
    </row>
    <row r="202" ht="15.75" customHeight="1">
      <c r="A202" s="4" t="s">
        <v>234</v>
      </c>
      <c r="B202" s="5">
        <v>44964.0</v>
      </c>
      <c r="C202" s="6" t="s">
        <v>182</v>
      </c>
      <c r="D202" s="6" t="s">
        <v>183</v>
      </c>
      <c r="E202" s="6" t="s">
        <v>24</v>
      </c>
      <c r="F202" s="6" t="s">
        <v>25</v>
      </c>
      <c r="G202" s="6">
        <v>34.0</v>
      </c>
      <c r="H202" s="6">
        <v>1.8699999999999999</v>
      </c>
      <c r="I202" s="7">
        <f t="shared" si="7"/>
        <v>7</v>
      </c>
      <c r="J202" s="7">
        <f t="shared" si="8"/>
        <v>2</v>
      </c>
      <c r="K202" s="7">
        <f t="shared" si="6"/>
        <v>2023</v>
      </c>
      <c r="L202" s="7">
        <f t="shared" si="4"/>
        <v>63.58</v>
      </c>
      <c r="M202" s="6" t="str">
        <f t="shared" si="5"/>
        <v>Cheap</v>
      </c>
    </row>
    <row r="203" ht="15.75" customHeight="1">
      <c r="A203" s="4" t="s">
        <v>235</v>
      </c>
      <c r="B203" s="5">
        <v>44973.0</v>
      </c>
      <c r="C203" s="6" t="s">
        <v>182</v>
      </c>
      <c r="D203" s="6" t="s">
        <v>189</v>
      </c>
      <c r="E203" s="6" t="s">
        <v>24</v>
      </c>
      <c r="F203" s="6" t="s">
        <v>42</v>
      </c>
      <c r="G203" s="6">
        <v>29.0</v>
      </c>
      <c r="H203" s="6">
        <v>2.84</v>
      </c>
      <c r="I203" s="7">
        <f t="shared" si="7"/>
        <v>16</v>
      </c>
      <c r="J203" s="7">
        <f t="shared" si="8"/>
        <v>2</v>
      </c>
      <c r="K203" s="7">
        <f t="shared" si="6"/>
        <v>2023</v>
      </c>
      <c r="L203" s="7">
        <f t="shared" si="4"/>
        <v>82.36</v>
      </c>
      <c r="M203" s="6" t="str">
        <f t="shared" si="5"/>
        <v>Cheap</v>
      </c>
    </row>
    <row r="204" ht="15.75" customHeight="1">
      <c r="A204" s="4" t="s">
        <v>236</v>
      </c>
      <c r="B204" s="5">
        <v>44982.0</v>
      </c>
      <c r="C204" s="6" t="s">
        <v>182</v>
      </c>
      <c r="D204" s="6" t="s">
        <v>183</v>
      </c>
      <c r="E204" s="6" t="s">
        <v>24</v>
      </c>
      <c r="F204" s="6" t="s">
        <v>28</v>
      </c>
      <c r="G204" s="6">
        <v>30.0</v>
      </c>
      <c r="H204" s="6">
        <v>2.18</v>
      </c>
      <c r="I204" s="7">
        <f t="shared" si="7"/>
        <v>25</v>
      </c>
      <c r="J204" s="7">
        <f t="shared" si="8"/>
        <v>2</v>
      </c>
      <c r="K204" s="7">
        <f t="shared" si="6"/>
        <v>2023</v>
      </c>
      <c r="L204" s="7">
        <f t="shared" si="4"/>
        <v>65.4</v>
      </c>
      <c r="M204" s="6" t="str">
        <f t="shared" si="5"/>
        <v>Cheap</v>
      </c>
    </row>
    <row r="205" ht="15.75" customHeight="1">
      <c r="A205" s="4" t="s">
        <v>237</v>
      </c>
      <c r="B205" s="5">
        <v>44985.0</v>
      </c>
      <c r="C205" s="6" t="s">
        <v>182</v>
      </c>
      <c r="D205" s="6" t="s">
        <v>183</v>
      </c>
      <c r="E205" s="6" t="s">
        <v>24</v>
      </c>
      <c r="F205" s="6" t="s">
        <v>25</v>
      </c>
      <c r="G205" s="6">
        <v>232.0</v>
      </c>
      <c r="H205" s="6">
        <v>1.8699999999999999</v>
      </c>
      <c r="I205" s="7">
        <f t="shared" si="7"/>
        <v>28</v>
      </c>
      <c r="J205" s="7">
        <f t="shared" si="8"/>
        <v>2</v>
      </c>
      <c r="K205" s="7">
        <f t="shared" si="6"/>
        <v>2023</v>
      </c>
      <c r="L205" s="7">
        <f t="shared" si="4"/>
        <v>433.84</v>
      </c>
      <c r="M205" s="6" t="str">
        <f t="shared" si="5"/>
        <v>Expensive</v>
      </c>
    </row>
    <row r="206" ht="15.75" customHeight="1">
      <c r="A206" s="4" t="s">
        <v>238</v>
      </c>
      <c r="B206" s="5">
        <v>44993.0</v>
      </c>
      <c r="C206" s="6" t="s">
        <v>182</v>
      </c>
      <c r="D206" s="6" t="s">
        <v>189</v>
      </c>
      <c r="E206" s="6" t="s">
        <v>16</v>
      </c>
      <c r="F206" s="6" t="s">
        <v>49</v>
      </c>
      <c r="G206" s="6">
        <v>86.0</v>
      </c>
      <c r="H206" s="6">
        <v>1.8699999999999999</v>
      </c>
      <c r="I206" s="7">
        <f t="shared" si="7"/>
        <v>8</v>
      </c>
      <c r="J206" s="7">
        <f t="shared" si="8"/>
        <v>3</v>
      </c>
      <c r="K206" s="7">
        <f t="shared" si="6"/>
        <v>2023</v>
      </c>
      <c r="L206" s="7">
        <f t="shared" si="4"/>
        <v>160.82</v>
      </c>
      <c r="M206" s="6" t="str">
        <f t="shared" si="5"/>
        <v>Expensive</v>
      </c>
    </row>
    <row r="207" ht="15.75" customHeight="1">
      <c r="A207" s="4" t="s">
        <v>239</v>
      </c>
      <c r="B207" s="5">
        <v>44996.0</v>
      </c>
      <c r="C207" s="6" t="s">
        <v>182</v>
      </c>
      <c r="D207" s="6" t="s">
        <v>189</v>
      </c>
      <c r="E207" s="6" t="s">
        <v>33</v>
      </c>
      <c r="F207" s="6" t="s">
        <v>34</v>
      </c>
      <c r="G207" s="6">
        <v>41.0</v>
      </c>
      <c r="H207" s="6">
        <v>1.68</v>
      </c>
      <c r="I207" s="7">
        <f t="shared" si="7"/>
        <v>11</v>
      </c>
      <c r="J207" s="7">
        <f t="shared" si="8"/>
        <v>3</v>
      </c>
      <c r="K207" s="7">
        <f t="shared" si="6"/>
        <v>2023</v>
      </c>
      <c r="L207" s="7">
        <f t="shared" si="4"/>
        <v>68.88</v>
      </c>
      <c r="M207" s="6" t="str">
        <f t="shared" si="5"/>
        <v>Cheap</v>
      </c>
    </row>
    <row r="208" ht="15.75" customHeight="1">
      <c r="A208" s="4" t="s">
        <v>240</v>
      </c>
      <c r="B208" s="5">
        <v>45005.0</v>
      </c>
      <c r="C208" s="6" t="s">
        <v>182</v>
      </c>
      <c r="D208" s="6" t="s">
        <v>183</v>
      </c>
      <c r="E208" s="6" t="s">
        <v>16</v>
      </c>
      <c r="F208" s="6" t="s">
        <v>17</v>
      </c>
      <c r="G208" s="6">
        <v>103.0</v>
      </c>
      <c r="H208" s="6">
        <v>1.77</v>
      </c>
      <c r="I208" s="7">
        <f t="shared" si="7"/>
        <v>20</v>
      </c>
      <c r="J208" s="7">
        <f t="shared" si="8"/>
        <v>3</v>
      </c>
      <c r="K208" s="7">
        <f t="shared" si="6"/>
        <v>2023</v>
      </c>
      <c r="L208" s="7">
        <f t="shared" si="4"/>
        <v>182.31</v>
      </c>
      <c r="M208" s="6" t="str">
        <f t="shared" si="5"/>
        <v>Expensive</v>
      </c>
    </row>
    <row r="209" ht="15.75" customHeight="1">
      <c r="A209" s="4" t="s">
        <v>241</v>
      </c>
      <c r="B209" s="5">
        <v>45008.0</v>
      </c>
      <c r="C209" s="6" t="s">
        <v>182</v>
      </c>
      <c r="D209" s="6" t="s">
        <v>183</v>
      </c>
      <c r="E209" s="6" t="s">
        <v>33</v>
      </c>
      <c r="F209" s="6" t="s">
        <v>34</v>
      </c>
      <c r="G209" s="6">
        <v>33.0</v>
      </c>
      <c r="H209" s="6">
        <v>1.68</v>
      </c>
      <c r="I209" s="7">
        <f t="shared" si="7"/>
        <v>23</v>
      </c>
      <c r="J209" s="7">
        <f t="shared" si="8"/>
        <v>3</v>
      </c>
      <c r="K209" s="7">
        <f t="shared" si="6"/>
        <v>2023</v>
      </c>
      <c r="L209" s="7">
        <f t="shared" si="4"/>
        <v>55.44</v>
      </c>
      <c r="M209" s="6" t="str">
        <f t="shared" si="5"/>
        <v>Cheap</v>
      </c>
    </row>
    <row r="210" ht="15.75" customHeight="1">
      <c r="A210" s="4" t="s">
        <v>242</v>
      </c>
      <c r="B210" s="5">
        <v>45017.0</v>
      </c>
      <c r="C210" s="6" t="s">
        <v>182</v>
      </c>
      <c r="D210" s="6" t="s">
        <v>189</v>
      </c>
      <c r="E210" s="6" t="s">
        <v>16</v>
      </c>
      <c r="F210" s="6" t="s">
        <v>17</v>
      </c>
      <c r="G210" s="6">
        <v>118.0</v>
      </c>
      <c r="H210" s="6">
        <v>1.77</v>
      </c>
      <c r="I210" s="7">
        <f t="shared" si="7"/>
        <v>1</v>
      </c>
      <c r="J210" s="7">
        <f t="shared" si="8"/>
        <v>4</v>
      </c>
      <c r="K210" s="7">
        <f t="shared" si="6"/>
        <v>2023</v>
      </c>
      <c r="L210" s="7">
        <f t="shared" si="4"/>
        <v>208.86</v>
      </c>
      <c r="M210" s="6" t="str">
        <f t="shared" si="5"/>
        <v>Expensive</v>
      </c>
    </row>
    <row r="211" ht="15.75" customHeight="1">
      <c r="A211" s="4" t="s">
        <v>243</v>
      </c>
      <c r="B211" s="5">
        <v>45026.0</v>
      </c>
      <c r="C211" s="6" t="s">
        <v>182</v>
      </c>
      <c r="D211" s="6" t="s">
        <v>183</v>
      </c>
      <c r="E211" s="6" t="s">
        <v>16</v>
      </c>
      <c r="F211" s="6" t="s">
        <v>17</v>
      </c>
      <c r="G211" s="6">
        <v>90.0</v>
      </c>
      <c r="H211" s="6">
        <v>1.77</v>
      </c>
      <c r="I211" s="7">
        <f t="shared" si="7"/>
        <v>10</v>
      </c>
      <c r="J211" s="7">
        <f t="shared" si="8"/>
        <v>4</v>
      </c>
      <c r="K211" s="7">
        <f t="shared" si="6"/>
        <v>2023</v>
      </c>
      <c r="L211" s="7">
        <f t="shared" si="4"/>
        <v>159.3</v>
      </c>
      <c r="M211" s="6" t="str">
        <f t="shared" si="5"/>
        <v>Expensive</v>
      </c>
    </row>
    <row r="212" ht="15.75" customHeight="1">
      <c r="A212" s="4" t="s">
        <v>244</v>
      </c>
      <c r="B212" s="5">
        <v>45029.0</v>
      </c>
      <c r="C212" s="6" t="s">
        <v>182</v>
      </c>
      <c r="D212" s="6" t="s">
        <v>183</v>
      </c>
      <c r="E212" s="6" t="s">
        <v>19</v>
      </c>
      <c r="F212" s="6" t="s">
        <v>20</v>
      </c>
      <c r="G212" s="6">
        <v>21.0</v>
      </c>
      <c r="H212" s="6">
        <v>3.49</v>
      </c>
      <c r="I212" s="7">
        <f t="shared" si="7"/>
        <v>13</v>
      </c>
      <c r="J212" s="7">
        <f t="shared" si="8"/>
        <v>4</v>
      </c>
      <c r="K212" s="7">
        <f t="shared" si="6"/>
        <v>2023</v>
      </c>
      <c r="L212" s="7">
        <f t="shared" si="4"/>
        <v>73.29</v>
      </c>
      <c r="M212" s="6" t="str">
        <f t="shared" si="5"/>
        <v>Cheap</v>
      </c>
    </row>
    <row r="213" ht="15.75" customHeight="1">
      <c r="A213" s="4" t="s">
        <v>245</v>
      </c>
      <c r="B213" s="5">
        <v>45038.0</v>
      </c>
      <c r="C213" s="6" t="s">
        <v>182</v>
      </c>
      <c r="D213" s="6" t="s">
        <v>189</v>
      </c>
      <c r="E213" s="6" t="s">
        <v>24</v>
      </c>
      <c r="F213" s="6" t="s">
        <v>25</v>
      </c>
      <c r="G213" s="6">
        <v>67.0</v>
      </c>
      <c r="H213" s="6">
        <v>1.87</v>
      </c>
      <c r="I213" s="7">
        <f t="shared" si="7"/>
        <v>22</v>
      </c>
      <c r="J213" s="7">
        <f t="shared" si="8"/>
        <v>4</v>
      </c>
      <c r="K213" s="7">
        <f t="shared" si="6"/>
        <v>2023</v>
      </c>
      <c r="L213" s="7">
        <f t="shared" si="4"/>
        <v>125.29</v>
      </c>
      <c r="M213" s="6" t="str">
        <f t="shared" si="5"/>
        <v>Expensive</v>
      </c>
    </row>
    <row r="214" ht="15.75" customHeight="1">
      <c r="A214" s="4" t="s">
        <v>246</v>
      </c>
      <c r="B214" s="5">
        <v>45047.0</v>
      </c>
      <c r="C214" s="6" t="s">
        <v>182</v>
      </c>
      <c r="D214" s="6" t="s">
        <v>183</v>
      </c>
      <c r="E214" s="6" t="s">
        <v>24</v>
      </c>
      <c r="F214" s="6" t="s">
        <v>28</v>
      </c>
      <c r="G214" s="6">
        <v>77.0</v>
      </c>
      <c r="H214" s="6">
        <v>2.18</v>
      </c>
      <c r="I214" s="7">
        <f t="shared" si="7"/>
        <v>1</v>
      </c>
      <c r="J214" s="7">
        <f t="shared" si="8"/>
        <v>5</v>
      </c>
      <c r="K214" s="7">
        <f t="shared" si="6"/>
        <v>2023</v>
      </c>
      <c r="L214" s="7">
        <f t="shared" si="4"/>
        <v>167.86</v>
      </c>
      <c r="M214" s="6" t="str">
        <f t="shared" si="5"/>
        <v>Expensive</v>
      </c>
    </row>
    <row r="215" ht="15.75" customHeight="1">
      <c r="A215" s="4" t="s">
        <v>247</v>
      </c>
      <c r="B215" s="5">
        <v>45050.0</v>
      </c>
      <c r="C215" s="6" t="s">
        <v>182</v>
      </c>
      <c r="D215" s="6" t="s">
        <v>183</v>
      </c>
      <c r="E215" s="6" t="s">
        <v>24</v>
      </c>
      <c r="F215" s="6" t="s">
        <v>25</v>
      </c>
      <c r="G215" s="6">
        <v>58.0</v>
      </c>
      <c r="H215" s="6">
        <v>1.8699999999999999</v>
      </c>
      <c r="I215" s="7">
        <f t="shared" si="7"/>
        <v>4</v>
      </c>
      <c r="J215" s="7">
        <f t="shared" si="8"/>
        <v>5</v>
      </c>
      <c r="K215" s="7">
        <f t="shared" si="6"/>
        <v>2023</v>
      </c>
      <c r="L215" s="7">
        <f t="shared" si="4"/>
        <v>108.46</v>
      </c>
      <c r="M215" s="6" t="str">
        <f t="shared" si="5"/>
        <v>Expensive</v>
      </c>
    </row>
    <row r="216" ht="15.75" customHeight="1">
      <c r="A216" s="4" t="s">
        <v>248</v>
      </c>
      <c r="B216" s="5">
        <v>45059.0</v>
      </c>
      <c r="C216" s="6" t="s">
        <v>182</v>
      </c>
      <c r="D216" s="6" t="s">
        <v>189</v>
      </c>
      <c r="E216" s="6" t="s">
        <v>24</v>
      </c>
      <c r="F216" s="6" t="s">
        <v>25</v>
      </c>
      <c r="G216" s="6">
        <v>82.0</v>
      </c>
      <c r="H216" s="6">
        <v>1.87</v>
      </c>
      <c r="I216" s="7">
        <f t="shared" si="7"/>
        <v>13</v>
      </c>
      <c r="J216" s="7">
        <f t="shared" si="8"/>
        <v>5</v>
      </c>
      <c r="K216" s="7">
        <f t="shared" si="6"/>
        <v>2023</v>
      </c>
      <c r="L216" s="7">
        <f t="shared" si="4"/>
        <v>153.34</v>
      </c>
      <c r="M216" s="6" t="str">
        <f t="shared" si="5"/>
        <v>Expensive</v>
      </c>
    </row>
    <row r="217" ht="15.75" customHeight="1">
      <c r="A217" s="4" t="s">
        <v>249</v>
      </c>
      <c r="B217" s="5">
        <v>45068.0</v>
      </c>
      <c r="C217" s="6" t="s">
        <v>182</v>
      </c>
      <c r="D217" s="6" t="s">
        <v>183</v>
      </c>
      <c r="E217" s="6" t="s">
        <v>24</v>
      </c>
      <c r="F217" s="6" t="s">
        <v>25</v>
      </c>
      <c r="G217" s="6">
        <v>43.0</v>
      </c>
      <c r="H217" s="6">
        <v>1.8699999999999999</v>
      </c>
      <c r="I217" s="7">
        <f t="shared" si="7"/>
        <v>22</v>
      </c>
      <c r="J217" s="7">
        <f t="shared" si="8"/>
        <v>5</v>
      </c>
      <c r="K217" s="7">
        <f t="shared" si="6"/>
        <v>2023</v>
      </c>
      <c r="L217" s="7">
        <f t="shared" si="4"/>
        <v>80.41</v>
      </c>
      <c r="M217" s="6" t="str">
        <f t="shared" si="5"/>
        <v>Cheap</v>
      </c>
    </row>
    <row r="218" ht="15.75" customHeight="1">
      <c r="A218" s="4" t="s">
        <v>250</v>
      </c>
      <c r="B218" s="5">
        <v>45074.0</v>
      </c>
      <c r="C218" s="6" t="s">
        <v>182</v>
      </c>
      <c r="D218" s="6" t="s">
        <v>189</v>
      </c>
      <c r="E218" s="6" t="s">
        <v>24</v>
      </c>
      <c r="F218" s="6" t="s">
        <v>28</v>
      </c>
      <c r="G218" s="6">
        <v>36.0</v>
      </c>
      <c r="H218" s="6">
        <v>2.18</v>
      </c>
      <c r="I218" s="7">
        <f t="shared" si="7"/>
        <v>28</v>
      </c>
      <c r="J218" s="7">
        <f t="shared" si="8"/>
        <v>5</v>
      </c>
      <c r="K218" s="7">
        <f t="shared" si="6"/>
        <v>2023</v>
      </c>
      <c r="L218" s="7">
        <f t="shared" si="4"/>
        <v>78.48</v>
      </c>
      <c r="M218" s="6" t="str">
        <f t="shared" si="5"/>
        <v>Cheap</v>
      </c>
    </row>
    <row r="219" ht="15.75" customHeight="1">
      <c r="A219" s="4" t="s">
        <v>251</v>
      </c>
      <c r="B219" s="5">
        <v>45077.0</v>
      </c>
      <c r="C219" s="6" t="s">
        <v>182</v>
      </c>
      <c r="D219" s="6" t="s">
        <v>189</v>
      </c>
      <c r="E219" s="6" t="s">
        <v>24</v>
      </c>
      <c r="F219" s="6" t="s">
        <v>42</v>
      </c>
      <c r="G219" s="6">
        <v>44.0</v>
      </c>
      <c r="H219" s="6">
        <v>2.84</v>
      </c>
      <c r="I219" s="7">
        <f t="shared" si="7"/>
        <v>31</v>
      </c>
      <c r="J219" s="7">
        <f t="shared" si="8"/>
        <v>5</v>
      </c>
      <c r="K219" s="7">
        <f t="shared" si="6"/>
        <v>2023</v>
      </c>
      <c r="L219" s="7">
        <f t="shared" si="4"/>
        <v>124.96</v>
      </c>
      <c r="M219" s="6" t="str">
        <f t="shared" si="5"/>
        <v>Expensive</v>
      </c>
    </row>
    <row r="220" ht="15.75" customHeight="1">
      <c r="A220" s="4" t="s">
        <v>252</v>
      </c>
      <c r="B220" s="5">
        <v>45089.0</v>
      </c>
      <c r="C220" s="6" t="s">
        <v>182</v>
      </c>
      <c r="D220" s="6" t="s">
        <v>183</v>
      </c>
      <c r="E220" s="6" t="s">
        <v>16</v>
      </c>
      <c r="F220" s="6" t="s">
        <v>17</v>
      </c>
      <c r="G220" s="6">
        <v>73.0</v>
      </c>
      <c r="H220" s="6">
        <v>1.77</v>
      </c>
      <c r="I220" s="7">
        <f t="shared" si="7"/>
        <v>12</v>
      </c>
      <c r="J220" s="7">
        <f t="shared" si="8"/>
        <v>6</v>
      </c>
      <c r="K220" s="7">
        <f t="shared" si="6"/>
        <v>2023</v>
      </c>
      <c r="L220" s="7">
        <f t="shared" si="4"/>
        <v>129.21</v>
      </c>
      <c r="M220" s="6" t="str">
        <f t="shared" si="5"/>
        <v>Expensive</v>
      </c>
    </row>
    <row r="221" ht="15.75" customHeight="1">
      <c r="A221" s="4" t="s">
        <v>253</v>
      </c>
      <c r="B221" s="5">
        <v>45098.0</v>
      </c>
      <c r="C221" s="6" t="s">
        <v>182</v>
      </c>
      <c r="D221" s="6" t="s">
        <v>189</v>
      </c>
      <c r="E221" s="6" t="s">
        <v>16</v>
      </c>
      <c r="F221" s="6" t="s">
        <v>17</v>
      </c>
      <c r="G221" s="6">
        <v>41.0</v>
      </c>
      <c r="H221" s="6">
        <v>1.7699999999999998</v>
      </c>
      <c r="I221" s="7">
        <f t="shared" si="7"/>
        <v>21</v>
      </c>
      <c r="J221" s="7">
        <f t="shared" si="8"/>
        <v>6</v>
      </c>
      <c r="K221" s="7">
        <f t="shared" si="6"/>
        <v>2023</v>
      </c>
      <c r="L221" s="7">
        <f t="shared" si="4"/>
        <v>72.57</v>
      </c>
      <c r="M221" s="6" t="str">
        <f t="shared" si="5"/>
        <v>Cheap</v>
      </c>
    </row>
    <row r="222" ht="15.75" customHeight="1">
      <c r="A222" s="4" t="s">
        <v>254</v>
      </c>
      <c r="B222" s="5">
        <v>45110.0</v>
      </c>
      <c r="C222" s="6" t="s">
        <v>182</v>
      </c>
      <c r="D222" s="6" t="s">
        <v>183</v>
      </c>
      <c r="E222" s="6" t="s">
        <v>16</v>
      </c>
      <c r="F222" s="6" t="s">
        <v>49</v>
      </c>
      <c r="G222" s="6">
        <v>65.0</v>
      </c>
      <c r="H222" s="6">
        <v>1.8699999999999999</v>
      </c>
      <c r="I222" s="7">
        <f t="shared" si="7"/>
        <v>3</v>
      </c>
      <c r="J222" s="7">
        <f t="shared" si="8"/>
        <v>7</v>
      </c>
      <c r="K222" s="7">
        <f t="shared" si="6"/>
        <v>2023</v>
      </c>
      <c r="L222" s="7">
        <f t="shared" si="4"/>
        <v>121.55</v>
      </c>
      <c r="M222" s="6" t="str">
        <f t="shared" si="5"/>
        <v>Expensive</v>
      </c>
    </row>
    <row r="223" ht="15.75" customHeight="1">
      <c r="A223" s="4" t="s">
        <v>255</v>
      </c>
      <c r="B223" s="5">
        <v>45113.0</v>
      </c>
      <c r="C223" s="6" t="s">
        <v>182</v>
      </c>
      <c r="D223" s="6" t="s">
        <v>183</v>
      </c>
      <c r="E223" s="6" t="s">
        <v>24</v>
      </c>
      <c r="F223" s="6" t="s">
        <v>42</v>
      </c>
      <c r="G223" s="6">
        <v>60.0</v>
      </c>
      <c r="H223" s="6">
        <v>2.8400000000000003</v>
      </c>
      <c r="I223" s="7">
        <f t="shared" si="7"/>
        <v>6</v>
      </c>
      <c r="J223" s="7">
        <f t="shared" si="8"/>
        <v>7</v>
      </c>
      <c r="K223" s="7">
        <f t="shared" si="6"/>
        <v>2023</v>
      </c>
      <c r="L223" s="7">
        <f t="shared" si="4"/>
        <v>170.4</v>
      </c>
      <c r="M223" s="6" t="str">
        <f t="shared" si="5"/>
        <v>Expensive</v>
      </c>
    </row>
    <row r="224" ht="15.75" customHeight="1">
      <c r="A224" s="4" t="s">
        <v>256</v>
      </c>
      <c r="B224" s="5">
        <v>45122.0</v>
      </c>
      <c r="C224" s="6" t="s">
        <v>182</v>
      </c>
      <c r="D224" s="6" t="s">
        <v>189</v>
      </c>
      <c r="E224" s="6" t="s">
        <v>16</v>
      </c>
      <c r="F224" s="6" t="s">
        <v>49</v>
      </c>
      <c r="G224" s="6">
        <v>26.0</v>
      </c>
      <c r="H224" s="6">
        <v>1.8699999999999999</v>
      </c>
      <c r="I224" s="7">
        <f t="shared" si="7"/>
        <v>15</v>
      </c>
      <c r="J224" s="7">
        <f t="shared" si="8"/>
        <v>7</v>
      </c>
      <c r="K224" s="7">
        <f t="shared" si="6"/>
        <v>2023</v>
      </c>
      <c r="L224" s="7">
        <f t="shared" si="4"/>
        <v>48.62</v>
      </c>
      <c r="M224" s="6" t="str">
        <f t="shared" si="5"/>
        <v>Cheap</v>
      </c>
    </row>
    <row r="225" ht="15.75" customHeight="1">
      <c r="A225" s="4" t="s">
        <v>257</v>
      </c>
      <c r="B225" s="5">
        <v>45134.0</v>
      </c>
      <c r="C225" s="6" t="s">
        <v>182</v>
      </c>
      <c r="D225" s="6" t="s">
        <v>183</v>
      </c>
      <c r="E225" s="6" t="s">
        <v>24</v>
      </c>
      <c r="F225" s="6" t="s">
        <v>28</v>
      </c>
      <c r="G225" s="6">
        <v>20.0</v>
      </c>
      <c r="H225" s="6">
        <v>2.18</v>
      </c>
      <c r="I225" s="7">
        <f t="shared" si="7"/>
        <v>27</v>
      </c>
      <c r="J225" s="7">
        <f t="shared" si="8"/>
        <v>7</v>
      </c>
      <c r="K225" s="7">
        <f t="shared" si="6"/>
        <v>2023</v>
      </c>
      <c r="L225" s="7">
        <f t="shared" si="4"/>
        <v>43.6</v>
      </c>
      <c r="M225" s="6" t="str">
        <f t="shared" si="5"/>
        <v>Cheap</v>
      </c>
    </row>
    <row r="226" ht="15.75" customHeight="1">
      <c r="A226" s="4" t="s">
        <v>258</v>
      </c>
      <c r="B226" s="5">
        <v>45137.0</v>
      </c>
      <c r="C226" s="6" t="s">
        <v>182</v>
      </c>
      <c r="D226" s="6" t="s">
        <v>183</v>
      </c>
      <c r="E226" s="6" t="s">
        <v>24</v>
      </c>
      <c r="F226" s="6" t="s">
        <v>25</v>
      </c>
      <c r="G226" s="6">
        <v>64.0</v>
      </c>
      <c r="H226" s="6">
        <v>1.87</v>
      </c>
      <c r="I226" s="7">
        <f t="shared" si="7"/>
        <v>30</v>
      </c>
      <c r="J226" s="7">
        <f t="shared" si="8"/>
        <v>7</v>
      </c>
      <c r="K226" s="7">
        <f t="shared" si="6"/>
        <v>2023</v>
      </c>
      <c r="L226" s="7">
        <f t="shared" si="4"/>
        <v>119.68</v>
      </c>
      <c r="M226" s="6" t="str">
        <f t="shared" si="5"/>
        <v>Expensive</v>
      </c>
    </row>
    <row r="227" ht="15.75" customHeight="1">
      <c r="A227" s="4" t="s">
        <v>259</v>
      </c>
      <c r="B227" s="5">
        <v>45143.0</v>
      </c>
      <c r="C227" s="6" t="s">
        <v>182</v>
      </c>
      <c r="D227" s="6" t="s">
        <v>189</v>
      </c>
      <c r="E227" s="6" t="s">
        <v>24</v>
      </c>
      <c r="F227" s="6" t="s">
        <v>28</v>
      </c>
      <c r="G227" s="6">
        <v>90.0</v>
      </c>
      <c r="H227" s="6">
        <v>2.1799999999999997</v>
      </c>
      <c r="I227" s="7">
        <f t="shared" si="7"/>
        <v>5</v>
      </c>
      <c r="J227" s="7">
        <f t="shared" si="8"/>
        <v>8</v>
      </c>
      <c r="K227" s="7">
        <f t="shared" si="6"/>
        <v>2023</v>
      </c>
      <c r="L227" s="7">
        <f t="shared" si="4"/>
        <v>196.2</v>
      </c>
      <c r="M227" s="6" t="str">
        <f t="shared" si="5"/>
        <v>Expensive</v>
      </c>
    </row>
    <row r="228" ht="15.75" customHeight="1">
      <c r="A228" s="4" t="s">
        <v>260</v>
      </c>
      <c r="B228" s="5">
        <v>45146.0</v>
      </c>
      <c r="C228" s="6" t="s">
        <v>182</v>
      </c>
      <c r="D228" s="6" t="s">
        <v>189</v>
      </c>
      <c r="E228" s="6" t="s">
        <v>24</v>
      </c>
      <c r="F228" s="6" t="s">
        <v>42</v>
      </c>
      <c r="G228" s="6">
        <v>38.0</v>
      </c>
      <c r="H228" s="6">
        <v>2.84</v>
      </c>
      <c r="I228" s="7">
        <f t="shared" si="7"/>
        <v>8</v>
      </c>
      <c r="J228" s="7">
        <f t="shared" si="8"/>
        <v>8</v>
      </c>
      <c r="K228" s="7">
        <f t="shared" si="6"/>
        <v>2023</v>
      </c>
      <c r="L228" s="7">
        <f t="shared" si="4"/>
        <v>107.92</v>
      </c>
      <c r="M228" s="6" t="str">
        <f t="shared" si="5"/>
        <v>Expensive</v>
      </c>
    </row>
    <row r="229" ht="15.75" customHeight="1">
      <c r="A229" s="4" t="s">
        <v>261</v>
      </c>
      <c r="B229" s="5">
        <v>45155.0</v>
      </c>
      <c r="C229" s="6" t="s">
        <v>182</v>
      </c>
      <c r="D229" s="6" t="s">
        <v>183</v>
      </c>
      <c r="E229" s="6" t="s">
        <v>16</v>
      </c>
      <c r="F229" s="6" t="s">
        <v>17</v>
      </c>
      <c r="G229" s="6">
        <v>34.0</v>
      </c>
      <c r="H229" s="6">
        <v>1.77</v>
      </c>
      <c r="I229" s="7">
        <f t="shared" si="7"/>
        <v>17</v>
      </c>
      <c r="J229" s="7">
        <f t="shared" si="8"/>
        <v>8</v>
      </c>
      <c r="K229" s="7">
        <f t="shared" si="6"/>
        <v>2023</v>
      </c>
      <c r="L229" s="7">
        <f t="shared" si="4"/>
        <v>60.18</v>
      </c>
      <c r="M229" s="6" t="str">
        <f t="shared" si="5"/>
        <v>Cheap</v>
      </c>
    </row>
    <row r="230" ht="15.75" customHeight="1">
      <c r="A230" s="4" t="s">
        <v>262</v>
      </c>
      <c r="B230" s="5">
        <v>45164.0</v>
      </c>
      <c r="C230" s="6" t="s">
        <v>182</v>
      </c>
      <c r="D230" s="6" t="s">
        <v>189</v>
      </c>
      <c r="E230" s="6" t="s">
        <v>16</v>
      </c>
      <c r="F230" s="6" t="s">
        <v>17</v>
      </c>
      <c r="G230" s="6">
        <v>41.0</v>
      </c>
      <c r="H230" s="6">
        <v>1.7699999999999998</v>
      </c>
      <c r="I230" s="7">
        <f t="shared" si="7"/>
        <v>26</v>
      </c>
      <c r="J230" s="7">
        <f t="shared" si="8"/>
        <v>8</v>
      </c>
      <c r="K230" s="7">
        <f t="shared" si="6"/>
        <v>2023</v>
      </c>
      <c r="L230" s="7">
        <f t="shared" si="4"/>
        <v>72.57</v>
      </c>
      <c r="M230" s="6" t="str">
        <f t="shared" si="5"/>
        <v>Cheap</v>
      </c>
    </row>
    <row r="231" ht="15.75" customHeight="1">
      <c r="A231" s="4" t="s">
        <v>263</v>
      </c>
      <c r="B231" s="5">
        <v>45176.0</v>
      </c>
      <c r="C231" s="6" t="s">
        <v>182</v>
      </c>
      <c r="D231" s="6" t="s">
        <v>183</v>
      </c>
      <c r="E231" s="6" t="s">
        <v>16</v>
      </c>
      <c r="F231" s="6" t="s">
        <v>49</v>
      </c>
      <c r="G231" s="6">
        <v>50.0</v>
      </c>
      <c r="H231" s="6">
        <v>1.87</v>
      </c>
      <c r="I231" s="7">
        <f t="shared" si="7"/>
        <v>7</v>
      </c>
      <c r="J231" s="7">
        <f t="shared" si="8"/>
        <v>9</v>
      </c>
      <c r="K231" s="7">
        <f t="shared" si="6"/>
        <v>2023</v>
      </c>
      <c r="L231" s="7">
        <f t="shared" si="4"/>
        <v>93.5</v>
      </c>
      <c r="M231" s="6" t="str">
        <f t="shared" si="5"/>
        <v>Cheap</v>
      </c>
    </row>
    <row r="232" ht="15.75" customHeight="1">
      <c r="A232" s="4" t="s">
        <v>264</v>
      </c>
      <c r="B232" s="5">
        <v>45179.0</v>
      </c>
      <c r="C232" s="6" t="s">
        <v>182</v>
      </c>
      <c r="D232" s="6" t="s">
        <v>183</v>
      </c>
      <c r="E232" s="6" t="s">
        <v>24</v>
      </c>
      <c r="F232" s="6" t="s">
        <v>42</v>
      </c>
      <c r="G232" s="6">
        <v>79.0</v>
      </c>
      <c r="H232" s="6">
        <v>2.8400000000000003</v>
      </c>
      <c r="I232" s="7">
        <f t="shared" si="7"/>
        <v>10</v>
      </c>
      <c r="J232" s="7">
        <f t="shared" si="8"/>
        <v>9</v>
      </c>
      <c r="K232" s="7">
        <f t="shared" si="6"/>
        <v>2023</v>
      </c>
      <c r="L232" s="7">
        <f t="shared" si="4"/>
        <v>224.36</v>
      </c>
      <c r="M232" s="6" t="str">
        <f t="shared" si="5"/>
        <v>Expensive</v>
      </c>
    </row>
    <row r="233" ht="15.75" customHeight="1">
      <c r="A233" s="4" t="s">
        <v>265</v>
      </c>
      <c r="B233" s="5">
        <v>45188.0</v>
      </c>
      <c r="C233" s="6" t="s">
        <v>182</v>
      </c>
      <c r="D233" s="6" t="s">
        <v>189</v>
      </c>
      <c r="E233" s="6" t="s">
        <v>16</v>
      </c>
      <c r="F233" s="6" t="s">
        <v>17</v>
      </c>
      <c r="G233" s="6">
        <v>49.0</v>
      </c>
      <c r="H233" s="6">
        <v>1.77</v>
      </c>
      <c r="I233" s="7">
        <f t="shared" si="7"/>
        <v>19</v>
      </c>
      <c r="J233" s="7">
        <f t="shared" si="8"/>
        <v>9</v>
      </c>
      <c r="K233" s="7">
        <f t="shared" si="6"/>
        <v>2023</v>
      </c>
      <c r="L233" s="7">
        <f t="shared" si="4"/>
        <v>86.73</v>
      </c>
      <c r="M233" s="6" t="str">
        <f t="shared" si="5"/>
        <v>Cheap</v>
      </c>
    </row>
    <row r="234" ht="15.75" customHeight="1">
      <c r="A234" s="4" t="s">
        <v>266</v>
      </c>
      <c r="B234" s="5">
        <v>45200.0</v>
      </c>
      <c r="C234" s="6" t="s">
        <v>182</v>
      </c>
      <c r="D234" s="6" t="s">
        <v>183</v>
      </c>
      <c r="E234" s="6" t="s">
        <v>16</v>
      </c>
      <c r="F234" s="6" t="s">
        <v>49</v>
      </c>
      <c r="G234" s="6">
        <v>43.0</v>
      </c>
      <c r="H234" s="6">
        <v>1.8699999999999999</v>
      </c>
      <c r="I234" s="7">
        <f t="shared" si="7"/>
        <v>1</v>
      </c>
      <c r="J234" s="7">
        <f t="shared" si="8"/>
        <v>10</v>
      </c>
      <c r="K234" s="7">
        <f t="shared" si="6"/>
        <v>2023</v>
      </c>
      <c r="L234" s="7">
        <f t="shared" si="4"/>
        <v>80.41</v>
      </c>
      <c r="M234" s="6" t="str">
        <f t="shared" si="5"/>
        <v>Cheap</v>
      </c>
    </row>
    <row r="235" ht="15.75" customHeight="1">
      <c r="A235" s="4" t="s">
        <v>267</v>
      </c>
      <c r="B235" s="5">
        <v>45203.0</v>
      </c>
      <c r="C235" s="6" t="s">
        <v>182</v>
      </c>
      <c r="D235" s="6" t="s">
        <v>183</v>
      </c>
      <c r="E235" s="6" t="s">
        <v>24</v>
      </c>
      <c r="F235" s="6" t="s">
        <v>42</v>
      </c>
      <c r="G235" s="6">
        <v>47.0</v>
      </c>
      <c r="H235" s="6">
        <v>2.84</v>
      </c>
      <c r="I235" s="7">
        <f t="shared" si="7"/>
        <v>4</v>
      </c>
      <c r="J235" s="7">
        <f t="shared" si="8"/>
        <v>10</v>
      </c>
      <c r="K235" s="7">
        <f t="shared" si="6"/>
        <v>2023</v>
      </c>
      <c r="L235" s="7">
        <f t="shared" si="4"/>
        <v>133.48</v>
      </c>
      <c r="M235" s="6" t="str">
        <f t="shared" si="5"/>
        <v>Expensive</v>
      </c>
    </row>
    <row r="236" ht="15.75" customHeight="1">
      <c r="A236" s="4" t="s">
        <v>268</v>
      </c>
      <c r="B236" s="5">
        <v>45212.0</v>
      </c>
      <c r="C236" s="6" t="s">
        <v>182</v>
      </c>
      <c r="D236" s="6" t="s">
        <v>189</v>
      </c>
      <c r="E236" s="6" t="s">
        <v>16</v>
      </c>
      <c r="F236" s="6" t="s">
        <v>17</v>
      </c>
      <c r="G236" s="6">
        <v>40.0</v>
      </c>
      <c r="H236" s="6">
        <v>1.77</v>
      </c>
      <c r="I236" s="7">
        <f t="shared" si="7"/>
        <v>13</v>
      </c>
      <c r="J236" s="7">
        <f t="shared" si="8"/>
        <v>10</v>
      </c>
      <c r="K236" s="7">
        <f t="shared" si="6"/>
        <v>2023</v>
      </c>
      <c r="L236" s="7">
        <f t="shared" si="4"/>
        <v>70.8</v>
      </c>
      <c r="M236" s="6" t="str">
        <f t="shared" si="5"/>
        <v>Cheap</v>
      </c>
    </row>
    <row r="237" ht="15.75" customHeight="1">
      <c r="A237" s="4" t="s">
        <v>269</v>
      </c>
      <c r="B237" s="5">
        <v>45224.0</v>
      </c>
      <c r="C237" s="6" t="s">
        <v>182</v>
      </c>
      <c r="D237" s="6" t="s">
        <v>183</v>
      </c>
      <c r="E237" s="6" t="s">
        <v>16</v>
      </c>
      <c r="F237" s="6" t="s">
        <v>17</v>
      </c>
      <c r="G237" s="6">
        <v>35.0</v>
      </c>
      <c r="H237" s="6">
        <v>1.77</v>
      </c>
      <c r="I237" s="7">
        <f t="shared" si="7"/>
        <v>25</v>
      </c>
      <c r="J237" s="7">
        <f t="shared" si="8"/>
        <v>10</v>
      </c>
      <c r="K237" s="7">
        <f t="shared" si="6"/>
        <v>2023</v>
      </c>
      <c r="L237" s="7">
        <f t="shared" si="4"/>
        <v>61.95</v>
      </c>
      <c r="M237" s="6" t="str">
        <f t="shared" si="5"/>
        <v>Cheap</v>
      </c>
    </row>
    <row r="238" ht="15.75" customHeight="1">
      <c r="A238" s="4" t="s">
        <v>270</v>
      </c>
      <c r="B238" s="5">
        <v>45233.0</v>
      </c>
      <c r="C238" s="6" t="s">
        <v>182</v>
      </c>
      <c r="D238" s="6" t="s">
        <v>189</v>
      </c>
      <c r="E238" s="6" t="s">
        <v>24</v>
      </c>
      <c r="F238" s="6" t="s">
        <v>25</v>
      </c>
      <c r="G238" s="6">
        <v>24.0</v>
      </c>
      <c r="H238" s="6">
        <v>1.87</v>
      </c>
      <c r="I238" s="7">
        <f t="shared" si="7"/>
        <v>3</v>
      </c>
      <c r="J238" s="7">
        <f t="shared" si="8"/>
        <v>11</v>
      </c>
      <c r="K238" s="7">
        <f t="shared" si="6"/>
        <v>2023</v>
      </c>
      <c r="L238" s="7">
        <f t="shared" si="4"/>
        <v>44.88</v>
      </c>
      <c r="M238" s="6" t="str">
        <f t="shared" si="5"/>
        <v>Cheap</v>
      </c>
    </row>
    <row r="239" ht="15.75" customHeight="1">
      <c r="A239" s="4" t="s">
        <v>271</v>
      </c>
      <c r="B239" s="5">
        <v>45242.0</v>
      </c>
      <c r="C239" s="6" t="s">
        <v>182</v>
      </c>
      <c r="D239" s="6" t="s">
        <v>183</v>
      </c>
      <c r="E239" s="6" t="s">
        <v>16</v>
      </c>
      <c r="F239" s="6" t="s">
        <v>17</v>
      </c>
      <c r="G239" s="6">
        <v>137.0</v>
      </c>
      <c r="H239" s="6">
        <v>1.77</v>
      </c>
      <c r="I239" s="7">
        <f t="shared" si="7"/>
        <v>12</v>
      </c>
      <c r="J239" s="7">
        <f t="shared" si="8"/>
        <v>11</v>
      </c>
      <c r="K239" s="7">
        <f t="shared" si="6"/>
        <v>2023</v>
      </c>
      <c r="L239" s="7">
        <f t="shared" si="4"/>
        <v>242.49</v>
      </c>
      <c r="M239" s="6" t="str">
        <f t="shared" si="5"/>
        <v>Expensive</v>
      </c>
    </row>
    <row r="240" ht="15.75" customHeight="1">
      <c r="A240" s="4" t="s">
        <v>272</v>
      </c>
      <c r="B240" s="5">
        <v>45251.0</v>
      </c>
      <c r="C240" s="6" t="s">
        <v>182</v>
      </c>
      <c r="D240" s="6" t="s">
        <v>189</v>
      </c>
      <c r="E240" s="6" t="s">
        <v>16</v>
      </c>
      <c r="F240" s="6" t="s">
        <v>17</v>
      </c>
      <c r="G240" s="6">
        <v>20.0</v>
      </c>
      <c r="H240" s="6">
        <v>1.77</v>
      </c>
      <c r="I240" s="7">
        <f t="shared" si="7"/>
        <v>21</v>
      </c>
      <c r="J240" s="7">
        <f t="shared" si="8"/>
        <v>11</v>
      </c>
      <c r="K240" s="7">
        <f t="shared" si="6"/>
        <v>2023</v>
      </c>
      <c r="L240" s="7">
        <f t="shared" si="4"/>
        <v>35.4</v>
      </c>
      <c r="M240" s="6" t="str">
        <f t="shared" si="5"/>
        <v>Cheap</v>
      </c>
    </row>
    <row r="241" ht="15.75" customHeight="1">
      <c r="A241" s="4" t="s">
        <v>273</v>
      </c>
      <c r="B241" s="5">
        <v>45263.0</v>
      </c>
      <c r="C241" s="6" t="s">
        <v>182</v>
      </c>
      <c r="D241" s="6" t="s">
        <v>183</v>
      </c>
      <c r="E241" s="6" t="s">
        <v>16</v>
      </c>
      <c r="F241" s="6" t="s">
        <v>49</v>
      </c>
      <c r="G241" s="6">
        <v>42.0</v>
      </c>
      <c r="H241" s="6">
        <v>1.87</v>
      </c>
      <c r="I241" s="7">
        <f t="shared" si="7"/>
        <v>3</v>
      </c>
      <c r="J241" s="7">
        <f t="shared" si="8"/>
        <v>12</v>
      </c>
      <c r="K241" s="7">
        <f t="shared" si="6"/>
        <v>2023</v>
      </c>
      <c r="L241" s="7">
        <f t="shared" si="4"/>
        <v>78.54</v>
      </c>
      <c r="M241" s="6" t="str">
        <f t="shared" si="5"/>
        <v>Cheap</v>
      </c>
    </row>
    <row r="242" ht="15.75" customHeight="1">
      <c r="A242" s="4" t="s">
        <v>274</v>
      </c>
      <c r="B242" s="5">
        <v>45266.0</v>
      </c>
      <c r="C242" s="6" t="s">
        <v>182</v>
      </c>
      <c r="D242" s="6" t="s">
        <v>183</v>
      </c>
      <c r="E242" s="6" t="s">
        <v>24</v>
      </c>
      <c r="F242" s="6" t="s">
        <v>42</v>
      </c>
      <c r="G242" s="6">
        <v>100.0</v>
      </c>
      <c r="H242" s="6">
        <v>2.84</v>
      </c>
      <c r="I242" s="7">
        <f t="shared" si="7"/>
        <v>6</v>
      </c>
      <c r="J242" s="7">
        <f t="shared" si="8"/>
        <v>12</v>
      </c>
      <c r="K242" s="7">
        <f t="shared" si="6"/>
        <v>2023</v>
      </c>
      <c r="L242" s="7">
        <f t="shared" si="4"/>
        <v>284</v>
      </c>
      <c r="M242" s="6" t="str">
        <f t="shared" si="5"/>
        <v>Expensive</v>
      </c>
    </row>
    <row r="243" ht="15.75" customHeight="1">
      <c r="A243" s="4" t="s">
        <v>275</v>
      </c>
      <c r="B243" s="5">
        <v>45275.0</v>
      </c>
      <c r="C243" s="6" t="s">
        <v>182</v>
      </c>
      <c r="D243" s="6" t="s">
        <v>189</v>
      </c>
      <c r="E243" s="6" t="s">
        <v>24</v>
      </c>
      <c r="F243" s="6" t="s">
        <v>25</v>
      </c>
      <c r="G243" s="6">
        <v>96.0</v>
      </c>
      <c r="H243" s="6">
        <v>1.87</v>
      </c>
      <c r="I243" s="7">
        <f t="shared" si="7"/>
        <v>15</v>
      </c>
      <c r="J243" s="7">
        <f t="shared" si="8"/>
        <v>12</v>
      </c>
      <c r="K243" s="7">
        <f t="shared" si="6"/>
        <v>2023</v>
      </c>
      <c r="L243" s="7">
        <f t="shared" si="4"/>
        <v>179.52</v>
      </c>
      <c r="M243" s="6" t="str">
        <f t="shared" si="5"/>
        <v>Expensive</v>
      </c>
    </row>
    <row r="244" ht="15.75" customHeight="1">
      <c r="A244" s="4" t="s">
        <v>276</v>
      </c>
      <c r="B244" s="5">
        <v>45287.0</v>
      </c>
      <c r="C244" s="6" t="s">
        <v>182</v>
      </c>
      <c r="D244" s="6" t="s">
        <v>183</v>
      </c>
      <c r="E244" s="6" t="s">
        <v>16</v>
      </c>
      <c r="F244" s="6" t="s">
        <v>49</v>
      </c>
      <c r="G244" s="6">
        <v>30.0</v>
      </c>
      <c r="H244" s="6">
        <v>1.87</v>
      </c>
      <c r="I244" s="7">
        <f t="shared" si="7"/>
        <v>27</v>
      </c>
      <c r="J244" s="7">
        <f t="shared" si="8"/>
        <v>12</v>
      </c>
      <c r="K244" s="7">
        <f t="shared" si="6"/>
        <v>2023</v>
      </c>
      <c r="L244" s="7">
        <f t="shared" si="4"/>
        <v>56.1</v>
      </c>
      <c r="M244" s="6" t="str">
        <f t="shared" si="5"/>
        <v>Cheap</v>
      </c>
    </row>
    <row r="245" ht="15.75" customHeight="1">
      <c r="A245" s="4" t="s">
        <v>277</v>
      </c>
      <c r="B245" s="5">
        <v>45290.0</v>
      </c>
      <c r="C245" s="6" t="s">
        <v>182</v>
      </c>
      <c r="D245" s="6" t="s">
        <v>183</v>
      </c>
      <c r="E245" s="6" t="s">
        <v>24</v>
      </c>
      <c r="F245" s="6" t="s">
        <v>42</v>
      </c>
      <c r="G245" s="6">
        <v>44.0</v>
      </c>
      <c r="H245" s="6">
        <v>2.84</v>
      </c>
      <c r="I245" s="7">
        <f t="shared" si="7"/>
        <v>30</v>
      </c>
      <c r="J245" s="7">
        <f t="shared" si="8"/>
        <v>12</v>
      </c>
      <c r="K245" s="7">
        <f t="shared" si="6"/>
        <v>2023</v>
      </c>
      <c r="L245" s="7">
        <f t="shared" si="4"/>
        <v>124.96</v>
      </c>
      <c r="M245" s="6" t="str">
        <f t="shared" si="5"/>
        <v>Expensive</v>
      </c>
    </row>
    <row r="246" ht="15.75" customHeight="1">
      <c r="A246" s="12" t="s">
        <v>278</v>
      </c>
      <c r="B246" s="13"/>
      <c r="C246" s="13"/>
      <c r="D246" s="13"/>
      <c r="E246" s="13"/>
      <c r="F246" s="14"/>
      <c r="G246" s="6"/>
      <c r="H246" s="6"/>
      <c r="I246" s="7">
        <f t="shared" si="7"/>
        <v>30</v>
      </c>
      <c r="J246" s="7">
        <f t="shared" si="8"/>
        <v>12</v>
      </c>
      <c r="K246" s="7">
        <f t="shared" si="6"/>
        <v>1899</v>
      </c>
      <c r="L246" s="7">
        <f>SUM($L$2:$L$245)</f>
        <v>33325.58</v>
      </c>
      <c r="M246" s="6" t="str">
        <f t="shared" si="5"/>
        <v>Expensive</v>
      </c>
    </row>
    <row r="247" ht="15.75" customHeight="1">
      <c r="A247" s="12" t="s">
        <v>279</v>
      </c>
      <c r="B247" s="13"/>
      <c r="C247" s="13"/>
      <c r="D247" s="13"/>
      <c r="E247" s="13"/>
      <c r="F247" s="14"/>
      <c r="G247" s="15"/>
      <c r="H247" s="6"/>
      <c r="I247" s="7">
        <f t="shared" si="7"/>
        <v>30</v>
      </c>
      <c r="J247" s="7">
        <f t="shared" si="8"/>
        <v>12</v>
      </c>
      <c r="K247" s="7">
        <f t="shared" si="6"/>
        <v>1899</v>
      </c>
      <c r="L247" s="7">
        <f>AVERAGE($L$2:$L$245)</f>
        <v>136.5802459</v>
      </c>
      <c r="M247" s="6" t="str">
        <f t="shared" si="5"/>
        <v>Expensive</v>
      </c>
    </row>
    <row r="248" ht="15.75" customHeight="1">
      <c r="A248" s="12" t="s">
        <v>280</v>
      </c>
      <c r="B248" s="13"/>
      <c r="C248" s="13"/>
      <c r="D248" s="13"/>
      <c r="E248" s="13"/>
      <c r="F248" s="14"/>
      <c r="G248" s="15"/>
      <c r="H248" s="15"/>
      <c r="I248" s="7">
        <f t="shared" si="7"/>
        <v>30</v>
      </c>
      <c r="J248" s="7">
        <f t="shared" si="8"/>
        <v>12</v>
      </c>
      <c r="K248" s="7">
        <f t="shared" si="6"/>
        <v>1899</v>
      </c>
      <c r="L248" s="7">
        <f>MAX($L$2:$L$245)</f>
        <v>817.92</v>
      </c>
      <c r="M248" s="6" t="str">
        <f t="shared" si="5"/>
        <v>Expensive</v>
      </c>
    </row>
    <row r="249" ht="15.75" customHeight="1">
      <c r="A249" s="12" t="s">
        <v>281</v>
      </c>
      <c r="B249" s="13"/>
      <c r="C249" s="13"/>
      <c r="D249" s="13"/>
      <c r="E249" s="13"/>
      <c r="F249" s="14"/>
      <c r="G249" s="6"/>
      <c r="H249" s="6"/>
      <c r="I249" s="7">
        <f t="shared" si="7"/>
        <v>30</v>
      </c>
      <c r="J249" s="7">
        <f t="shared" si="8"/>
        <v>12</v>
      </c>
      <c r="K249" s="7">
        <f t="shared" si="6"/>
        <v>1899</v>
      </c>
      <c r="L249" s="7">
        <f>MIN($L$2:$L$245)</f>
        <v>33.6</v>
      </c>
      <c r="M249" s="6" t="str">
        <f t="shared" si="5"/>
        <v>Cheap</v>
      </c>
    </row>
    <row r="250" ht="15.75" customHeight="1">
      <c r="A250" s="12" t="s">
        <v>282</v>
      </c>
      <c r="B250" s="13"/>
      <c r="C250" s="13"/>
      <c r="D250" s="13"/>
      <c r="E250" s="13"/>
      <c r="F250" s="14"/>
      <c r="G250" s="15"/>
      <c r="H250" s="6"/>
      <c r="I250" s="7">
        <f t="shared" si="7"/>
        <v>30</v>
      </c>
      <c r="J250" s="7">
        <f t="shared" si="8"/>
        <v>12</v>
      </c>
      <c r="K250" s="7">
        <f t="shared" si="6"/>
        <v>1899</v>
      </c>
      <c r="L250" s="7">
        <f>COUNT(L2:L245)</f>
        <v>244</v>
      </c>
      <c r="M250" s="6" t="str">
        <f t="shared" si="5"/>
        <v>Expensive</v>
      </c>
    </row>
    <row r="251" ht="15.75" customHeight="1">
      <c r="A251" s="12" t="s">
        <v>283</v>
      </c>
      <c r="B251" s="13"/>
      <c r="C251" s="13"/>
      <c r="D251" s="13"/>
      <c r="E251" s="13"/>
      <c r="F251" s="14"/>
      <c r="G251" s="15"/>
      <c r="H251" s="15"/>
      <c r="I251" s="7">
        <f t="shared" si="7"/>
        <v>30</v>
      </c>
      <c r="J251" s="7">
        <f t="shared" si="8"/>
        <v>12</v>
      </c>
      <c r="K251" s="7">
        <f t="shared" si="6"/>
        <v>1899</v>
      </c>
      <c r="L251" s="7">
        <f>COUNTA(L2:L245,H2:H245)</f>
        <v>488</v>
      </c>
      <c r="M251" s="6" t="str">
        <f t="shared" si="5"/>
        <v>Expensive</v>
      </c>
    </row>
    <row r="252" ht="15.75" customHeight="1">
      <c r="A252" s="12" t="s">
        <v>284</v>
      </c>
      <c r="B252" s="13"/>
      <c r="C252" s="13"/>
      <c r="D252" s="13"/>
      <c r="E252" s="13"/>
      <c r="F252" s="14"/>
      <c r="G252" s="6"/>
      <c r="H252" s="6"/>
      <c r="I252" s="7">
        <f t="shared" si="7"/>
        <v>30</v>
      </c>
      <c r="J252" s="7">
        <f t="shared" si="8"/>
        <v>12</v>
      </c>
      <c r="K252" s="7">
        <f t="shared" si="6"/>
        <v>1899</v>
      </c>
      <c r="L252" s="7" t="str">
        <f>IF(SUM($L$2:$L$245)&gt;100,"Total price is greater than 100","Total price is not greater than 100")</f>
        <v>Total price is greater than 100</v>
      </c>
      <c r="M252" s="6" t="str">
        <f t="shared" si="5"/>
        <v>Expensive</v>
      </c>
    </row>
    <row r="253" ht="15.75" customHeight="1">
      <c r="A253" s="12" t="s">
        <v>285</v>
      </c>
      <c r="B253" s="13"/>
      <c r="C253" s="13"/>
      <c r="D253" s="13"/>
      <c r="E253" s="13"/>
      <c r="F253" s="14"/>
      <c r="G253" s="6"/>
      <c r="H253" s="6"/>
      <c r="I253" s="7">
        <f t="shared" si="7"/>
        <v>30</v>
      </c>
      <c r="J253" s="7">
        <f t="shared" si="8"/>
        <v>12</v>
      </c>
      <c r="K253" s="7">
        <f t="shared" si="6"/>
        <v>1899</v>
      </c>
      <c r="L253" s="7">
        <f>AVERAGEIF($L$2:$L$245,"&gt;100")</f>
        <v>200.38944</v>
      </c>
      <c r="M253" s="6" t="str">
        <f t="shared" si="5"/>
        <v>Expensive</v>
      </c>
    </row>
    <row r="254" ht="15.75" customHeight="1">
      <c r="A254" s="12" t="s">
        <v>286</v>
      </c>
      <c r="B254" s="13"/>
      <c r="C254" s="13"/>
      <c r="D254" s="13"/>
      <c r="E254" s="13"/>
      <c r="F254" s="14"/>
      <c r="G254" s="6"/>
      <c r="H254" s="6"/>
      <c r="I254" s="7">
        <f t="shared" si="7"/>
        <v>30</v>
      </c>
      <c r="J254" s="7">
        <f t="shared" si="8"/>
        <v>12</v>
      </c>
      <c r="K254" s="7">
        <f t="shared" si="6"/>
        <v>1899</v>
      </c>
      <c r="L254" s="7">
        <f>SUMIF($L$2:$L$245,"&gt;100")</f>
        <v>25048.68</v>
      </c>
      <c r="M254" s="6" t="str">
        <f t="shared" si="5"/>
        <v>Expensive</v>
      </c>
    </row>
    <row r="255" ht="15.75" customHeight="1">
      <c r="A255" s="16"/>
      <c r="B255" s="16"/>
      <c r="I255" s="17"/>
      <c r="J255" s="17"/>
      <c r="K255" s="17"/>
      <c r="L255" s="17"/>
    </row>
    <row r="256" ht="15.75" customHeight="1">
      <c r="A256" s="16"/>
      <c r="B256" s="16"/>
      <c r="I256" s="17"/>
      <c r="J256" s="17"/>
      <c r="K256" s="17"/>
      <c r="L256" s="17"/>
    </row>
    <row r="257" ht="15.75" customHeight="1">
      <c r="A257" s="16"/>
      <c r="B257" s="16"/>
      <c r="I257" s="17"/>
      <c r="J257" s="17"/>
      <c r="K257" s="17"/>
      <c r="L257" s="17"/>
    </row>
    <row r="258" ht="15.75" customHeight="1">
      <c r="A258" s="16"/>
      <c r="B258" s="16"/>
      <c r="I258" s="17"/>
      <c r="J258" s="17"/>
      <c r="K258" s="17"/>
      <c r="L258" s="17"/>
    </row>
    <row r="259" ht="15.75" customHeight="1">
      <c r="A259" s="16"/>
      <c r="B259" s="16"/>
      <c r="I259" s="17"/>
      <c r="J259" s="17"/>
      <c r="K259" s="17"/>
      <c r="L259" s="17"/>
    </row>
    <row r="260" ht="15.75" customHeight="1">
      <c r="A260" s="16"/>
      <c r="B260" s="16"/>
      <c r="I260" s="17"/>
      <c r="J260" s="17"/>
      <c r="K260" s="17"/>
      <c r="L260" s="17"/>
    </row>
    <row r="261" ht="15.75" customHeight="1">
      <c r="A261" s="16"/>
      <c r="B261" s="16"/>
      <c r="I261" s="17"/>
      <c r="J261" s="17"/>
      <c r="K261" s="17"/>
      <c r="L261" s="17"/>
    </row>
    <row r="262" ht="15.75" customHeight="1">
      <c r="A262" s="16"/>
      <c r="B262" s="16"/>
      <c r="I262" s="17"/>
      <c r="J262" s="17"/>
      <c r="K262" s="17"/>
      <c r="L262" s="17"/>
    </row>
    <row r="263" ht="15.75" customHeight="1">
      <c r="A263" s="16"/>
      <c r="B263" s="16"/>
      <c r="I263" s="17"/>
      <c r="J263" s="17"/>
      <c r="K263" s="17"/>
      <c r="L263" s="17"/>
    </row>
    <row r="264" ht="15.75" customHeight="1">
      <c r="A264" s="16"/>
      <c r="B264" s="16"/>
      <c r="I264" s="17"/>
      <c r="J264" s="17"/>
      <c r="K264" s="17"/>
      <c r="L264" s="17"/>
    </row>
    <row r="265" ht="15.75" customHeight="1">
      <c r="A265" s="16"/>
      <c r="B265" s="16"/>
      <c r="I265" s="17"/>
      <c r="J265" s="17"/>
      <c r="K265" s="17"/>
      <c r="L265" s="17"/>
    </row>
    <row r="266" ht="15.75" customHeight="1">
      <c r="A266" s="16"/>
      <c r="B266" s="16"/>
      <c r="I266" s="17"/>
      <c r="J266" s="17"/>
      <c r="K266" s="17"/>
      <c r="L266" s="17"/>
    </row>
    <row r="267" ht="15.75" customHeight="1">
      <c r="A267" s="16"/>
      <c r="B267" s="16"/>
      <c r="I267" s="17"/>
      <c r="J267" s="17"/>
      <c r="K267" s="17"/>
      <c r="L267" s="17"/>
    </row>
    <row r="268" ht="15.75" customHeight="1">
      <c r="A268" s="16"/>
      <c r="B268" s="16"/>
      <c r="I268" s="17"/>
      <c r="J268" s="17"/>
      <c r="K268" s="17"/>
      <c r="L268" s="17"/>
    </row>
    <row r="269" ht="15.75" customHeight="1">
      <c r="A269" s="16"/>
      <c r="B269" s="16"/>
      <c r="I269" s="17"/>
      <c r="J269" s="17"/>
      <c r="K269" s="17"/>
      <c r="L269" s="17"/>
    </row>
    <row r="270" ht="15.75" customHeight="1">
      <c r="A270" s="16"/>
      <c r="B270" s="16"/>
      <c r="I270" s="17"/>
      <c r="J270" s="17"/>
      <c r="K270" s="17"/>
      <c r="L270" s="17"/>
    </row>
    <row r="271" ht="15.75" customHeight="1">
      <c r="A271" s="16"/>
      <c r="B271" s="16"/>
      <c r="I271" s="17"/>
      <c r="J271" s="17"/>
      <c r="K271" s="17"/>
      <c r="L271" s="17"/>
    </row>
    <row r="272" ht="15.75" customHeight="1">
      <c r="A272" s="16"/>
      <c r="B272" s="16"/>
      <c r="I272" s="17"/>
      <c r="J272" s="17"/>
      <c r="K272" s="17"/>
      <c r="L272" s="17"/>
    </row>
    <row r="273" ht="15.75" customHeight="1">
      <c r="A273" s="16"/>
      <c r="B273" s="16"/>
      <c r="I273" s="17"/>
      <c r="J273" s="17"/>
      <c r="K273" s="17"/>
      <c r="L273" s="17"/>
    </row>
    <row r="274" ht="15.75" customHeight="1">
      <c r="A274" s="16"/>
      <c r="B274" s="16"/>
      <c r="I274" s="17"/>
      <c r="J274" s="17"/>
      <c r="K274" s="17"/>
      <c r="L274" s="17"/>
    </row>
    <row r="275" ht="15.75" customHeight="1">
      <c r="A275" s="16"/>
      <c r="B275" s="16"/>
      <c r="I275" s="17"/>
      <c r="J275" s="17"/>
      <c r="K275" s="17"/>
      <c r="L275" s="17"/>
    </row>
    <row r="276" ht="15.75" customHeight="1">
      <c r="A276" s="16"/>
      <c r="B276" s="16"/>
      <c r="I276" s="17"/>
      <c r="J276" s="17"/>
      <c r="K276" s="17"/>
      <c r="L276" s="17"/>
    </row>
    <row r="277" ht="15.75" customHeight="1">
      <c r="A277" s="16"/>
      <c r="B277" s="16"/>
      <c r="I277" s="17"/>
      <c r="J277" s="17"/>
      <c r="K277" s="17"/>
      <c r="L277" s="17"/>
    </row>
    <row r="278" ht="15.75" customHeight="1">
      <c r="A278" s="16"/>
      <c r="B278" s="16"/>
      <c r="I278" s="17"/>
      <c r="J278" s="17"/>
      <c r="K278" s="17"/>
      <c r="L278" s="17"/>
    </row>
    <row r="279" ht="15.75" customHeight="1">
      <c r="A279" s="16"/>
      <c r="B279" s="16"/>
      <c r="I279" s="17"/>
      <c r="J279" s="17"/>
      <c r="K279" s="17"/>
      <c r="L279" s="17"/>
    </row>
    <row r="280" ht="15.75" customHeight="1">
      <c r="A280" s="16"/>
      <c r="B280" s="16"/>
      <c r="I280" s="17"/>
      <c r="J280" s="17"/>
      <c r="K280" s="17"/>
      <c r="L280" s="17"/>
    </row>
    <row r="281" ht="15.75" customHeight="1">
      <c r="A281" s="16"/>
      <c r="B281" s="16"/>
      <c r="I281" s="17"/>
      <c r="J281" s="17"/>
      <c r="K281" s="17"/>
      <c r="L281" s="17"/>
    </row>
    <row r="282" ht="15.75" customHeight="1">
      <c r="A282" s="16"/>
      <c r="B282" s="16"/>
      <c r="I282" s="17"/>
      <c r="J282" s="17"/>
      <c r="K282" s="17"/>
      <c r="L282" s="17"/>
    </row>
    <row r="283" ht="15.75" customHeight="1">
      <c r="A283" s="16"/>
      <c r="B283" s="16"/>
      <c r="I283" s="17"/>
      <c r="J283" s="17"/>
      <c r="K283" s="17"/>
      <c r="L283" s="17"/>
    </row>
    <row r="284" ht="15.75" customHeight="1">
      <c r="A284" s="16"/>
      <c r="B284" s="16"/>
      <c r="I284" s="17"/>
      <c r="J284" s="17"/>
      <c r="K284" s="17"/>
      <c r="L284" s="17"/>
    </row>
    <row r="285" ht="15.75" customHeight="1">
      <c r="A285" s="16"/>
      <c r="B285" s="16"/>
      <c r="I285" s="17"/>
      <c r="J285" s="17"/>
      <c r="K285" s="17"/>
      <c r="L285" s="17"/>
    </row>
    <row r="286" ht="15.75" customHeight="1">
      <c r="A286" s="16"/>
      <c r="B286" s="16"/>
      <c r="I286" s="17"/>
      <c r="J286" s="17"/>
      <c r="K286" s="17"/>
      <c r="L286" s="17"/>
    </row>
    <row r="287" ht="15.75" customHeight="1">
      <c r="A287" s="16"/>
      <c r="B287" s="16"/>
      <c r="I287" s="17"/>
      <c r="J287" s="17"/>
      <c r="K287" s="17"/>
      <c r="L287" s="17"/>
    </row>
    <row r="288" ht="15.75" customHeight="1">
      <c r="A288" s="16"/>
      <c r="B288" s="16"/>
      <c r="I288" s="17"/>
      <c r="J288" s="17"/>
      <c r="K288" s="17"/>
      <c r="L288" s="17"/>
    </row>
    <row r="289" ht="15.75" customHeight="1">
      <c r="A289" s="16"/>
      <c r="B289" s="16"/>
      <c r="I289" s="17"/>
      <c r="J289" s="17"/>
      <c r="K289" s="17"/>
      <c r="L289" s="17"/>
    </row>
    <row r="290" ht="15.75" customHeight="1">
      <c r="A290" s="16"/>
      <c r="B290" s="16"/>
      <c r="I290" s="17"/>
      <c r="J290" s="17"/>
      <c r="K290" s="17"/>
      <c r="L290" s="17"/>
    </row>
    <row r="291" ht="15.75" customHeight="1">
      <c r="A291" s="16"/>
      <c r="B291" s="16"/>
      <c r="I291" s="17"/>
      <c r="J291" s="17"/>
      <c r="K291" s="17"/>
      <c r="L291" s="17"/>
    </row>
    <row r="292" ht="15.75" customHeight="1">
      <c r="A292" s="16"/>
      <c r="B292" s="16"/>
      <c r="I292" s="17"/>
      <c r="J292" s="17"/>
      <c r="K292" s="17"/>
      <c r="L292" s="17"/>
    </row>
    <row r="293" ht="15.75" customHeight="1">
      <c r="A293" s="16"/>
      <c r="B293" s="16"/>
      <c r="I293" s="17"/>
      <c r="J293" s="17"/>
      <c r="K293" s="17"/>
      <c r="L293" s="17"/>
    </row>
    <row r="294" ht="15.75" customHeight="1">
      <c r="A294" s="16"/>
      <c r="B294" s="16"/>
      <c r="I294" s="17"/>
      <c r="J294" s="17"/>
      <c r="K294" s="17"/>
      <c r="L294" s="17"/>
    </row>
    <row r="295" ht="15.75" customHeight="1">
      <c r="A295" s="16"/>
      <c r="B295" s="16"/>
      <c r="I295" s="17"/>
      <c r="J295" s="17"/>
      <c r="K295" s="17"/>
      <c r="L295" s="17"/>
    </row>
    <row r="296" ht="15.75" customHeight="1">
      <c r="A296" s="16"/>
      <c r="B296" s="16"/>
      <c r="I296" s="17"/>
      <c r="J296" s="17"/>
      <c r="K296" s="17"/>
      <c r="L296" s="17"/>
    </row>
    <row r="297" ht="15.75" customHeight="1">
      <c r="A297" s="16"/>
      <c r="B297" s="16"/>
      <c r="I297" s="17"/>
      <c r="J297" s="17"/>
      <c r="K297" s="17"/>
      <c r="L297" s="17"/>
    </row>
    <row r="298" ht="15.75" customHeight="1">
      <c r="A298" s="16"/>
      <c r="B298" s="16"/>
      <c r="I298" s="17"/>
      <c r="J298" s="17"/>
      <c r="K298" s="17"/>
      <c r="L298" s="17"/>
    </row>
    <row r="299" ht="15.75" customHeight="1">
      <c r="A299" s="16"/>
      <c r="B299" s="16"/>
      <c r="I299" s="17"/>
      <c r="J299" s="17"/>
      <c r="K299" s="17"/>
      <c r="L299" s="17"/>
    </row>
    <row r="300" ht="15.75" customHeight="1">
      <c r="A300" s="16"/>
      <c r="B300" s="16"/>
      <c r="I300" s="17"/>
      <c r="J300" s="17"/>
      <c r="K300" s="17"/>
      <c r="L300" s="17"/>
    </row>
    <row r="301" ht="15.75" customHeight="1">
      <c r="A301" s="16"/>
      <c r="B301" s="16"/>
      <c r="I301" s="17"/>
      <c r="J301" s="17"/>
      <c r="K301" s="17"/>
      <c r="L301" s="17"/>
    </row>
    <row r="302" ht="15.75" customHeight="1">
      <c r="A302" s="16"/>
      <c r="B302" s="16"/>
      <c r="I302" s="17"/>
      <c r="J302" s="17"/>
      <c r="K302" s="17"/>
      <c r="L302" s="17"/>
    </row>
    <row r="303" ht="15.75" customHeight="1">
      <c r="A303" s="16"/>
      <c r="B303" s="16"/>
      <c r="I303" s="17"/>
      <c r="J303" s="17"/>
      <c r="K303" s="17"/>
      <c r="L303" s="17"/>
    </row>
    <row r="304" ht="15.75" customHeight="1">
      <c r="A304" s="16"/>
      <c r="B304" s="16"/>
      <c r="I304" s="17"/>
      <c r="J304" s="17"/>
      <c r="K304" s="17"/>
      <c r="L304" s="17"/>
    </row>
    <row r="305" ht="15.75" customHeight="1">
      <c r="A305" s="16"/>
      <c r="B305" s="16"/>
      <c r="I305" s="17"/>
      <c r="J305" s="17"/>
      <c r="K305" s="17"/>
      <c r="L305" s="17"/>
    </row>
    <row r="306" ht="15.75" customHeight="1">
      <c r="A306" s="16"/>
      <c r="B306" s="16"/>
      <c r="I306" s="17"/>
      <c r="J306" s="17"/>
      <c r="K306" s="17"/>
      <c r="L306" s="17"/>
    </row>
    <row r="307" ht="15.75" customHeight="1">
      <c r="A307" s="16"/>
      <c r="B307" s="16"/>
      <c r="I307" s="17"/>
      <c r="J307" s="17"/>
      <c r="K307" s="17"/>
      <c r="L307" s="17"/>
    </row>
    <row r="308" ht="15.75" customHeight="1">
      <c r="A308" s="16"/>
      <c r="B308" s="16"/>
      <c r="I308" s="17"/>
      <c r="J308" s="17"/>
      <c r="K308" s="17"/>
      <c r="L308" s="17"/>
    </row>
    <row r="309" ht="15.75" customHeight="1">
      <c r="A309" s="16"/>
      <c r="B309" s="16"/>
      <c r="I309" s="17"/>
      <c r="J309" s="17"/>
      <c r="K309" s="17"/>
      <c r="L309" s="17"/>
    </row>
    <row r="310" ht="15.75" customHeight="1">
      <c r="A310" s="16"/>
      <c r="B310" s="16"/>
      <c r="I310" s="17"/>
      <c r="J310" s="17"/>
      <c r="K310" s="17"/>
      <c r="L310" s="17"/>
    </row>
    <row r="311" ht="15.75" customHeight="1">
      <c r="A311" s="16"/>
      <c r="B311" s="16"/>
      <c r="I311" s="17"/>
      <c r="J311" s="17"/>
      <c r="K311" s="17"/>
      <c r="L311" s="17"/>
    </row>
    <row r="312" ht="15.75" customHeight="1">
      <c r="A312" s="16"/>
      <c r="B312" s="16"/>
      <c r="I312" s="17"/>
      <c r="J312" s="17"/>
      <c r="K312" s="17"/>
      <c r="L312" s="17"/>
    </row>
    <row r="313" ht="15.75" customHeight="1">
      <c r="A313" s="16"/>
      <c r="B313" s="16"/>
      <c r="I313" s="17"/>
      <c r="J313" s="17"/>
      <c r="K313" s="17"/>
      <c r="L313" s="17"/>
    </row>
    <row r="314" ht="15.75" customHeight="1">
      <c r="A314" s="16"/>
      <c r="B314" s="16"/>
      <c r="I314" s="17"/>
      <c r="J314" s="17"/>
      <c r="K314" s="17"/>
      <c r="L314" s="17"/>
    </row>
    <row r="315" ht="15.75" customHeight="1">
      <c r="A315" s="16"/>
      <c r="B315" s="16"/>
      <c r="I315" s="17"/>
      <c r="J315" s="17"/>
      <c r="K315" s="17"/>
      <c r="L315" s="17"/>
    </row>
    <row r="316" ht="15.75" customHeight="1">
      <c r="A316" s="16"/>
      <c r="B316" s="16"/>
      <c r="I316" s="17"/>
      <c r="J316" s="17"/>
      <c r="K316" s="17"/>
      <c r="L316" s="17"/>
    </row>
    <row r="317" ht="15.75" customHeight="1">
      <c r="A317" s="16"/>
      <c r="B317" s="16"/>
      <c r="I317" s="17"/>
      <c r="J317" s="17"/>
      <c r="K317" s="17"/>
      <c r="L317" s="17"/>
    </row>
    <row r="318" ht="15.75" customHeight="1">
      <c r="A318" s="16"/>
      <c r="B318" s="16"/>
      <c r="I318" s="17"/>
      <c r="J318" s="17"/>
      <c r="K318" s="17"/>
      <c r="L318" s="17"/>
    </row>
    <row r="319" ht="15.75" customHeight="1">
      <c r="A319" s="16"/>
      <c r="B319" s="16"/>
      <c r="I319" s="17"/>
      <c r="J319" s="17"/>
      <c r="K319" s="17"/>
      <c r="L319" s="17"/>
    </row>
    <row r="320" ht="15.75" customHeight="1">
      <c r="A320" s="16"/>
      <c r="B320" s="16"/>
      <c r="I320" s="17"/>
      <c r="J320" s="17"/>
      <c r="K320" s="17"/>
      <c r="L320" s="17"/>
    </row>
    <row r="321" ht="15.75" customHeight="1">
      <c r="A321" s="16"/>
      <c r="B321" s="16"/>
      <c r="I321" s="17"/>
      <c r="J321" s="17"/>
      <c r="K321" s="17"/>
      <c r="L321" s="17"/>
    </row>
    <row r="322" ht="15.75" customHeight="1">
      <c r="A322" s="16"/>
      <c r="B322" s="16"/>
      <c r="I322" s="17"/>
      <c r="J322" s="17"/>
      <c r="K322" s="17"/>
      <c r="L322" s="17"/>
    </row>
    <row r="323" ht="15.75" customHeight="1">
      <c r="A323" s="16"/>
      <c r="B323" s="16"/>
      <c r="I323" s="17"/>
      <c r="J323" s="17"/>
      <c r="K323" s="17"/>
      <c r="L323" s="17"/>
    </row>
    <row r="324" ht="15.75" customHeight="1">
      <c r="A324" s="16"/>
      <c r="B324" s="16"/>
      <c r="I324" s="17"/>
      <c r="J324" s="17"/>
      <c r="K324" s="17"/>
      <c r="L324" s="17"/>
    </row>
    <row r="325" ht="15.75" customHeight="1">
      <c r="A325" s="16"/>
      <c r="B325" s="16"/>
      <c r="I325" s="17"/>
      <c r="J325" s="17"/>
      <c r="K325" s="17"/>
      <c r="L325" s="17"/>
    </row>
    <row r="326" ht="15.75" customHeight="1">
      <c r="A326" s="16"/>
      <c r="B326" s="16"/>
      <c r="I326" s="17"/>
      <c r="J326" s="17"/>
      <c r="K326" s="17"/>
      <c r="L326" s="17"/>
    </row>
    <row r="327" ht="15.75" customHeight="1">
      <c r="A327" s="16"/>
      <c r="B327" s="16"/>
      <c r="I327" s="17"/>
      <c r="J327" s="17"/>
      <c r="K327" s="17"/>
      <c r="L327" s="17"/>
    </row>
    <row r="328" ht="15.75" customHeight="1">
      <c r="A328" s="16"/>
      <c r="B328" s="16"/>
      <c r="I328" s="17"/>
      <c r="J328" s="17"/>
      <c r="K328" s="17"/>
      <c r="L328" s="17"/>
    </row>
    <row r="329" ht="15.75" customHeight="1">
      <c r="A329" s="16"/>
      <c r="B329" s="16"/>
      <c r="I329" s="17"/>
      <c r="J329" s="17"/>
      <c r="K329" s="17"/>
      <c r="L329" s="17"/>
    </row>
    <row r="330" ht="15.75" customHeight="1">
      <c r="A330" s="16"/>
      <c r="B330" s="16"/>
      <c r="I330" s="17"/>
      <c r="J330" s="17"/>
      <c r="K330" s="17"/>
      <c r="L330" s="17"/>
    </row>
    <row r="331" ht="15.75" customHeight="1">
      <c r="A331" s="16"/>
      <c r="B331" s="16"/>
      <c r="I331" s="17"/>
      <c r="J331" s="17"/>
      <c r="K331" s="17"/>
      <c r="L331" s="17"/>
    </row>
    <row r="332" ht="15.75" customHeight="1">
      <c r="A332" s="16"/>
      <c r="B332" s="16"/>
      <c r="I332" s="17"/>
      <c r="J332" s="17"/>
      <c r="K332" s="17"/>
      <c r="L332" s="17"/>
    </row>
    <row r="333" ht="15.75" customHeight="1">
      <c r="A333" s="16"/>
      <c r="B333" s="16"/>
      <c r="I333" s="17"/>
      <c r="J333" s="17"/>
      <c r="K333" s="17"/>
      <c r="L333" s="17"/>
    </row>
    <row r="334" ht="15.75" customHeight="1">
      <c r="A334" s="16"/>
      <c r="B334" s="16"/>
      <c r="I334" s="17"/>
      <c r="J334" s="17"/>
      <c r="K334" s="17"/>
      <c r="L334" s="17"/>
    </row>
    <row r="335" ht="15.75" customHeight="1">
      <c r="A335" s="16"/>
      <c r="B335" s="16"/>
      <c r="I335" s="17"/>
      <c r="J335" s="17"/>
      <c r="K335" s="17"/>
      <c r="L335" s="17"/>
    </row>
    <row r="336" ht="15.75" customHeight="1">
      <c r="A336" s="16"/>
      <c r="B336" s="16"/>
      <c r="I336" s="17"/>
      <c r="J336" s="17"/>
      <c r="K336" s="17"/>
      <c r="L336" s="17"/>
    </row>
    <row r="337" ht="15.75" customHeight="1">
      <c r="A337" s="16"/>
      <c r="B337" s="16"/>
      <c r="I337" s="17"/>
      <c r="J337" s="17"/>
      <c r="K337" s="17"/>
      <c r="L337" s="17"/>
    </row>
    <row r="338" ht="15.75" customHeight="1">
      <c r="A338" s="16"/>
      <c r="B338" s="16"/>
      <c r="I338" s="17"/>
      <c r="J338" s="17"/>
      <c r="K338" s="17"/>
      <c r="L338" s="17"/>
    </row>
    <row r="339" ht="15.75" customHeight="1">
      <c r="A339" s="16"/>
      <c r="B339" s="16"/>
      <c r="I339" s="17"/>
      <c r="J339" s="17"/>
      <c r="K339" s="17"/>
      <c r="L339" s="17"/>
    </row>
    <row r="340" ht="15.75" customHeight="1">
      <c r="A340" s="16"/>
      <c r="B340" s="16"/>
      <c r="I340" s="17"/>
      <c r="J340" s="17"/>
      <c r="K340" s="17"/>
      <c r="L340" s="17"/>
    </row>
    <row r="341" ht="15.75" customHeight="1">
      <c r="A341" s="16"/>
      <c r="B341" s="16"/>
      <c r="I341" s="17"/>
      <c r="J341" s="17"/>
      <c r="K341" s="17"/>
      <c r="L341" s="17"/>
    </row>
    <row r="342" ht="15.75" customHeight="1">
      <c r="A342" s="16"/>
      <c r="B342" s="16"/>
      <c r="I342" s="17"/>
      <c r="J342" s="17"/>
      <c r="K342" s="17"/>
      <c r="L342" s="17"/>
    </row>
    <row r="343" ht="15.75" customHeight="1">
      <c r="A343" s="16"/>
      <c r="B343" s="16"/>
      <c r="I343" s="17"/>
      <c r="J343" s="17"/>
      <c r="K343" s="17"/>
      <c r="L343" s="17"/>
    </row>
    <row r="344" ht="15.75" customHeight="1">
      <c r="A344" s="16"/>
      <c r="B344" s="16"/>
      <c r="I344" s="17"/>
      <c r="J344" s="17"/>
      <c r="K344" s="17"/>
      <c r="L344" s="17"/>
    </row>
    <row r="345" ht="15.75" customHeight="1">
      <c r="A345" s="16"/>
      <c r="B345" s="16"/>
      <c r="I345" s="17"/>
      <c r="J345" s="17"/>
      <c r="K345" s="17"/>
      <c r="L345" s="17"/>
    </row>
    <row r="346" ht="15.75" customHeight="1">
      <c r="A346" s="16"/>
      <c r="B346" s="16"/>
      <c r="I346" s="17"/>
      <c r="J346" s="17"/>
      <c r="K346" s="17"/>
      <c r="L346" s="17"/>
    </row>
    <row r="347" ht="15.75" customHeight="1">
      <c r="A347" s="16"/>
      <c r="B347" s="16"/>
      <c r="I347" s="17"/>
      <c r="J347" s="17"/>
      <c r="K347" s="17"/>
      <c r="L347" s="17"/>
    </row>
    <row r="348" ht="15.75" customHeight="1">
      <c r="A348" s="16"/>
      <c r="B348" s="16"/>
      <c r="I348" s="17"/>
      <c r="J348" s="17"/>
      <c r="K348" s="17"/>
      <c r="L348" s="17"/>
    </row>
    <row r="349" ht="15.75" customHeight="1">
      <c r="A349" s="16"/>
      <c r="B349" s="16"/>
      <c r="I349" s="17"/>
      <c r="J349" s="17"/>
      <c r="K349" s="17"/>
      <c r="L349" s="17"/>
    </row>
    <row r="350" ht="15.75" customHeight="1">
      <c r="A350" s="16"/>
      <c r="B350" s="16"/>
      <c r="I350" s="17"/>
      <c r="J350" s="17"/>
      <c r="K350" s="17"/>
      <c r="L350" s="17"/>
    </row>
    <row r="351" ht="15.75" customHeight="1">
      <c r="A351" s="16"/>
      <c r="B351" s="16"/>
      <c r="I351" s="17"/>
      <c r="J351" s="17"/>
      <c r="K351" s="17"/>
      <c r="L351" s="17"/>
    </row>
    <row r="352" ht="15.75" customHeight="1">
      <c r="A352" s="16"/>
      <c r="B352" s="16"/>
      <c r="I352" s="17"/>
      <c r="J352" s="17"/>
      <c r="K352" s="17"/>
      <c r="L352" s="17"/>
    </row>
    <row r="353" ht="15.75" customHeight="1">
      <c r="A353" s="16"/>
      <c r="B353" s="16"/>
      <c r="I353" s="17"/>
      <c r="J353" s="17"/>
      <c r="K353" s="17"/>
      <c r="L353" s="17"/>
    </row>
    <row r="354" ht="15.75" customHeight="1">
      <c r="A354" s="16"/>
      <c r="B354" s="16"/>
      <c r="I354" s="17"/>
      <c r="J354" s="17"/>
      <c r="K354" s="17"/>
      <c r="L354" s="17"/>
    </row>
    <row r="355" ht="15.75" customHeight="1">
      <c r="A355" s="16"/>
      <c r="B355" s="16"/>
      <c r="I355" s="17"/>
      <c r="J355" s="17"/>
      <c r="K355" s="17"/>
      <c r="L355" s="17"/>
    </row>
    <row r="356" ht="15.75" customHeight="1">
      <c r="A356" s="16"/>
      <c r="B356" s="16"/>
      <c r="I356" s="17"/>
      <c r="J356" s="17"/>
      <c r="K356" s="17"/>
      <c r="L356" s="17"/>
    </row>
    <row r="357" ht="15.75" customHeight="1">
      <c r="A357" s="16"/>
      <c r="B357" s="16"/>
      <c r="I357" s="17"/>
      <c r="J357" s="17"/>
      <c r="K357" s="17"/>
      <c r="L357" s="17"/>
    </row>
    <row r="358" ht="15.75" customHeight="1">
      <c r="A358" s="16"/>
      <c r="B358" s="16"/>
      <c r="I358" s="17"/>
      <c r="J358" s="17"/>
      <c r="K358" s="17"/>
      <c r="L358" s="17"/>
    </row>
    <row r="359" ht="15.75" customHeight="1">
      <c r="A359" s="16"/>
      <c r="B359" s="16"/>
      <c r="I359" s="17"/>
      <c r="J359" s="17"/>
      <c r="K359" s="17"/>
      <c r="L359" s="17"/>
    </row>
    <row r="360" ht="15.75" customHeight="1">
      <c r="A360" s="16"/>
      <c r="B360" s="16"/>
      <c r="I360" s="17"/>
      <c r="J360" s="17"/>
      <c r="K360" s="17"/>
      <c r="L360" s="17"/>
    </row>
    <row r="361" ht="15.75" customHeight="1">
      <c r="A361" s="16"/>
      <c r="B361" s="16"/>
      <c r="I361" s="17"/>
      <c r="J361" s="17"/>
      <c r="K361" s="17"/>
      <c r="L361" s="17"/>
    </row>
    <row r="362" ht="15.75" customHeight="1">
      <c r="A362" s="16"/>
      <c r="B362" s="16"/>
      <c r="I362" s="17"/>
      <c r="J362" s="17"/>
      <c r="K362" s="17"/>
      <c r="L362" s="17"/>
    </row>
    <row r="363" ht="15.75" customHeight="1">
      <c r="A363" s="16"/>
      <c r="B363" s="16"/>
      <c r="I363" s="17"/>
      <c r="J363" s="17"/>
      <c r="K363" s="17"/>
      <c r="L363" s="17"/>
    </row>
    <row r="364" ht="15.75" customHeight="1">
      <c r="A364" s="16"/>
      <c r="B364" s="16"/>
      <c r="I364" s="17"/>
      <c r="J364" s="17"/>
      <c r="K364" s="17"/>
      <c r="L364" s="17"/>
    </row>
    <row r="365" ht="15.75" customHeight="1">
      <c r="A365" s="16"/>
      <c r="B365" s="16"/>
      <c r="I365" s="17"/>
      <c r="J365" s="17"/>
      <c r="K365" s="17"/>
      <c r="L365" s="17"/>
    </row>
    <row r="366" ht="15.75" customHeight="1">
      <c r="A366" s="16"/>
      <c r="B366" s="16"/>
      <c r="I366" s="17"/>
      <c r="J366" s="17"/>
      <c r="K366" s="17"/>
      <c r="L366" s="17"/>
    </row>
    <row r="367" ht="15.75" customHeight="1">
      <c r="A367" s="16"/>
      <c r="B367" s="16"/>
      <c r="I367" s="17"/>
      <c r="J367" s="17"/>
      <c r="K367" s="17"/>
      <c r="L367" s="17"/>
    </row>
    <row r="368" ht="15.75" customHeight="1">
      <c r="A368" s="16"/>
      <c r="B368" s="16"/>
      <c r="I368" s="17"/>
      <c r="J368" s="17"/>
      <c r="K368" s="17"/>
      <c r="L368" s="17"/>
    </row>
    <row r="369" ht="15.75" customHeight="1">
      <c r="A369" s="16"/>
      <c r="B369" s="16"/>
      <c r="I369" s="17"/>
      <c r="J369" s="17"/>
      <c r="K369" s="17"/>
      <c r="L369" s="17"/>
    </row>
    <row r="370" ht="15.75" customHeight="1">
      <c r="A370" s="16"/>
      <c r="B370" s="16"/>
      <c r="I370" s="17"/>
      <c r="J370" s="17"/>
      <c r="K370" s="17"/>
      <c r="L370" s="17"/>
    </row>
    <row r="371" ht="15.75" customHeight="1">
      <c r="A371" s="16"/>
      <c r="B371" s="16"/>
      <c r="I371" s="17"/>
      <c r="J371" s="17"/>
      <c r="K371" s="17"/>
      <c r="L371" s="17"/>
    </row>
    <row r="372" ht="15.75" customHeight="1">
      <c r="A372" s="16"/>
      <c r="B372" s="16"/>
      <c r="I372" s="17"/>
      <c r="J372" s="17"/>
      <c r="K372" s="17"/>
      <c r="L372" s="17"/>
    </row>
    <row r="373" ht="15.75" customHeight="1">
      <c r="A373" s="16"/>
      <c r="B373" s="16"/>
      <c r="I373" s="17"/>
      <c r="J373" s="17"/>
      <c r="K373" s="17"/>
      <c r="L373" s="17"/>
    </row>
    <row r="374" ht="15.75" customHeight="1">
      <c r="A374" s="16"/>
      <c r="B374" s="16"/>
      <c r="I374" s="17"/>
      <c r="J374" s="17"/>
      <c r="K374" s="17"/>
      <c r="L374" s="17"/>
    </row>
    <row r="375" ht="15.75" customHeight="1">
      <c r="A375" s="16"/>
      <c r="B375" s="16"/>
      <c r="I375" s="17"/>
      <c r="J375" s="17"/>
      <c r="K375" s="17"/>
      <c r="L375" s="17"/>
    </row>
    <row r="376" ht="15.75" customHeight="1">
      <c r="A376" s="16"/>
      <c r="B376" s="16"/>
      <c r="I376" s="17"/>
      <c r="J376" s="17"/>
      <c r="K376" s="17"/>
      <c r="L376" s="17"/>
    </row>
    <row r="377" ht="15.75" customHeight="1">
      <c r="A377" s="16"/>
      <c r="B377" s="16"/>
      <c r="I377" s="17"/>
      <c r="J377" s="17"/>
      <c r="K377" s="17"/>
      <c r="L377" s="17"/>
    </row>
    <row r="378" ht="15.75" customHeight="1">
      <c r="A378" s="16"/>
      <c r="B378" s="16"/>
      <c r="I378" s="17"/>
      <c r="J378" s="17"/>
      <c r="K378" s="17"/>
      <c r="L378" s="17"/>
    </row>
    <row r="379" ht="15.75" customHeight="1">
      <c r="A379" s="16"/>
      <c r="B379" s="16"/>
      <c r="I379" s="17"/>
      <c r="J379" s="17"/>
      <c r="K379" s="17"/>
      <c r="L379" s="17"/>
    </row>
    <row r="380" ht="15.75" customHeight="1">
      <c r="A380" s="16"/>
      <c r="B380" s="16"/>
      <c r="I380" s="17"/>
      <c r="J380" s="17"/>
      <c r="K380" s="17"/>
      <c r="L380" s="17"/>
    </row>
    <row r="381" ht="15.75" customHeight="1">
      <c r="A381" s="16"/>
      <c r="B381" s="16"/>
      <c r="I381" s="17"/>
      <c r="J381" s="17"/>
      <c r="K381" s="17"/>
      <c r="L381" s="17"/>
    </row>
    <row r="382" ht="15.75" customHeight="1">
      <c r="A382" s="16"/>
      <c r="B382" s="16"/>
      <c r="I382" s="17"/>
      <c r="J382" s="17"/>
      <c r="K382" s="17"/>
      <c r="L382" s="17"/>
    </row>
    <row r="383" ht="15.75" customHeight="1">
      <c r="A383" s="16"/>
      <c r="B383" s="16"/>
      <c r="I383" s="17"/>
      <c r="J383" s="17"/>
      <c r="K383" s="17"/>
      <c r="L383" s="17"/>
    </row>
    <row r="384" ht="15.75" customHeight="1">
      <c r="A384" s="16"/>
      <c r="B384" s="16"/>
      <c r="I384" s="17"/>
      <c r="J384" s="17"/>
      <c r="K384" s="17"/>
      <c r="L384" s="17"/>
    </row>
    <row r="385" ht="15.75" customHeight="1">
      <c r="A385" s="16"/>
      <c r="B385" s="16"/>
      <c r="I385" s="17"/>
      <c r="J385" s="17"/>
      <c r="K385" s="17"/>
      <c r="L385" s="17"/>
    </row>
    <row r="386" ht="15.75" customHeight="1">
      <c r="A386" s="16"/>
      <c r="B386" s="16"/>
      <c r="I386" s="17"/>
      <c r="J386" s="17"/>
      <c r="K386" s="17"/>
      <c r="L386" s="17"/>
    </row>
    <row r="387" ht="15.75" customHeight="1">
      <c r="A387" s="16"/>
      <c r="B387" s="16"/>
      <c r="I387" s="17"/>
      <c r="J387" s="17"/>
      <c r="K387" s="17"/>
      <c r="L387" s="17"/>
    </row>
    <row r="388" ht="15.75" customHeight="1">
      <c r="A388" s="16"/>
      <c r="B388" s="16"/>
      <c r="I388" s="17"/>
      <c r="J388" s="17"/>
      <c r="K388" s="17"/>
      <c r="L388" s="17"/>
    </row>
    <row r="389" ht="15.75" customHeight="1">
      <c r="A389" s="16"/>
      <c r="B389" s="16"/>
      <c r="I389" s="17"/>
      <c r="J389" s="17"/>
      <c r="K389" s="17"/>
      <c r="L389" s="17"/>
    </row>
    <row r="390" ht="15.75" customHeight="1">
      <c r="A390" s="16"/>
      <c r="B390" s="16"/>
      <c r="I390" s="17"/>
      <c r="J390" s="17"/>
      <c r="K390" s="17"/>
      <c r="L390" s="17"/>
    </row>
    <row r="391" ht="15.75" customHeight="1">
      <c r="A391" s="16"/>
      <c r="B391" s="16"/>
      <c r="I391" s="17"/>
      <c r="J391" s="17"/>
      <c r="K391" s="17"/>
      <c r="L391" s="17"/>
    </row>
    <row r="392" ht="15.75" customHeight="1">
      <c r="A392" s="16"/>
      <c r="B392" s="16"/>
      <c r="I392" s="17"/>
      <c r="J392" s="17"/>
      <c r="K392" s="17"/>
      <c r="L392" s="17"/>
    </row>
    <row r="393" ht="15.75" customHeight="1">
      <c r="A393" s="16"/>
      <c r="B393" s="16"/>
      <c r="I393" s="17"/>
      <c r="J393" s="17"/>
      <c r="K393" s="17"/>
      <c r="L393" s="17"/>
    </row>
    <row r="394" ht="15.75" customHeight="1">
      <c r="A394" s="16"/>
      <c r="B394" s="16"/>
      <c r="I394" s="17"/>
      <c r="J394" s="17"/>
      <c r="K394" s="17"/>
      <c r="L394" s="17"/>
    </row>
    <row r="395" ht="15.75" customHeight="1">
      <c r="A395" s="16"/>
      <c r="B395" s="16"/>
      <c r="I395" s="17"/>
      <c r="J395" s="17"/>
      <c r="K395" s="17"/>
      <c r="L395" s="17"/>
    </row>
    <row r="396" ht="15.75" customHeight="1">
      <c r="A396" s="16"/>
      <c r="B396" s="16"/>
      <c r="I396" s="17"/>
      <c r="J396" s="17"/>
      <c r="K396" s="17"/>
      <c r="L396" s="17"/>
    </row>
    <row r="397" ht="15.75" customHeight="1">
      <c r="A397" s="16"/>
      <c r="B397" s="16"/>
      <c r="I397" s="17"/>
      <c r="J397" s="17"/>
      <c r="K397" s="17"/>
      <c r="L397" s="17"/>
    </row>
    <row r="398" ht="15.75" customHeight="1">
      <c r="A398" s="16"/>
      <c r="B398" s="16"/>
      <c r="I398" s="17"/>
      <c r="J398" s="17"/>
      <c r="K398" s="17"/>
      <c r="L398" s="17"/>
    </row>
    <row r="399" ht="15.75" customHeight="1">
      <c r="A399" s="16"/>
      <c r="B399" s="16"/>
      <c r="I399" s="17"/>
      <c r="J399" s="17"/>
      <c r="K399" s="17"/>
      <c r="L399" s="17"/>
    </row>
    <row r="400" ht="15.75" customHeight="1">
      <c r="A400" s="16"/>
      <c r="B400" s="16"/>
      <c r="I400" s="17"/>
      <c r="J400" s="17"/>
      <c r="K400" s="17"/>
      <c r="L400" s="17"/>
    </row>
    <row r="401" ht="15.75" customHeight="1">
      <c r="A401" s="16"/>
      <c r="B401" s="16"/>
      <c r="I401" s="17"/>
      <c r="J401" s="17"/>
      <c r="K401" s="17"/>
      <c r="L401" s="17"/>
    </row>
    <row r="402" ht="15.75" customHeight="1">
      <c r="A402" s="16"/>
      <c r="B402" s="16"/>
      <c r="I402" s="17"/>
      <c r="J402" s="17"/>
      <c r="K402" s="17"/>
      <c r="L402" s="17"/>
    </row>
    <row r="403" ht="15.75" customHeight="1">
      <c r="A403" s="16"/>
      <c r="B403" s="16"/>
      <c r="I403" s="17"/>
      <c r="J403" s="17"/>
      <c r="K403" s="17"/>
      <c r="L403" s="17"/>
    </row>
    <row r="404" ht="15.75" customHeight="1">
      <c r="A404" s="16"/>
      <c r="B404" s="16"/>
      <c r="I404" s="17"/>
      <c r="J404" s="17"/>
      <c r="K404" s="17"/>
      <c r="L404" s="17"/>
    </row>
    <row r="405" ht="15.75" customHeight="1">
      <c r="A405" s="16"/>
      <c r="B405" s="16"/>
      <c r="I405" s="17"/>
      <c r="J405" s="17"/>
      <c r="K405" s="17"/>
      <c r="L405" s="17"/>
    </row>
    <row r="406" ht="15.75" customHeight="1">
      <c r="A406" s="16"/>
      <c r="B406" s="16"/>
      <c r="I406" s="17"/>
      <c r="J406" s="17"/>
      <c r="K406" s="17"/>
      <c r="L406" s="17"/>
    </row>
    <row r="407" ht="15.75" customHeight="1">
      <c r="A407" s="16"/>
      <c r="B407" s="16"/>
      <c r="I407" s="17"/>
      <c r="J407" s="17"/>
      <c r="K407" s="17"/>
      <c r="L407" s="17"/>
    </row>
    <row r="408" ht="15.75" customHeight="1">
      <c r="A408" s="16"/>
      <c r="B408" s="16"/>
      <c r="I408" s="17"/>
      <c r="J408" s="17"/>
      <c r="K408" s="17"/>
      <c r="L408" s="17"/>
    </row>
    <row r="409" ht="15.75" customHeight="1">
      <c r="A409" s="16"/>
      <c r="B409" s="16"/>
      <c r="I409" s="17"/>
      <c r="J409" s="17"/>
      <c r="K409" s="17"/>
      <c r="L409" s="17"/>
    </row>
    <row r="410" ht="15.75" customHeight="1">
      <c r="A410" s="16"/>
      <c r="B410" s="16"/>
      <c r="I410" s="17"/>
      <c r="J410" s="17"/>
      <c r="K410" s="17"/>
      <c r="L410" s="17"/>
    </row>
    <row r="411" ht="15.75" customHeight="1">
      <c r="A411" s="16"/>
      <c r="B411" s="16"/>
      <c r="I411" s="17"/>
      <c r="J411" s="17"/>
      <c r="K411" s="17"/>
      <c r="L411" s="17"/>
    </row>
    <row r="412" ht="15.75" customHeight="1">
      <c r="A412" s="16"/>
      <c r="B412" s="16"/>
      <c r="I412" s="17"/>
      <c r="J412" s="17"/>
      <c r="K412" s="17"/>
      <c r="L412" s="17"/>
    </row>
    <row r="413" ht="15.75" customHeight="1">
      <c r="A413" s="16"/>
      <c r="B413" s="16"/>
      <c r="I413" s="17"/>
      <c r="J413" s="17"/>
      <c r="K413" s="17"/>
      <c r="L413" s="17"/>
    </row>
    <row r="414" ht="15.75" customHeight="1">
      <c r="A414" s="16"/>
      <c r="B414" s="16"/>
      <c r="I414" s="17"/>
      <c r="J414" s="17"/>
      <c r="K414" s="17"/>
      <c r="L414" s="17"/>
    </row>
    <row r="415" ht="15.75" customHeight="1">
      <c r="A415" s="16"/>
      <c r="B415" s="16"/>
      <c r="I415" s="17"/>
      <c r="J415" s="17"/>
      <c r="K415" s="17"/>
      <c r="L415" s="17"/>
    </row>
    <row r="416" ht="15.75" customHeight="1">
      <c r="A416" s="16"/>
      <c r="B416" s="16"/>
      <c r="I416" s="17"/>
      <c r="J416" s="17"/>
      <c r="K416" s="17"/>
      <c r="L416" s="17"/>
    </row>
    <row r="417" ht="15.75" customHeight="1">
      <c r="A417" s="16"/>
      <c r="B417" s="16"/>
      <c r="I417" s="17"/>
      <c r="J417" s="17"/>
      <c r="K417" s="17"/>
      <c r="L417" s="17"/>
    </row>
    <row r="418" ht="15.75" customHeight="1">
      <c r="A418" s="16"/>
      <c r="B418" s="16"/>
      <c r="I418" s="17"/>
      <c r="J418" s="17"/>
      <c r="K418" s="17"/>
      <c r="L418" s="17"/>
    </row>
    <row r="419" ht="15.75" customHeight="1">
      <c r="A419" s="16"/>
      <c r="B419" s="16"/>
      <c r="I419" s="17"/>
      <c r="J419" s="17"/>
      <c r="K419" s="17"/>
      <c r="L419" s="17"/>
    </row>
    <row r="420" ht="15.75" customHeight="1">
      <c r="A420" s="16"/>
      <c r="B420" s="16"/>
      <c r="I420" s="17"/>
      <c r="J420" s="17"/>
      <c r="K420" s="17"/>
      <c r="L420" s="17"/>
    </row>
    <row r="421" ht="15.75" customHeight="1">
      <c r="A421" s="16"/>
      <c r="B421" s="16"/>
      <c r="I421" s="17"/>
      <c r="J421" s="17"/>
      <c r="K421" s="17"/>
      <c r="L421" s="17"/>
    </row>
    <row r="422" ht="15.75" customHeight="1">
      <c r="A422" s="16"/>
      <c r="B422" s="16"/>
      <c r="I422" s="17"/>
      <c r="J422" s="17"/>
      <c r="K422" s="17"/>
      <c r="L422" s="17"/>
    </row>
    <row r="423" ht="15.75" customHeight="1">
      <c r="A423" s="16"/>
      <c r="B423" s="16"/>
      <c r="I423" s="17"/>
      <c r="J423" s="17"/>
      <c r="K423" s="17"/>
      <c r="L423" s="17"/>
    </row>
    <row r="424" ht="15.75" customHeight="1">
      <c r="A424" s="16"/>
      <c r="B424" s="16"/>
      <c r="I424" s="17"/>
      <c r="J424" s="17"/>
      <c r="K424" s="17"/>
      <c r="L424" s="17"/>
    </row>
    <row r="425" ht="15.75" customHeight="1">
      <c r="A425" s="16"/>
      <c r="B425" s="16"/>
      <c r="I425" s="17"/>
      <c r="J425" s="17"/>
      <c r="K425" s="17"/>
      <c r="L425" s="17"/>
    </row>
    <row r="426" ht="15.75" customHeight="1">
      <c r="A426" s="16"/>
      <c r="B426" s="16"/>
      <c r="I426" s="17"/>
      <c r="J426" s="17"/>
      <c r="K426" s="17"/>
      <c r="L426" s="17"/>
    </row>
    <row r="427" ht="15.75" customHeight="1">
      <c r="A427" s="16"/>
      <c r="B427" s="16"/>
      <c r="I427" s="17"/>
      <c r="J427" s="17"/>
      <c r="K427" s="17"/>
      <c r="L427" s="17"/>
    </row>
    <row r="428" ht="15.75" customHeight="1">
      <c r="A428" s="16"/>
      <c r="B428" s="16"/>
      <c r="I428" s="17"/>
      <c r="J428" s="17"/>
      <c r="K428" s="17"/>
      <c r="L428" s="17"/>
    </row>
    <row r="429" ht="15.75" customHeight="1">
      <c r="A429" s="16"/>
      <c r="B429" s="16"/>
      <c r="I429" s="17"/>
      <c r="J429" s="17"/>
      <c r="K429" s="17"/>
      <c r="L429" s="17"/>
    </row>
    <row r="430" ht="15.75" customHeight="1">
      <c r="A430" s="16"/>
      <c r="B430" s="16"/>
      <c r="I430" s="17"/>
      <c r="J430" s="17"/>
      <c r="K430" s="17"/>
      <c r="L430" s="17"/>
    </row>
    <row r="431" ht="15.75" customHeight="1">
      <c r="A431" s="16"/>
      <c r="B431" s="16"/>
      <c r="I431" s="17"/>
      <c r="J431" s="17"/>
      <c r="K431" s="17"/>
      <c r="L431" s="17"/>
    </row>
    <row r="432" ht="15.75" customHeight="1">
      <c r="A432" s="16"/>
      <c r="B432" s="16"/>
      <c r="I432" s="17"/>
      <c r="J432" s="17"/>
      <c r="K432" s="17"/>
      <c r="L432" s="17"/>
    </row>
    <row r="433" ht="15.75" customHeight="1">
      <c r="A433" s="16"/>
      <c r="B433" s="16"/>
      <c r="I433" s="17"/>
      <c r="J433" s="17"/>
      <c r="K433" s="17"/>
      <c r="L433" s="17"/>
    </row>
    <row r="434" ht="15.75" customHeight="1">
      <c r="A434" s="16"/>
      <c r="B434" s="16"/>
      <c r="I434" s="17"/>
      <c r="J434" s="17"/>
      <c r="K434" s="17"/>
      <c r="L434" s="17"/>
    </row>
    <row r="435" ht="15.75" customHeight="1">
      <c r="A435" s="16"/>
      <c r="B435" s="16"/>
      <c r="I435" s="17"/>
      <c r="J435" s="17"/>
      <c r="K435" s="17"/>
      <c r="L435" s="17"/>
    </row>
    <row r="436" ht="15.75" customHeight="1">
      <c r="A436" s="16"/>
      <c r="B436" s="16"/>
      <c r="I436" s="17"/>
      <c r="J436" s="17"/>
      <c r="K436" s="17"/>
      <c r="L436" s="17"/>
    </row>
    <row r="437" ht="15.75" customHeight="1">
      <c r="A437" s="16"/>
      <c r="B437" s="16"/>
      <c r="I437" s="17"/>
      <c r="J437" s="17"/>
      <c r="K437" s="17"/>
      <c r="L437" s="17"/>
    </row>
    <row r="438" ht="15.75" customHeight="1">
      <c r="A438" s="16"/>
      <c r="B438" s="16"/>
      <c r="I438" s="17"/>
      <c r="J438" s="17"/>
      <c r="K438" s="17"/>
      <c r="L438" s="17"/>
    </row>
    <row r="439" ht="15.75" customHeight="1">
      <c r="A439" s="16"/>
      <c r="B439" s="16"/>
      <c r="I439" s="17"/>
      <c r="J439" s="17"/>
      <c r="K439" s="17"/>
      <c r="L439" s="17"/>
    </row>
    <row r="440" ht="15.75" customHeight="1">
      <c r="A440" s="16"/>
      <c r="B440" s="16"/>
      <c r="I440" s="17"/>
      <c r="J440" s="17"/>
      <c r="K440" s="17"/>
      <c r="L440" s="17"/>
    </row>
    <row r="441" ht="15.75" customHeight="1">
      <c r="A441" s="16"/>
      <c r="B441" s="16"/>
      <c r="I441" s="17"/>
      <c r="J441" s="17"/>
      <c r="K441" s="17"/>
      <c r="L441" s="17"/>
    </row>
    <row r="442" ht="15.75" customHeight="1">
      <c r="A442" s="16"/>
      <c r="B442" s="16"/>
      <c r="I442" s="17"/>
      <c r="J442" s="17"/>
      <c r="K442" s="17"/>
      <c r="L442" s="17"/>
    </row>
    <row r="443" ht="15.75" customHeight="1">
      <c r="A443" s="16"/>
      <c r="B443" s="16"/>
      <c r="I443" s="17"/>
      <c r="J443" s="17"/>
      <c r="K443" s="17"/>
      <c r="L443" s="17"/>
    </row>
    <row r="444" ht="15.75" customHeight="1">
      <c r="A444" s="16"/>
      <c r="B444" s="16"/>
      <c r="I444" s="17"/>
      <c r="J444" s="17"/>
      <c r="K444" s="17"/>
      <c r="L444" s="17"/>
    </row>
    <row r="445" ht="15.75" customHeight="1">
      <c r="A445" s="16"/>
      <c r="B445" s="16"/>
      <c r="I445" s="17"/>
      <c r="J445" s="17"/>
      <c r="K445" s="17"/>
      <c r="L445" s="17"/>
    </row>
    <row r="446" ht="15.75" customHeight="1">
      <c r="A446" s="16"/>
      <c r="B446" s="16"/>
      <c r="I446" s="17"/>
      <c r="J446" s="17"/>
      <c r="K446" s="17"/>
      <c r="L446" s="17"/>
    </row>
    <row r="447" ht="15.75" customHeight="1">
      <c r="A447" s="16"/>
      <c r="B447" s="16"/>
      <c r="I447" s="17"/>
      <c r="J447" s="17"/>
      <c r="K447" s="17"/>
      <c r="L447" s="17"/>
    </row>
    <row r="448" ht="15.75" customHeight="1">
      <c r="A448" s="16"/>
      <c r="B448" s="16"/>
      <c r="I448" s="17"/>
      <c r="J448" s="17"/>
      <c r="K448" s="17"/>
      <c r="L448" s="17"/>
    </row>
    <row r="449" ht="15.75" customHeight="1">
      <c r="A449" s="16"/>
      <c r="B449" s="16"/>
      <c r="I449" s="17"/>
      <c r="J449" s="17"/>
      <c r="K449" s="17"/>
      <c r="L449" s="17"/>
    </row>
    <row r="450" ht="15.75" customHeight="1">
      <c r="A450" s="16"/>
      <c r="B450" s="16"/>
      <c r="I450" s="17"/>
      <c r="J450" s="17"/>
      <c r="K450" s="17"/>
      <c r="L450" s="17"/>
    </row>
    <row r="451" ht="15.75" customHeight="1">
      <c r="A451" s="16"/>
      <c r="B451" s="16"/>
      <c r="I451" s="17"/>
      <c r="J451" s="17"/>
      <c r="K451" s="17"/>
      <c r="L451" s="17"/>
    </row>
    <row r="452" ht="15.75" customHeight="1">
      <c r="A452" s="16"/>
      <c r="B452" s="16"/>
      <c r="I452" s="17"/>
      <c r="J452" s="17"/>
      <c r="K452" s="17"/>
      <c r="L452" s="17"/>
    </row>
    <row r="453" ht="15.75" customHeight="1">
      <c r="A453" s="16"/>
      <c r="B453" s="16"/>
      <c r="I453" s="17"/>
      <c r="J453" s="17"/>
      <c r="K453" s="17"/>
      <c r="L453" s="17"/>
    </row>
    <row r="454" ht="15.75" customHeight="1">
      <c r="A454" s="16"/>
      <c r="B454" s="16"/>
      <c r="I454" s="17"/>
      <c r="J454" s="17"/>
      <c r="K454" s="17"/>
      <c r="L454" s="17"/>
    </row>
    <row r="455" ht="15.75" customHeight="1">
      <c r="A455" s="16"/>
      <c r="B455" s="16"/>
      <c r="I455" s="17"/>
      <c r="J455" s="17"/>
      <c r="K455" s="17"/>
      <c r="L455" s="17"/>
    </row>
    <row r="456" ht="15.75" customHeight="1">
      <c r="A456" s="16"/>
      <c r="B456" s="16"/>
      <c r="I456" s="17"/>
      <c r="J456" s="17"/>
      <c r="K456" s="17"/>
      <c r="L456" s="17"/>
    </row>
    <row r="457" ht="15.75" customHeight="1">
      <c r="A457" s="16"/>
      <c r="B457" s="16"/>
      <c r="I457" s="17"/>
      <c r="J457" s="17"/>
      <c r="K457" s="17"/>
      <c r="L457" s="17"/>
    </row>
    <row r="458" ht="15.75" customHeight="1">
      <c r="A458" s="16"/>
      <c r="B458" s="16"/>
      <c r="I458" s="17"/>
      <c r="J458" s="17"/>
      <c r="K458" s="17"/>
      <c r="L458" s="17"/>
    </row>
    <row r="459" ht="15.75" customHeight="1">
      <c r="A459" s="16"/>
      <c r="B459" s="16"/>
      <c r="I459" s="17"/>
      <c r="J459" s="17"/>
      <c r="K459" s="17"/>
      <c r="L459" s="17"/>
    </row>
    <row r="460" ht="15.75" customHeight="1">
      <c r="A460" s="16"/>
      <c r="B460" s="16"/>
      <c r="I460" s="17"/>
      <c r="J460" s="17"/>
      <c r="K460" s="17"/>
      <c r="L460" s="17"/>
    </row>
    <row r="461" ht="15.75" customHeight="1">
      <c r="A461" s="16"/>
      <c r="B461" s="16"/>
      <c r="I461" s="17"/>
      <c r="J461" s="17"/>
      <c r="K461" s="17"/>
      <c r="L461" s="17"/>
    </row>
    <row r="462" ht="15.75" customHeight="1">
      <c r="A462" s="16"/>
      <c r="B462" s="16"/>
      <c r="I462" s="17"/>
      <c r="J462" s="17"/>
      <c r="K462" s="17"/>
      <c r="L462" s="17"/>
    </row>
    <row r="463" ht="15.75" customHeight="1">
      <c r="A463" s="16"/>
      <c r="B463" s="16"/>
      <c r="I463" s="17"/>
      <c r="J463" s="17"/>
      <c r="K463" s="17"/>
      <c r="L463" s="17"/>
    </row>
    <row r="464" ht="15.75" customHeight="1">
      <c r="A464" s="16"/>
      <c r="B464" s="16"/>
      <c r="I464" s="17"/>
      <c r="J464" s="17"/>
      <c r="K464" s="17"/>
      <c r="L464" s="17"/>
    </row>
    <row r="465" ht="15.75" customHeight="1">
      <c r="A465" s="16"/>
      <c r="B465" s="16"/>
      <c r="I465" s="17"/>
      <c r="J465" s="17"/>
      <c r="K465" s="17"/>
      <c r="L465" s="17"/>
    </row>
    <row r="466" ht="15.75" customHeight="1">
      <c r="A466" s="16"/>
      <c r="B466" s="16"/>
      <c r="I466" s="17"/>
      <c r="J466" s="17"/>
      <c r="K466" s="17"/>
      <c r="L466" s="17"/>
    </row>
    <row r="467" ht="15.75" customHeight="1">
      <c r="A467" s="16"/>
      <c r="B467" s="16"/>
      <c r="I467" s="17"/>
      <c r="J467" s="17"/>
      <c r="K467" s="17"/>
      <c r="L467" s="17"/>
    </row>
    <row r="468" ht="15.75" customHeight="1">
      <c r="A468" s="16"/>
      <c r="B468" s="16"/>
      <c r="I468" s="17"/>
      <c r="J468" s="17"/>
      <c r="K468" s="17"/>
      <c r="L468" s="17"/>
    </row>
    <row r="469" ht="15.75" customHeight="1">
      <c r="A469" s="16"/>
      <c r="B469" s="16"/>
      <c r="I469" s="17"/>
      <c r="J469" s="17"/>
      <c r="K469" s="17"/>
      <c r="L469" s="17"/>
    </row>
    <row r="470" ht="15.75" customHeight="1">
      <c r="A470" s="16"/>
      <c r="B470" s="16"/>
      <c r="I470" s="17"/>
      <c r="J470" s="17"/>
      <c r="K470" s="17"/>
      <c r="L470" s="17"/>
    </row>
    <row r="471" ht="15.75" customHeight="1">
      <c r="A471" s="16"/>
      <c r="B471" s="16"/>
      <c r="I471" s="17"/>
      <c r="J471" s="17"/>
      <c r="K471" s="17"/>
      <c r="L471" s="17"/>
    </row>
    <row r="472" ht="15.75" customHeight="1">
      <c r="A472" s="16"/>
      <c r="B472" s="16"/>
      <c r="I472" s="17"/>
      <c r="J472" s="17"/>
      <c r="K472" s="17"/>
      <c r="L472" s="17"/>
    </row>
    <row r="473" ht="15.75" customHeight="1">
      <c r="A473" s="16"/>
      <c r="B473" s="16"/>
      <c r="I473" s="17"/>
      <c r="J473" s="17"/>
      <c r="K473" s="17"/>
      <c r="L473" s="17"/>
    </row>
    <row r="474" ht="15.75" customHeight="1">
      <c r="A474" s="16"/>
      <c r="B474" s="16"/>
      <c r="I474" s="17"/>
      <c r="J474" s="17"/>
      <c r="K474" s="17"/>
      <c r="L474" s="17"/>
    </row>
    <row r="475" ht="15.75" customHeight="1">
      <c r="A475" s="16"/>
      <c r="B475" s="16"/>
      <c r="I475" s="17"/>
      <c r="J475" s="17"/>
      <c r="K475" s="17"/>
      <c r="L475" s="17"/>
    </row>
    <row r="476" ht="15.75" customHeight="1">
      <c r="A476" s="16"/>
      <c r="B476" s="16"/>
      <c r="I476" s="17"/>
      <c r="J476" s="17"/>
      <c r="K476" s="17"/>
      <c r="L476" s="17"/>
    </row>
    <row r="477" ht="15.75" customHeight="1">
      <c r="A477" s="16"/>
      <c r="B477" s="16"/>
      <c r="I477" s="17"/>
      <c r="J477" s="17"/>
      <c r="K477" s="17"/>
      <c r="L477" s="17"/>
    </row>
    <row r="478" ht="15.75" customHeight="1">
      <c r="A478" s="16"/>
      <c r="B478" s="16"/>
      <c r="I478" s="17"/>
      <c r="J478" s="17"/>
      <c r="K478" s="17"/>
      <c r="L478" s="17"/>
    </row>
    <row r="479" ht="15.75" customHeight="1">
      <c r="A479" s="16"/>
      <c r="B479" s="16"/>
      <c r="I479" s="17"/>
      <c r="J479" s="17"/>
      <c r="K479" s="17"/>
      <c r="L479" s="17"/>
    </row>
    <row r="480" ht="15.75" customHeight="1">
      <c r="A480" s="16"/>
      <c r="B480" s="16"/>
      <c r="I480" s="17"/>
      <c r="J480" s="17"/>
      <c r="K480" s="17"/>
      <c r="L480" s="17"/>
    </row>
    <row r="481" ht="15.75" customHeight="1">
      <c r="A481" s="16"/>
      <c r="B481" s="16"/>
      <c r="I481" s="17"/>
      <c r="J481" s="17"/>
      <c r="K481" s="17"/>
      <c r="L481" s="17"/>
    </row>
    <row r="482" ht="15.75" customHeight="1">
      <c r="A482" s="16"/>
      <c r="B482" s="16"/>
      <c r="I482" s="17"/>
      <c r="J482" s="17"/>
      <c r="K482" s="17"/>
      <c r="L482" s="17"/>
    </row>
    <row r="483" ht="15.75" customHeight="1">
      <c r="A483" s="16"/>
      <c r="B483" s="16"/>
      <c r="I483" s="17"/>
      <c r="J483" s="17"/>
      <c r="K483" s="17"/>
      <c r="L483" s="17"/>
    </row>
    <row r="484" ht="15.75" customHeight="1">
      <c r="A484" s="16"/>
      <c r="B484" s="16"/>
      <c r="I484" s="17"/>
      <c r="J484" s="17"/>
      <c r="K484" s="17"/>
      <c r="L484" s="17"/>
    </row>
    <row r="485" ht="15.75" customHeight="1">
      <c r="A485" s="16"/>
      <c r="B485" s="16"/>
      <c r="I485" s="17"/>
      <c r="J485" s="17"/>
      <c r="K485" s="17"/>
      <c r="L485" s="17"/>
    </row>
    <row r="486" ht="15.75" customHeight="1">
      <c r="A486" s="16"/>
      <c r="B486" s="16"/>
      <c r="I486" s="17"/>
      <c r="J486" s="17"/>
      <c r="K486" s="17"/>
      <c r="L486" s="17"/>
    </row>
    <row r="487" ht="15.75" customHeight="1">
      <c r="A487" s="16"/>
      <c r="B487" s="16"/>
      <c r="I487" s="17"/>
      <c r="J487" s="17"/>
      <c r="K487" s="17"/>
      <c r="L487" s="17"/>
    </row>
    <row r="488" ht="15.75" customHeight="1">
      <c r="A488" s="16"/>
      <c r="B488" s="16"/>
      <c r="I488" s="17"/>
      <c r="J488" s="17"/>
      <c r="K488" s="17"/>
      <c r="L488" s="17"/>
    </row>
    <row r="489" ht="15.75" customHeight="1">
      <c r="A489" s="16"/>
      <c r="B489" s="16"/>
      <c r="I489" s="17"/>
      <c r="J489" s="17"/>
      <c r="K489" s="17"/>
      <c r="L489" s="17"/>
    </row>
    <row r="490" ht="15.75" customHeight="1">
      <c r="A490" s="16"/>
      <c r="B490" s="16"/>
      <c r="I490" s="17"/>
      <c r="J490" s="17"/>
      <c r="K490" s="17"/>
      <c r="L490" s="17"/>
    </row>
    <row r="491" ht="15.75" customHeight="1">
      <c r="A491" s="16"/>
      <c r="B491" s="16"/>
      <c r="I491" s="17"/>
      <c r="J491" s="17"/>
      <c r="K491" s="17"/>
      <c r="L491" s="17"/>
    </row>
    <row r="492" ht="15.75" customHeight="1">
      <c r="A492" s="16"/>
      <c r="B492" s="16"/>
      <c r="I492" s="17"/>
      <c r="J492" s="17"/>
      <c r="K492" s="17"/>
      <c r="L492" s="17"/>
    </row>
    <row r="493" ht="15.75" customHeight="1">
      <c r="A493" s="16"/>
      <c r="B493" s="16"/>
      <c r="I493" s="17"/>
      <c r="J493" s="17"/>
      <c r="K493" s="17"/>
      <c r="L493" s="17"/>
    </row>
    <row r="494" ht="15.75" customHeight="1">
      <c r="A494" s="16"/>
      <c r="B494" s="16"/>
      <c r="I494" s="17"/>
      <c r="J494" s="17"/>
      <c r="K494" s="17"/>
      <c r="L494" s="17"/>
    </row>
    <row r="495" ht="15.75" customHeight="1">
      <c r="A495" s="16"/>
      <c r="B495" s="16"/>
      <c r="I495" s="17"/>
      <c r="J495" s="17"/>
      <c r="K495" s="17"/>
      <c r="L495" s="17"/>
    </row>
    <row r="496" ht="15.75" customHeight="1">
      <c r="A496" s="16"/>
      <c r="B496" s="16"/>
      <c r="I496" s="17"/>
      <c r="J496" s="17"/>
      <c r="K496" s="17"/>
      <c r="L496" s="17"/>
    </row>
    <row r="497" ht="15.75" customHeight="1">
      <c r="A497" s="16"/>
      <c r="B497" s="16"/>
      <c r="I497" s="17"/>
      <c r="J497" s="17"/>
      <c r="K497" s="17"/>
      <c r="L497" s="17"/>
    </row>
    <row r="498" ht="15.75" customHeight="1">
      <c r="A498" s="16"/>
      <c r="B498" s="16"/>
      <c r="I498" s="17"/>
      <c r="J498" s="17"/>
      <c r="K498" s="17"/>
      <c r="L498" s="17"/>
    </row>
    <row r="499" ht="15.75" customHeight="1">
      <c r="A499" s="16"/>
      <c r="B499" s="16"/>
      <c r="I499" s="17"/>
      <c r="J499" s="17"/>
      <c r="K499" s="17"/>
      <c r="L499" s="17"/>
    </row>
    <row r="500" ht="15.75" customHeight="1">
      <c r="A500" s="16"/>
      <c r="B500" s="16"/>
      <c r="I500" s="17"/>
      <c r="J500" s="17"/>
      <c r="K500" s="17"/>
      <c r="L500" s="17"/>
    </row>
    <row r="501" ht="15.75" customHeight="1">
      <c r="A501" s="16"/>
      <c r="B501" s="16"/>
      <c r="I501" s="17"/>
      <c r="J501" s="17"/>
      <c r="K501" s="17"/>
      <c r="L501" s="17"/>
    </row>
    <row r="502" ht="15.75" customHeight="1">
      <c r="A502" s="16"/>
      <c r="B502" s="16"/>
      <c r="I502" s="17"/>
      <c r="J502" s="17"/>
      <c r="K502" s="17"/>
      <c r="L502" s="17"/>
    </row>
    <row r="503" ht="15.75" customHeight="1">
      <c r="A503" s="16"/>
      <c r="B503" s="16"/>
      <c r="I503" s="17"/>
      <c r="J503" s="17"/>
      <c r="K503" s="17"/>
      <c r="L503" s="17"/>
    </row>
    <row r="504" ht="15.75" customHeight="1">
      <c r="A504" s="16"/>
      <c r="B504" s="16"/>
      <c r="I504" s="17"/>
      <c r="J504" s="17"/>
      <c r="K504" s="17"/>
      <c r="L504" s="17"/>
    </row>
    <row r="505" ht="15.75" customHeight="1">
      <c r="A505" s="16"/>
      <c r="B505" s="16"/>
      <c r="I505" s="17"/>
      <c r="J505" s="17"/>
      <c r="K505" s="17"/>
      <c r="L505" s="17"/>
    </row>
    <row r="506" ht="15.75" customHeight="1">
      <c r="A506" s="16"/>
      <c r="B506" s="16"/>
      <c r="I506" s="17"/>
      <c r="J506" s="17"/>
      <c r="K506" s="17"/>
      <c r="L506" s="17"/>
    </row>
    <row r="507" ht="15.75" customHeight="1">
      <c r="A507" s="16"/>
      <c r="B507" s="16"/>
      <c r="I507" s="17"/>
      <c r="J507" s="17"/>
      <c r="K507" s="17"/>
      <c r="L507" s="17"/>
    </row>
    <row r="508" ht="15.75" customHeight="1">
      <c r="A508" s="16"/>
      <c r="B508" s="16"/>
      <c r="I508" s="17"/>
      <c r="J508" s="17"/>
      <c r="K508" s="17"/>
      <c r="L508" s="17"/>
    </row>
    <row r="509" ht="15.75" customHeight="1">
      <c r="A509" s="16"/>
      <c r="B509" s="16"/>
      <c r="I509" s="17"/>
      <c r="J509" s="17"/>
      <c r="K509" s="17"/>
      <c r="L509" s="17"/>
    </row>
    <row r="510" ht="15.75" customHeight="1">
      <c r="A510" s="16"/>
      <c r="B510" s="16"/>
      <c r="I510" s="17"/>
      <c r="J510" s="17"/>
      <c r="K510" s="17"/>
      <c r="L510" s="17"/>
    </row>
    <row r="511" ht="15.75" customHeight="1">
      <c r="A511" s="16"/>
      <c r="B511" s="16"/>
      <c r="I511" s="17"/>
      <c r="J511" s="17"/>
      <c r="K511" s="17"/>
      <c r="L511" s="17"/>
    </row>
    <row r="512" ht="15.75" customHeight="1">
      <c r="A512" s="16"/>
      <c r="B512" s="16"/>
      <c r="I512" s="17"/>
      <c r="J512" s="17"/>
      <c r="K512" s="17"/>
      <c r="L512" s="17"/>
    </row>
    <row r="513" ht="15.75" customHeight="1">
      <c r="A513" s="16"/>
      <c r="B513" s="16"/>
      <c r="I513" s="17"/>
      <c r="J513" s="17"/>
      <c r="K513" s="17"/>
      <c r="L513" s="17"/>
    </row>
    <row r="514" ht="15.75" customHeight="1">
      <c r="A514" s="16"/>
      <c r="B514" s="16"/>
      <c r="I514" s="17"/>
      <c r="J514" s="17"/>
      <c r="K514" s="17"/>
      <c r="L514" s="17"/>
    </row>
    <row r="515" ht="15.75" customHeight="1">
      <c r="A515" s="16"/>
      <c r="B515" s="16"/>
      <c r="I515" s="17"/>
      <c r="J515" s="17"/>
      <c r="K515" s="17"/>
      <c r="L515" s="17"/>
    </row>
    <row r="516" ht="15.75" customHeight="1">
      <c r="A516" s="16"/>
      <c r="B516" s="16"/>
      <c r="I516" s="17"/>
      <c r="J516" s="17"/>
      <c r="K516" s="17"/>
      <c r="L516" s="17"/>
    </row>
    <row r="517" ht="15.75" customHeight="1">
      <c r="A517" s="16"/>
      <c r="B517" s="16"/>
      <c r="I517" s="17"/>
      <c r="J517" s="17"/>
      <c r="K517" s="17"/>
      <c r="L517" s="17"/>
    </row>
    <row r="518" ht="15.75" customHeight="1">
      <c r="A518" s="16"/>
      <c r="B518" s="16"/>
      <c r="I518" s="17"/>
      <c r="J518" s="17"/>
      <c r="K518" s="17"/>
      <c r="L518" s="17"/>
    </row>
    <row r="519" ht="15.75" customHeight="1">
      <c r="A519" s="16"/>
      <c r="B519" s="16"/>
      <c r="I519" s="17"/>
      <c r="J519" s="17"/>
      <c r="K519" s="17"/>
      <c r="L519" s="17"/>
    </row>
    <row r="520" ht="15.75" customHeight="1">
      <c r="A520" s="16"/>
      <c r="B520" s="16"/>
      <c r="I520" s="17"/>
      <c r="J520" s="17"/>
      <c r="K520" s="17"/>
      <c r="L520" s="17"/>
    </row>
    <row r="521" ht="15.75" customHeight="1">
      <c r="A521" s="16"/>
      <c r="B521" s="16"/>
      <c r="I521" s="17"/>
      <c r="J521" s="17"/>
      <c r="K521" s="17"/>
      <c r="L521" s="17"/>
    </row>
    <row r="522" ht="15.75" customHeight="1">
      <c r="A522" s="16"/>
      <c r="B522" s="16"/>
      <c r="I522" s="17"/>
      <c r="J522" s="17"/>
      <c r="K522" s="17"/>
      <c r="L522" s="17"/>
    </row>
    <row r="523" ht="15.75" customHeight="1">
      <c r="A523" s="16"/>
      <c r="B523" s="16"/>
      <c r="I523" s="17"/>
      <c r="J523" s="17"/>
      <c r="K523" s="17"/>
      <c r="L523" s="17"/>
    </row>
    <row r="524" ht="15.75" customHeight="1">
      <c r="A524" s="16"/>
      <c r="B524" s="16"/>
      <c r="I524" s="17"/>
      <c r="J524" s="17"/>
      <c r="K524" s="17"/>
      <c r="L524" s="17"/>
    </row>
    <row r="525" ht="15.75" customHeight="1">
      <c r="A525" s="16"/>
      <c r="B525" s="16"/>
      <c r="I525" s="17"/>
      <c r="J525" s="17"/>
      <c r="K525" s="17"/>
      <c r="L525" s="17"/>
    </row>
    <row r="526" ht="15.75" customHeight="1">
      <c r="A526" s="16"/>
      <c r="B526" s="16"/>
      <c r="I526" s="17"/>
      <c r="J526" s="17"/>
      <c r="K526" s="17"/>
      <c r="L526" s="17"/>
    </row>
    <row r="527" ht="15.75" customHeight="1">
      <c r="A527" s="16"/>
      <c r="B527" s="16"/>
      <c r="I527" s="17"/>
      <c r="J527" s="17"/>
      <c r="K527" s="17"/>
      <c r="L527" s="17"/>
    </row>
    <row r="528" ht="15.75" customHeight="1">
      <c r="A528" s="16"/>
      <c r="B528" s="16"/>
      <c r="I528" s="17"/>
      <c r="J528" s="17"/>
      <c r="K528" s="17"/>
      <c r="L528" s="17"/>
    </row>
    <row r="529" ht="15.75" customHeight="1">
      <c r="A529" s="16"/>
      <c r="B529" s="16"/>
      <c r="I529" s="17"/>
      <c r="J529" s="17"/>
      <c r="K529" s="17"/>
      <c r="L529" s="17"/>
    </row>
    <row r="530" ht="15.75" customHeight="1">
      <c r="A530" s="16"/>
      <c r="B530" s="16"/>
      <c r="I530" s="17"/>
      <c r="J530" s="17"/>
      <c r="K530" s="17"/>
      <c r="L530" s="17"/>
    </row>
    <row r="531" ht="15.75" customHeight="1">
      <c r="A531" s="16"/>
      <c r="B531" s="16"/>
      <c r="I531" s="17"/>
      <c r="J531" s="17"/>
      <c r="K531" s="17"/>
      <c r="L531" s="17"/>
    </row>
    <row r="532" ht="15.75" customHeight="1">
      <c r="A532" s="16"/>
      <c r="B532" s="16"/>
      <c r="I532" s="17"/>
      <c r="J532" s="17"/>
      <c r="K532" s="17"/>
      <c r="L532" s="17"/>
    </row>
    <row r="533" ht="15.75" customHeight="1">
      <c r="A533" s="16"/>
      <c r="B533" s="16"/>
      <c r="I533" s="17"/>
      <c r="J533" s="17"/>
      <c r="K533" s="17"/>
      <c r="L533" s="17"/>
    </row>
    <row r="534" ht="15.75" customHeight="1">
      <c r="A534" s="16"/>
      <c r="B534" s="16"/>
      <c r="I534" s="17"/>
      <c r="J534" s="17"/>
      <c r="K534" s="17"/>
      <c r="L534" s="17"/>
    </row>
    <row r="535" ht="15.75" customHeight="1">
      <c r="A535" s="16"/>
      <c r="B535" s="16"/>
      <c r="I535" s="17"/>
      <c r="J535" s="17"/>
      <c r="K535" s="17"/>
      <c r="L535" s="17"/>
    </row>
    <row r="536" ht="15.75" customHeight="1">
      <c r="A536" s="16"/>
      <c r="B536" s="16"/>
      <c r="I536" s="17"/>
      <c r="J536" s="17"/>
      <c r="K536" s="17"/>
      <c r="L536" s="17"/>
    </row>
    <row r="537" ht="15.75" customHeight="1">
      <c r="A537" s="16"/>
      <c r="B537" s="16"/>
      <c r="I537" s="17"/>
      <c r="J537" s="17"/>
      <c r="K537" s="17"/>
      <c r="L537" s="17"/>
    </row>
    <row r="538" ht="15.75" customHeight="1">
      <c r="A538" s="16"/>
      <c r="B538" s="16"/>
      <c r="I538" s="17"/>
      <c r="J538" s="17"/>
      <c r="K538" s="17"/>
      <c r="L538" s="17"/>
    </row>
    <row r="539" ht="15.75" customHeight="1">
      <c r="A539" s="16"/>
      <c r="B539" s="16"/>
      <c r="I539" s="17"/>
      <c r="J539" s="17"/>
      <c r="K539" s="17"/>
      <c r="L539" s="17"/>
    </row>
    <row r="540" ht="15.75" customHeight="1">
      <c r="A540" s="16"/>
      <c r="B540" s="16"/>
      <c r="I540" s="17"/>
      <c r="J540" s="17"/>
      <c r="K540" s="17"/>
      <c r="L540" s="17"/>
    </row>
    <row r="541" ht="15.75" customHeight="1">
      <c r="A541" s="16"/>
      <c r="B541" s="16"/>
      <c r="I541" s="17"/>
      <c r="J541" s="17"/>
      <c r="K541" s="17"/>
      <c r="L541" s="17"/>
    </row>
    <row r="542" ht="15.75" customHeight="1">
      <c r="A542" s="16"/>
      <c r="B542" s="16"/>
      <c r="I542" s="17"/>
      <c r="J542" s="17"/>
      <c r="K542" s="17"/>
      <c r="L542" s="17"/>
    </row>
    <row r="543" ht="15.75" customHeight="1">
      <c r="A543" s="16"/>
      <c r="B543" s="16"/>
      <c r="I543" s="17"/>
      <c r="J543" s="17"/>
      <c r="K543" s="17"/>
      <c r="L543" s="17"/>
    </row>
    <row r="544" ht="15.75" customHeight="1">
      <c r="A544" s="16"/>
      <c r="B544" s="16"/>
      <c r="I544" s="17"/>
      <c r="J544" s="17"/>
      <c r="K544" s="17"/>
      <c r="L544" s="17"/>
    </row>
    <row r="545" ht="15.75" customHeight="1">
      <c r="A545" s="16"/>
      <c r="B545" s="16"/>
      <c r="I545" s="17"/>
      <c r="J545" s="17"/>
      <c r="K545" s="17"/>
      <c r="L545" s="17"/>
    </row>
    <row r="546" ht="15.75" customHeight="1">
      <c r="A546" s="16"/>
      <c r="B546" s="16"/>
      <c r="I546" s="17"/>
      <c r="J546" s="17"/>
      <c r="K546" s="17"/>
      <c r="L546" s="17"/>
    </row>
    <row r="547" ht="15.75" customHeight="1">
      <c r="A547" s="16"/>
      <c r="B547" s="16"/>
      <c r="I547" s="17"/>
      <c r="J547" s="17"/>
      <c r="K547" s="17"/>
      <c r="L547" s="17"/>
    </row>
    <row r="548" ht="15.75" customHeight="1">
      <c r="A548" s="16"/>
      <c r="B548" s="16"/>
      <c r="I548" s="17"/>
      <c r="J548" s="17"/>
      <c r="K548" s="17"/>
      <c r="L548" s="17"/>
    </row>
    <row r="549" ht="15.75" customHeight="1">
      <c r="A549" s="16"/>
      <c r="B549" s="16"/>
      <c r="I549" s="17"/>
      <c r="J549" s="17"/>
      <c r="K549" s="17"/>
      <c r="L549" s="17"/>
    </row>
    <row r="550" ht="15.75" customHeight="1">
      <c r="A550" s="16"/>
      <c r="B550" s="16"/>
      <c r="I550" s="17"/>
      <c r="J550" s="17"/>
      <c r="K550" s="17"/>
      <c r="L550" s="17"/>
    </row>
    <row r="551" ht="15.75" customHeight="1">
      <c r="A551" s="16"/>
      <c r="B551" s="16"/>
      <c r="I551" s="17"/>
      <c r="J551" s="17"/>
      <c r="K551" s="17"/>
      <c r="L551" s="17"/>
    </row>
    <row r="552" ht="15.75" customHeight="1">
      <c r="A552" s="16"/>
      <c r="B552" s="16"/>
      <c r="I552" s="17"/>
      <c r="J552" s="17"/>
      <c r="K552" s="17"/>
      <c r="L552" s="17"/>
    </row>
    <row r="553" ht="15.75" customHeight="1">
      <c r="A553" s="16"/>
      <c r="B553" s="16"/>
      <c r="I553" s="17"/>
      <c r="J553" s="17"/>
      <c r="K553" s="17"/>
      <c r="L553" s="17"/>
    </row>
    <row r="554" ht="15.75" customHeight="1">
      <c r="A554" s="16"/>
      <c r="B554" s="16"/>
      <c r="I554" s="17"/>
      <c r="J554" s="17"/>
      <c r="K554" s="17"/>
      <c r="L554" s="17"/>
    </row>
    <row r="555" ht="15.75" customHeight="1">
      <c r="A555" s="16"/>
      <c r="B555" s="16"/>
      <c r="I555" s="17"/>
      <c r="J555" s="17"/>
      <c r="K555" s="17"/>
      <c r="L555" s="17"/>
    </row>
    <row r="556" ht="15.75" customHeight="1">
      <c r="A556" s="16"/>
      <c r="B556" s="16"/>
      <c r="I556" s="17"/>
      <c r="J556" s="17"/>
      <c r="K556" s="17"/>
      <c r="L556" s="17"/>
    </row>
    <row r="557" ht="15.75" customHeight="1">
      <c r="A557" s="16"/>
      <c r="B557" s="16"/>
      <c r="I557" s="17"/>
      <c r="J557" s="17"/>
      <c r="K557" s="17"/>
      <c r="L557" s="17"/>
    </row>
    <row r="558" ht="15.75" customHeight="1">
      <c r="A558" s="16"/>
      <c r="B558" s="16"/>
      <c r="I558" s="17"/>
      <c r="J558" s="17"/>
      <c r="K558" s="17"/>
      <c r="L558" s="17"/>
    </row>
    <row r="559" ht="15.75" customHeight="1">
      <c r="A559" s="16"/>
      <c r="B559" s="16"/>
      <c r="I559" s="17"/>
      <c r="J559" s="17"/>
      <c r="K559" s="17"/>
      <c r="L559" s="17"/>
    </row>
    <row r="560" ht="15.75" customHeight="1">
      <c r="A560" s="16"/>
      <c r="B560" s="16"/>
      <c r="I560" s="17"/>
      <c r="J560" s="17"/>
      <c r="K560" s="17"/>
      <c r="L560" s="17"/>
    </row>
    <row r="561" ht="15.75" customHeight="1">
      <c r="A561" s="16"/>
      <c r="B561" s="16"/>
      <c r="I561" s="17"/>
      <c r="J561" s="17"/>
      <c r="K561" s="17"/>
      <c r="L561" s="17"/>
    </row>
    <row r="562" ht="15.75" customHeight="1">
      <c r="A562" s="16"/>
      <c r="B562" s="16"/>
      <c r="I562" s="17"/>
      <c r="J562" s="17"/>
      <c r="K562" s="17"/>
      <c r="L562" s="17"/>
    </row>
    <row r="563" ht="15.75" customHeight="1">
      <c r="A563" s="16"/>
      <c r="B563" s="16"/>
      <c r="I563" s="17"/>
      <c r="J563" s="17"/>
      <c r="K563" s="17"/>
      <c r="L563" s="17"/>
    </row>
    <row r="564" ht="15.75" customHeight="1">
      <c r="A564" s="16"/>
      <c r="B564" s="16"/>
      <c r="I564" s="17"/>
      <c r="J564" s="17"/>
      <c r="K564" s="17"/>
      <c r="L564" s="17"/>
    </row>
    <row r="565" ht="15.75" customHeight="1">
      <c r="A565" s="16"/>
      <c r="B565" s="16"/>
      <c r="I565" s="17"/>
      <c r="J565" s="17"/>
      <c r="K565" s="17"/>
      <c r="L565" s="17"/>
    </row>
    <row r="566" ht="15.75" customHeight="1">
      <c r="A566" s="16"/>
      <c r="B566" s="16"/>
      <c r="I566" s="17"/>
      <c r="J566" s="17"/>
      <c r="K566" s="17"/>
      <c r="L566" s="17"/>
    </row>
    <row r="567" ht="15.75" customHeight="1">
      <c r="A567" s="16"/>
      <c r="B567" s="16"/>
      <c r="I567" s="17"/>
      <c r="J567" s="17"/>
      <c r="K567" s="17"/>
      <c r="L567" s="17"/>
    </row>
    <row r="568" ht="15.75" customHeight="1">
      <c r="A568" s="16"/>
      <c r="B568" s="16"/>
      <c r="I568" s="17"/>
      <c r="J568" s="17"/>
      <c r="K568" s="17"/>
      <c r="L568" s="17"/>
    </row>
    <row r="569" ht="15.75" customHeight="1">
      <c r="A569" s="16"/>
      <c r="B569" s="16"/>
      <c r="I569" s="17"/>
      <c r="J569" s="17"/>
      <c r="K569" s="17"/>
      <c r="L569" s="17"/>
    </row>
    <row r="570" ht="15.75" customHeight="1">
      <c r="A570" s="16"/>
      <c r="B570" s="16"/>
      <c r="I570" s="17"/>
      <c r="J570" s="17"/>
      <c r="K570" s="17"/>
      <c r="L570" s="17"/>
    </row>
    <row r="571" ht="15.75" customHeight="1">
      <c r="A571" s="16"/>
      <c r="B571" s="16"/>
      <c r="I571" s="17"/>
      <c r="J571" s="17"/>
      <c r="K571" s="17"/>
      <c r="L571" s="17"/>
    </row>
    <row r="572" ht="15.75" customHeight="1">
      <c r="A572" s="16"/>
      <c r="B572" s="16"/>
      <c r="I572" s="17"/>
      <c r="J572" s="17"/>
      <c r="K572" s="17"/>
      <c r="L572" s="17"/>
    </row>
    <row r="573" ht="15.75" customHeight="1">
      <c r="A573" s="16"/>
      <c r="B573" s="16"/>
      <c r="I573" s="17"/>
      <c r="J573" s="17"/>
      <c r="K573" s="17"/>
      <c r="L573" s="17"/>
    </row>
    <row r="574" ht="15.75" customHeight="1">
      <c r="A574" s="16"/>
      <c r="B574" s="16"/>
      <c r="I574" s="17"/>
      <c r="J574" s="17"/>
      <c r="K574" s="17"/>
      <c r="L574" s="17"/>
    </row>
    <row r="575" ht="15.75" customHeight="1">
      <c r="A575" s="16"/>
      <c r="B575" s="16"/>
      <c r="I575" s="17"/>
      <c r="J575" s="17"/>
      <c r="K575" s="17"/>
      <c r="L575" s="17"/>
    </row>
    <row r="576" ht="15.75" customHeight="1">
      <c r="A576" s="16"/>
      <c r="B576" s="16"/>
      <c r="I576" s="17"/>
      <c r="J576" s="17"/>
      <c r="K576" s="17"/>
      <c r="L576" s="17"/>
    </row>
    <row r="577" ht="15.75" customHeight="1">
      <c r="A577" s="16"/>
      <c r="B577" s="16"/>
      <c r="I577" s="17"/>
      <c r="J577" s="17"/>
      <c r="K577" s="17"/>
      <c r="L577" s="17"/>
    </row>
    <row r="578" ht="15.75" customHeight="1">
      <c r="A578" s="16"/>
      <c r="B578" s="16"/>
      <c r="I578" s="17"/>
      <c r="J578" s="17"/>
      <c r="K578" s="17"/>
      <c r="L578" s="17"/>
    </row>
    <row r="579" ht="15.75" customHeight="1">
      <c r="A579" s="16"/>
      <c r="B579" s="16"/>
      <c r="I579" s="17"/>
      <c r="J579" s="17"/>
      <c r="K579" s="17"/>
      <c r="L579" s="17"/>
    </row>
    <row r="580" ht="15.75" customHeight="1">
      <c r="A580" s="16"/>
      <c r="B580" s="16"/>
      <c r="I580" s="17"/>
      <c r="J580" s="17"/>
      <c r="K580" s="17"/>
      <c r="L580" s="17"/>
    </row>
    <row r="581" ht="15.75" customHeight="1">
      <c r="A581" s="16"/>
      <c r="B581" s="16"/>
      <c r="I581" s="17"/>
      <c r="J581" s="17"/>
      <c r="K581" s="17"/>
      <c r="L581" s="17"/>
    </row>
    <row r="582" ht="15.75" customHeight="1">
      <c r="A582" s="16"/>
      <c r="B582" s="16"/>
      <c r="I582" s="17"/>
      <c r="J582" s="17"/>
      <c r="K582" s="17"/>
      <c r="L582" s="17"/>
    </row>
    <row r="583" ht="15.75" customHeight="1">
      <c r="A583" s="16"/>
      <c r="B583" s="16"/>
      <c r="I583" s="17"/>
      <c r="J583" s="17"/>
      <c r="K583" s="17"/>
      <c r="L583" s="17"/>
    </row>
    <row r="584" ht="15.75" customHeight="1">
      <c r="A584" s="16"/>
      <c r="B584" s="16"/>
      <c r="I584" s="17"/>
      <c r="J584" s="17"/>
      <c r="K584" s="17"/>
      <c r="L584" s="17"/>
    </row>
    <row r="585" ht="15.75" customHeight="1">
      <c r="A585" s="16"/>
      <c r="B585" s="16"/>
      <c r="I585" s="17"/>
      <c r="J585" s="17"/>
      <c r="K585" s="17"/>
      <c r="L585" s="17"/>
    </row>
    <row r="586" ht="15.75" customHeight="1">
      <c r="A586" s="16"/>
      <c r="B586" s="16"/>
      <c r="I586" s="17"/>
      <c r="J586" s="17"/>
      <c r="K586" s="17"/>
      <c r="L586" s="17"/>
    </row>
    <row r="587" ht="15.75" customHeight="1">
      <c r="A587" s="16"/>
      <c r="B587" s="16"/>
      <c r="I587" s="17"/>
      <c r="J587" s="17"/>
      <c r="K587" s="17"/>
      <c r="L587" s="17"/>
    </row>
    <row r="588" ht="15.75" customHeight="1">
      <c r="A588" s="16"/>
      <c r="B588" s="16"/>
      <c r="I588" s="17"/>
      <c r="J588" s="17"/>
      <c r="K588" s="17"/>
      <c r="L588" s="17"/>
    </row>
    <row r="589" ht="15.75" customHeight="1">
      <c r="A589" s="16"/>
      <c r="B589" s="16"/>
      <c r="I589" s="17"/>
      <c r="J589" s="17"/>
      <c r="K589" s="17"/>
      <c r="L589" s="17"/>
    </row>
    <row r="590" ht="15.75" customHeight="1">
      <c r="A590" s="16"/>
      <c r="B590" s="16"/>
      <c r="I590" s="17"/>
      <c r="J590" s="17"/>
      <c r="K590" s="17"/>
      <c r="L590" s="17"/>
    </row>
    <row r="591" ht="15.75" customHeight="1">
      <c r="A591" s="16"/>
      <c r="B591" s="16"/>
      <c r="I591" s="17"/>
      <c r="J591" s="17"/>
      <c r="K591" s="17"/>
      <c r="L591" s="17"/>
    </row>
    <row r="592" ht="15.75" customHeight="1">
      <c r="A592" s="16"/>
      <c r="B592" s="16"/>
      <c r="I592" s="17"/>
      <c r="J592" s="17"/>
      <c r="K592" s="17"/>
      <c r="L592" s="17"/>
    </row>
    <row r="593" ht="15.75" customHeight="1">
      <c r="A593" s="16"/>
      <c r="B593" s="16"/>
      <c r="I593" s="17"/>
      <c r="J593" s="17"/>
      <c r="K593" s="17"/>
      <c r="L593" s="17"/>
    </row>
    <row r="594" ht="15.75" customHeight="1">
      <c r="A594" s="16"/>
      <c r="B594" s="16"/>
      <c r="I594" s="17"/>
      <c r="J594" s="17"/>
      <c r="K594" s="17"/>
      <c r="L594" s="17"/>
    </row>
    <row r="595" ht="15.75" customHeight="1">
      <c r="A595" s="16"/>
      <c r="B595" s="16"/>
      <c r="I595" s="17"/>
      <c r="J595" s="17"/>
      <c r="K595" s="17"/>
      <c r="L595" s="17"/>
    </row>
    <row r="596" ht="15.75" customHeight="1">
      <c r="A596" s="16"/>
      <c r="B596" s="16"/>
      <c r="I596" s="17"/>
      <c r="J596" s="17"/>
      <c r="K596" s="17"/>
      <c r="L596" s="17"/>
    </row>
    <row r="597" ht="15.75" customHeight="1">
      <c r="A597" s="16"/>
      <c r="B597" s="16"/>
      <c r="I597" s="17"/>
      <c r="J597" s="17"/>
      <c r="K597" s="17"/>
      <c r="L597" s="17"/>
    </row>
    <row r="598" ht="15.75" customHeight="1">
      <c r="A598" s="16"/>
      <c r="B598" s="16"/>
      <c r="I598" s="17"/>
      <c r="J598" s="17"/>
      <c r="K598" s="17"/>
      <c r="L598" s="17"/>
    </row>
    <row r="599" ht="15.75" customHeight="1">
      <c r="A599" s="16"/>
      <c r="B599" s="16"/>
      <c r="I599" s="17"/>
      <c r="J599" s="17"/>
      <c r="K599" s="17"/>
      <c r="L599" s="17"/>
    </row>
    <row r="600" ht="15.75" customHeight="1">
      <c r="A600" s="16"/>
      <c r="B600" s="16"/>
      <c r="I600" s="17"/>
      <c r="J600" s="17"/>
      <c r="K600" s="17"/>
      <c r="L600" s="17"/>
    </row>
    <row r="601" ht="15.75" customHeight="1">
      <c r="A601" s="16"/>
      <c r="B601" s="16"/>
      <c r="I601" s="17"/>
      <c r="J601" s="17"/>
      <c r="K601" s="17"/>
      <c r="L601" s="17"/>
    </row>
    <row r="602" ht="15.75" customHeight="1">
      <c r="A602" s="16"/>
      <c r="B602" s="16"/>
      <c r="I602" s="17"/>
      <c r="J602" s="17"/>
      <c r="K602" s="17"/>
      <c r="L602" s="17"/>
    </row>
    <row r="603" ht="15.75" customHeight="1">
      <c r="A603" s="16"/>
      <c r="B603" s="16"/>
      <c r="I603" s="17"/>
      <c r="J603" s="17"/>
      <c r="K603" s="17"/>
      <c r="L603" s="17"/>
    </row>
    <row r="604" ht="15.75" customHeight="1">
      <c r="A604" s="16"/>
      <c r="B604" s="16"/>
      <c r="I604" s="17"/>
      <c r="J604" s="17"/>
      <c r="K604" s="17"/>
      <c r="L604" s="17"/>
    </row>
    <row r="605" ht="15.75" customHeight="1">
      <c r="A605" s="16"/>
      <c r="B605" s="16"/>
      <c r="I605" s="17"/>
      <c r="J605" s="17"/>
      <c r="K605" s="17"/>
      <c r="L605" s="17"/>
    </row>
    <row r="606" ht="15.75" customHeight="1">
      <c r="A606" s="16"/>
      <c r="B606" s="16"/>
      <c r="I606" s="17"/>
      <c r="J606" s="17"/>
      <c r="K606" s="17"/>
      <c r="L606" s="17"/>
    </row>
    <row r="607" ht="15.75" customHeight="1">
      <c r="A607" s="16"/>
      <c r="B607" s="16"/>
      <c r="I607" s="17"/>
      <c r="J607" s="17"/>
      <c r="K607" s="17"/>
      <c r="L607" s="17"/>
    </row>
    <row r="608" ht="15.75" customHeight="1">
      <c r="A608" s="16"/>
      <c r="B608" s="16"/>
      <c r="I608" s="17"/>
      <c r="J608" s="17"/>
      <c r="K608" s="17"/>
      <c r="L608" s="17"/>
    </row>
    <row r="609" ht="15.75" customHeight="1">
      <c r="A609" s="16"/>
      <c r="B609" s="16"/>
      <c r="I609" s="17"/>
      <c r="J609" s="17"/>
      <c r="K609" s="17"/>
      <c r="L609" s="17"/>
    </row>
    <row r="610" ht="15.75" customHeight="1">
      <c r="A610" s="16"/>
      <c r="B610" s="16"/>
      <c r="I610" s="17"/>
      <c r="J610" s="17"/>
      <c r="K610" s="17"/>
      <c r="L610" s="17"/>
    </row>
    <row r="611" ht="15.75" customHeight="1">
      <c r="A611" s="16"/>
      <c r="B611" s="16"/>
      <c r="I611" s="17"/>
      <c r="J611" s="17"/>
      <c r="K611" s="17"/>
      <c r="L611" s="17"/>
    </row>
    <row r="612" ht="15.75" customHeight="1">
      <c r="A612" s="16"/>
      <c r="B612" s="16"/>
      <c r="I612" s="17"/>
      <c r="J612" s="17"/>
      <c r="K612" s="17"/>
      <c r="L612" s="17"/>
    </row>
    <row r="613" ht="15.75" customHeight="1">
      <c r="A613" s="16"/>
      <c r="B613" s="16"/>
      <c r="I613" s="17"/>
      <c r="J613" s="17"/>
      <c r="K613" s="17"/>
      <c r="L613" s="17"/>
    </row>
    <row r="614" ht="15.75" customHeight="1">
      <c r="A614" s="16"/>
      <c r="B614" s="16"/>
      <c r="I614" s="17"/>
      <c r="J614" s="17"/>
      <c r="K614" s="17"/>
      <c r="L614" s="17"/>
    </row>
    <row r="615" ht="15.75" customHeight="1">
      <c r="A615" s="16"/>
      <c r="B615" s="16"/>
      <c r="I615" s="17"/>
      <c r="J615" s="17"/>
      <c r="K615" s="17"/>
      <c r="L615" s="17"/>
    </row>
    <row r="616" ht="15.75" customHeight="1">
      <c r="A616" s="16"/>
      <c r="B616" s="16"/>
      <c r="I616" s="17"/>
      <c r="J616" s="17"/>
      <c r="K616" s="17"/>
      <c r="L616" s="17"/>
    </row>
    <row r="617" ht="15.75" customHeight="1">
      <c r="A617" s="16"/>
      <c r="B617" s="16"/>
      <c r="I617" s="17"/>
      <c r="J617" s="17"/>
      <c r="K617" s="17"/>
      <c r="L617" s="17"/>
    </row>
    <row r="618" ht="15.75" customHeight="1">
      <c r="A618" s="16"/>
      <c r="B618" s="16"/>
      <c r="I618" s="17"/>
      <c r="J618" s="17"/>
      <c r="K618" s="17"/>
      <c r="L618" s="17"/>
    </row>
    <row r="619" ht="15.75" customHeight="1">
      <c r="A619" s="16"/>
      <c r="B619" s="16"/>
      <c r="I619" s="17"/>
      <c r="J619" s="17"/>
      <c r="K619" s="17"/>
      <c r="L619" s="17"/>
    </row>
    <row r="620" ht="15.75" customHeight="1">
      <c r="A620" s="16"/>
      <c r="B620" s="16"/>
      <c r="I620" s="17"/>
      <c r="J620" s="17"/>
      <c r="K620" s="17"/>
      <c r="L620" s="17"/>
    </row>
    <row r="621" ht="15.75" customHeight="1">
      <c r="A621" s="16"/>
      <c r="B621" s="16"/>
      <c r="I621" s="17"/>
      <c r="J621" s="17"/>
      <c r="K621" s="17"/>
      <c r="L621" s="17"/>
    </row>
    <row r="622" ht="15.75" customHeight="1">
      <c r="A622" s="16"/>
      <c r="B622" s="16"/>
      <c r="I622" s="17"/>
      <c r="J622" s="17"/>
      <c r="K622" s="17"/>
      <c r="L622" s="17"/>
    </row>
    <row r="623" ht="15.75" customHeight="1">
      <c r="A623" s="16"/>
      <c r="B623" s="16"/>
      <c r="I623" s="17"/>
      <c r="J623" s="17"/>
      <c r="K623" s="17"/>
      <c r="L623" s="17"/>
    </row>
    <row r="624" ht="15.75" customHeight="1">
      <c r="A624" s="16"/>
      <c r="B624" s="16"/>
      <c r="I624" s="17"/>
      <c r="J624" s="17"/>
      <c r="K624" s="17"/>
      <c r="L624" s="17"/>
    </row>
    <row r="625" ht="15.75" customHeight="1">
      <c r="A625" s="16"/>
      <c r="B625" s="16"/>
      <c r="I625" s="17"/>
      <c r="J625" s="17"/>
      <c r="K625" s="17"/>
      <c r="L625" s="17"/>
    </row>
    <row r="626" ht="15.75" customHeight="1">
      <c r="A626" s="16"/>
      <c r="B626" s="16"/>
      <c r="I626" s="17"/>
      <c r="J626" s="17"/>
      <c r="K626" s="17"/>
      <c r="L626" s="17"/>
    </row>
    <row r="627" ht="15.75" customHeight="1">
      <c r="A627" s="16"/>
      <c r="B627" s="16"/>
      <c r="I627" s="17"/>
      <c r="J627" s="17"/>
      <c r="K627" s="17"/>
      <c r="L627" s="17"/>
    </row>
    <row r="628" ht="15.75" customHeight="1">
      <c r="A628" s="16"/>
      <c r="B628" s="16"/>
      <c r="I628" s="17"/>
      <c r="J628" s="17"/>
      <c r="K628" s="17"/>
      <c r="L628" s="17"/>
    </row>
    <row r="629" ht="15.75" customHeight="1">
      <c r="A629" s="16"/>
      <c r="B629" s="16"/>
      <c r="I629" s="17"/>
      <c r="J629" s="17"/>
      <c r="K629" s="17"/>
      <c r="L629" s="17"/>
    </row>
    <row r="630" ht="15.75" customHeight="1">
      <c r="A630" s="16"/>
      <c r="B630" s="16"/>
      <c r="I630" s="17"/>
      <c r="J630" s="17"/>
      <c r="K630" s="17"/>
      <c r="L630" s="17"/>
    </row>
    <row r="631" ht="15.75" customHeight="1">
      <c r="A631" s="16"/>
      <c r="B631" s="16"/>
      <c r="I631" s="17"/>
      <c r="J631" s="17"/>
      <c r="K631" s="17"/>
      <c r="L631" s="17"/>
    </row>
    <row r="632" ht="15.75" customHeight="1">
      <c r="A632" s="16"/>
      <c r="B632" s="16"/>
      <c r="I632" s="17"/>
      <c r="J632" s="17"/>
      <c r="K632" s="17"/>
      <c r="L632" s="17"/>
    </row>
    <row r="633" ht="15.75" customHeight="1">
      <c r="A633" s="16"/>
      <c r="B633" s="16"/>
      <c r="I633" s="17"/>
      <c r="J633" s="17"/>
      <c r="K633" s="17"/>
      <c r="L633" s="17"/>
    </row>
    <row r="634" ht="15.75" customHeight="1">
      <c r="A634" s="16"/>
      <c r="B634" s="16"/>
      <c r="I634" s="17"/>
      <c r="J634" s="17"/>
      <c r="K634" s="17"/>
      <c r="L634" s="17"/>
    </row>
    <row r="635" ht="15.75" customHeight="1">
      <c r="A635" s="16"/>
      <c r="B635" s="16"/>
      <c r="I635" s="17"/>
      <c r="J635" s="17"/>
      <c r="K635" s="17"/>
      <c r="L635" s="17"/>
    </row>
    <row r="636" ht="15.75" customHeight="1">
      <c r="A636" s="16"/>
      <c r="B636" s="16"/>
      <c r="I636" s="17"/>
      <c r="J636" s="17"/>
      <c r="K636" s="17"/>
      <c r="L636" s="17"/>
    </row>
    <row r="637" ht="15.75" customHeight="1">
      <c r="A637" s="16"/>
      <c r="B637" s="16"/>
      <c r="I637" s="17"/>
      <c r="J637" s="17"/>
      <c r="K637" s="17"/>
      <c r="L637" s="17"/>
    </row>
    <row r="638" ht="15.75" customHeight="1">
      <c r="A638" s="16"/>
      <c r="B638" s="16"/>
      <c r="I638" s="17"/>
      <c r="J638" s="17"/>
      <c r="K638" s="17"/>
      <c r="L638" s="17"/>
    </row>
    <row r="639" ht="15.75" customHeight="1">
      <c r="A639" s="16"/>
      <c r="B639" s="16"/>
      <c r="I639" s="17"/>
      <c r="J639" s="17"/>
      <c r="K639" s="17"/>
      <c r="L639" s="17"/>
    </row>
    <row r="640" ht="15.75" customHeight="1">
      <c r="A640" s="16"/>
      <c r="B640" s="16"/>
      <c r="I640" s="17"/>
      <c r="J640" s="17"/>
      <c r="K640" s="17"/>
      <c r="L640" s="17"/>
    </row>
    <row r="641" ht="15.75" customHeight="1">
      <c r="A641" s="16"/>
      <c r="B641" s="16"/>
      <c r="I641" s="17"/>
      <c r="J641" s="17"/>
      <c r="K641" s="17"/>
      <c r="L641" s="17"/>
    </row>
    <row r="642" ht="15.75" customHeight="1">
      <c r="A642" s="16"/>
      <c r="B642" s="16"/>
      <c r="I642" s="17"/>
      <c r="J642" s="17"/>
      <c r="K642" s="17"/>
      <c r="L642" s="17"/>
    </row>
    <row r="643" ht="15.75" customHeight="1">
      <c r="A643" s="16"/>
      <c r="B643" s="16"/>
      <c r="I643" s="17"/>
      <c r="J643" s="17"/>
      <c r="K643" s="17"/>
      <c r="L643" s="17"/>
    </row>
    <row r="644" ht="15.75" customHeight="1">
      <c r="A644" s="16"/>
      <c r="B644" s="16"/>
      <c r="I644" s="17"/>
      <c r="J644" s="17"/>
      <c r="K644" s="17"/>
      <c r="L644" s="17"/>
    </row>
    <row r="645" ht="15.75" customHeight="1">
      <c r="A645" s="16"/>
      <c r="B645" s="16"/>
      <c r="I645" s="17"/>
      <c r="J645" s="17"/>
      <c r="K645" s="17"/>
      <c r="L645" s="17"/>
    </row>
    <row r="646" ht="15.75" customHeight="1">
      <c r="A646" s="16"/>
      <c r="B646" s="16"/>
      <c r="I646" s="17"/>
      <c r="J646" s="17"/>
      <c r="K646" s="17"/>
      <c r="L646" s="17"/>
    </row>
    <row r="647" ht="15.75" customHeight="1">
      <c r="A647" s="16"/>
      <c r="B647" s="16"/>
      <c r="I647" s="17"/>
      <c r="J647" s="17"/>
      <c r="K647" s="17"/>
      <c r="L647" s="17"/>
    </row>
    <row r="648" ht="15.75" customHeight="1">
      <c r="A648" s="16"/>
      <c r="B648" s="16"/>
      <c r="I648" s="17"/>
      <c r="J648" s="17"/>
      <c r="K648" s="17"/>
      <c r="L648" s="17"/>
    </row>
    <row r="649" ht="15.75" customHeight="1">
      <c r="A649" s="16"/>
      <c r="B649" s="16"/>
      <c r="I649" s="17"/>
      <c r="J649" s="17"/>
      <c r="K649" s="17"/>
      <c r="L649" s="17"/>
    </row>
    <row r="650" ht="15.75" customHeight="1">
      <c r="A650" s="16"/>
      <c r="B650" s="16"/>
      <c r="I650" s="17"/>
      <c r="J650" s="17"/>
      <c r="K650" s="17"/>
      <c r="L650" s="17"/>
    </row>
    <row r="651" ht="15.75" customHeight="1">
      <c r="A651" s="16"/>
      <c r="B651" s="16"/>
      <c r="I651" s="17"/>
      <c r="J651" s="17"/>
      <c r="K651" s="17"/>
      <c r="L651" s="17"/>
    </row>
    <row r="652" ht="15.75" customHeight="1">
      <c r="A652" s="16"/>
      <c r="B652" s="16"/>
      <c r="I652" s="17"/>
      <c r="J652" s="17"/>
      <c r="K652" s="17"/>
      <c r="L652" s="17"/>
    </row>
    <row r="653" ht="15.75" customHeight="1">
      <c r="A653" s="16"/>
      <c r="B653" s="16"/>
      <c r="I653" s="17"/>
      <c r="J653" s="17"/>
      <c r="K653" s="17"/>
      <c r="L653" s="17"/>
    </row>
    <row r="654" ht="15.75" customHeight="1">
      <c r="A654" s="16"/>
      <c r="B654" s="16"/>
      <c r="I654" s="17"/>
      <c r="J654" s="17"/>
      <c r="K654" s="17"/>
      <c r="L654" s="17"/>
    </row>
    <row r="655" ht="15.75" customHeight="1">
      <c r="A655" s="16"/>
      <c r="B655" s="16"/>
      <c r="I655" s="17"/>
      <c r="J655" s="17"/>
      <c r="K655" s="17"/>
      <c r="L655" s="17"/>
    </row>
    <row r="656" ht="15.75" customHeight="1">
      <c r="A656" s="16"/>
      <c r="B656" s="16"/>
      <c r="I656" s="17"/>
      <c r="J656" s="17"/>
      <c r="K656" s="17"/>
      <c r="L656" s="17"/>
    </row>
    <row r="657" ht="15.75" customHeight="1">
      <c r="A657" s="16"/>
      <c r="B657" s="16"/>
      <c r="I657" s="17"/>
      <c r="J657" s="17"/>
      <c r="K657" s="17"/>
      <c r="L657" s="17"/>
    </row>
    <row r="658" ht="15.75" customHeight="1">
      <c r="A658" s="16"/>
      <c r="B658" s="16"/>
      <c r="I658" s="17"/>
      <c r="J658" s="17"/>
      <c r="K658" s="17"/>
      <c r="L658" s="17"/>
    </row>
    <row r="659" ht="15.75" customHeight="1">
      <c r="A659" s="16"/>
      <c r="B659" s="16"/>
      <c r="I659" s="17"/>
      <c r="J659" s="17"/>
      <c r="K659" s="17"/>
      <c r="L659" s="17"/>
    </row>
    <row r="660" ht="15.75" customHeight="1">
      <c r="A660" s="16"/>
      <c r="B660" s="16"/>
      <c r="I660" s="17"/>
      <c r="J660" s="17"/>
      <c r="K660" s="17"/>
      <c r="L660" s="17"/>
    </row>
    <row r="661" ht="15.75" customHeight="1">
      <c r="A661" s="16"/>
      <c r="B661" s="16"/>
      <c r="I661" s="17"/>
      <c r="J661" s="17"/>
      <c r="K661" s="17"/>
      <c r="L661" s="17"/>
    </row>
    <row r="662" ht="15.75" customHeight="1">
      <c r="A662" s="16"/>
      <c r="B662" s="16"/>
      <c r="I662" s="17"/>
      <c r="J662" s="17"/>
      <c r="K662" s="17"/>
      <c r="L662" s="17"/>
    </row>
    <row r="663" ht="15.75" customHeight="1">
      <c r="A663" s="16"/>
      <c r="B663" s="16"/>
      <c r="I663" s="17"/>
      <c r="J663" s="17"/>
      <c r="K663" s="17"/>
      <c r="L663" s="17"/>
    </row>
    <row r="664" ht="15.75" customHeight="1">
      <c r="A664" s="16"/>
      <c r="B664" s="16"/>
      <c r="I664" s="17"/>
      <c r="J664" s="17"/>
      <c r="K664" s="17"/>
      <c r="L664" s="17"/>
    </row>
    <row r="665" ht="15.75" customHeight="1">
      <c r="A665" s="16"/>
      <c r="B665" s="16"/>
      <c r="I665" s="17"/>
      <c r="J665" s="17"/>
      <c r="K665" s="17"/>
      <c r="L665" s="17"/>
    </row>
    <row r="666" ht="15.75" customHeight="1">
      <c r="A666" s="16"/>
      <c r="B666" s="16"/>
      <c r="I666" s="17"/>
      <c r="J666" s="17"/>
      <c r="K666" s="17"/>
      <c r="L666" s="17"/>
    </row>
    <row r="667" ht="15.75" customHeight="1">
      <c r="A667" s="16"/>
      <c r="B667" s="16"/>
      <c r="I667" s="17"/>
      <c r="J667" s="17"/>
      <c r="K667" s="17"/>
      <c r="L667" s="17"/>
    </row>
    <row r="668" ht="15.75" customHeight="1">
      <c r="A668" s="16"/>
      <c r="B668" s="16"/>
      <c r="I668" s="17"/>
      <c r="J668" s="17"/>
      <c r="K668" s="17"/>
      <c r="L668" s="17"/>
    </row>
    <row r="669" ht="15.75" customHeight="1">
      <c r="A669" s="16"/>
      <c r="B669" s="16"/>
      <c r="I669" s="17"/>
      <c r="J669" s="17"/>
      <c r="K669" s="17"/>
      <c r="L669" s="17"/>
    </row>
    <row r="670" ht="15.75" customHeight="1">
      <c r="A670" s="16"/>
      <c r="B670" s="16"/>
      <c r="I670" s="17"/>
      <c r="J670" s="17"/>
      <c r="K670" s="17"/>
      <c r="L670" s="17"/>
    </row>
    <row r="671" ht="15.75" customHeight="1">
      <c r="A671" s="16"/>
      <c r="B671" s="16"/>
      <c r="I671" s="17"/>
      <c r="J671" s="17"/>
      <c r="K671" s="17"/>
      <c r="L671" s="17"/>
    </row>
    <row r="672" ht="15.75" customHeight="1">
      <c r="A672" s="16"/>
      <c r="B672" s="16"/>
      <c r="I672" s="17"/>
      <c r="J672" s="17"/>
      <c r="K672" s="17"/>
      <c r="L672" s="17"/>
    </row>
    <row r="673" ht="15.75" customHeight="1">
      <c r="A673" s="16"/>
      <c r="B673" s="16"/>
      <c r="I673" s="17"/>
      <c r="J673" s="17"/>
      <c r="K673" s="17"/>
      <c r="L673" s="17"/>
    </row>
    <row r="674" ht="15.75" customHeight="1">
      <c r="A674" s="16"/>
      <c r="B674" s="16"/>
      <c r="I674" s="17"/>
      <c r="J674" s="17"/>
      <c r="K674" s="17"/>
      <c r="L674" s="17"/>
    </row>
    <row r="675" ht="15.75" customHeight="1">
      <c r="A675" s="16"/>
      <c r="B675" s="16"/>
      <c r="I675" s="17"/>
      <c r="J675" s="17"/>
      <c r="K675" s="17"/>
      <c r="L675" s="17"/>
    </row>
    <row r="676" ht="15.75" customHeight="1">
      <c r="A676" s="16"/>
      <c r="B676" s="16"/>
      <c r="I676" s="17"/>
      <c r="J676" s="17"/>
      <c r="K676" s="17"/>
      <c r="L676" s="17"/>
    </row>
    <row r="677" ht="15.75" customHeight="1">
      <c r="A677" s="16"/>
      <c r="B677" s="16"/>
      <c r="I677" s="17"/>
      <c r="J677" s="17"/>
      <c r="K677" s="17"/>
      <c r="L677" s="17"/>
    </row>
    <row r="678" ht="15.75" customHeight="1">
      <c r="A678" s="16"/>
      <c r="B678" s="16"/>
      <c r="I678" s="17"/>
      <c r="J678" s="17"/>
      <c r="K678" s="17"/>
      <c r="L678" s="17"/>
    </row>
    <row r="679" ht="15.75" customHeight="1">
      <c r="A679" s="16"/>
      <c r="B679" s="16"/>
      <c r="I679" s="17"/>
      <c r="J679" s="17"/>
      <c r="K679" s="17"/>
      <c r="L679" s="17"/>
    </row>
    <row r="680" ht="15.75" customHeight="1">
      <c r="A680" s="16"/>
      <c r="B680" s="16"/>
      <c r="I680" s="17"/>
      <c r="J680" s="17"/>
      <c r="K680" s="17"/>
      <c r="L680" s="17"/>
    </row>
    <row r="681" ht="15.75" customHeight="1">
      <c r="A681" s="16"/>
      <c r="B681" s="16"/>
      <c r="I681" s="17"/>
      <c r="J681" s="17"/>
      <c r="K681" s="17"/>
      <c r="L681" s="17"/>
    </row>
    <row r="682" ht="15.75" customHeight="1">
      <c r="A682" s="16"/>
      <c r="B682" s="16"/>
      <c r="I682" s="17"/>
      <c r="J682" s="17"/>
      <c r="K682" s="17"/>
      <c r="L682" s="17"/>
    </row>
    <row r="683" ht="15.75" customHeight="1">
      <c r="A683" s="16"/>
      <c r="B683" s="16"/>
      <c r="I683" s="17"/>
      <c r="J683" s="17"/>
      <c r="K683" s="17"/>
      <c r="L683" s="17"/>
    </row>
    <row r="684" ht="15.75" customHeight="1">
      <c r="A684" s="16"/>
      <c r="B684" s="16"/>
      <c r="I684" s="17"/>
      <c r="J684" s="17"/>
      <c r="K684" s="17"/>
      <c r="L684" s="17"/>
    </row>
    <row r="685" ht="15.75" customHeight="1">
      <c r="A685" s="16"/>
      <c r="B685" s="16"/>
      <c r="I685" s="17"/>
      <c r="J685" s="17"/>
      <c r="K685" s="17"/>
      <c r="L685" s="17"/>
    </row>
    <row r="686" ht="15.75" customHeight="1">
      <c r="A686" s="16"/>
      <c r="B686" s="16"/>
      <c r="I686" s="17"/>
      <c r="J686" s="17"/>
      <c r="K686" s="17"/>
      <c r="L686" s="17"/>
    </row>
    <row r="687" ht="15.75" customHeight="1">
      <c r="A687" s="16"/>
      <c r="B687" s="16"/>
      <c r="I687" s="17"/>
      <c r="J687" s="17"/>
      <c r="K687" s="17"/>
      <c r="L687" s="17"/>
    </row>
    <row r="688" ht="15.75" customHeight="1">
      <c r="A688" s="16"/>
      <c r="B688" s="16"/>
      <c r="I688" s="17"/>
      <c r="J688" s="17"/>
      <c r="K688" s="17"/>
      <c r="L688" s="17"/>
    </row>
    <row r="689" ht="15.75" customHeight="1">
      <c r="A689" s="16"/>
      <c r="B689" s="16"/>
      <c r="I689" s="17"/>
      <c r="J689" s="17"/>
      <c r="K689" s="17"/>
      <c r="L689" s="17"/>
    </row>
    <row r="690" ht="15.75" customHeight="1">
      <c r="A690" s="16"/>
      <c r="B690" s="16"/>
      <c r="I690" s="17"/>
      <c r="J690" s="17"/>
      <c r="K690" s="17"/>
      <c r="L690" s="17"/>
    </row>
    <row r="691" ht="15.75" customHeight="1">
      <c r="A691" s="16"/>
      <c r="B691" s="16"/>
      <c r="I691" s="17"/>
      <c r="J691" s="17"/>
      <c r="K691" s="17"/>
      <c r="L691" s="17"/>
    </row>
    <row r="692" ht="15.75" customHeight="1">
      <c r="A692" s="16"/>
      <c r="B692" s="16"/>
      <c r="I692" s="17"/>
      <c r="J692" s="17"/>
      <c r="K692" s="17"/>
      <c r="L692" s="17"/>
    </row>
    <row r="693" ht="15.75" customHeight="1">
      <c r="A693" s="16"/>
      <c r="B693" s="16"/>
      <c r="I693" s="17"/>
      <c r="J693" s="17"/>
      <c r="K693" s="17"/>
      <c r="L693" s="17"/>
    </row>
    <row r="694" ht="15.75" customHeight="1">
      <c r="A694" s="16"/>
      <c r="B694" s="16"/>
      <c r="I694" s="17"/>
      <c r="J694" s="17"/>
      <c r="K694" s="17"/>
      <c r="L694" s="17"/>
    </row>
    <row r="695" ht="15.75" customHeight="1">
      <c r="A695" s="16"/>
      <c r="B695" s="16"/>
      <c r="I695" s="17"/>
      <c r="J695" s="17"/>
      <c r="K695" s="17"/>
      <c r="L695" s="17"/>
    </row>
    <row r="696" ht="15.75" customHeight="1">
      <c r="A696" s="16"/>
      <c r="B696" s="16"/>
      <c r="I696" s="17"/>
      <c r="J696" s="17"/>
      <c r="K696" s="17"/>
      <c r="L696" s="17"/>
    </row>
    <row r="697" ht="15.75" customHeight="1">
      <c r="A697" s="16"/>
      <c r="B697" s="16"/>
      <c r="I697" s="17"/>
      <c r="J697" s="17"/>
      <c r="K697" s="17"/>
      <c r="L697" s="17"/>
    </row>
    <row r="698" ht="15.75" customHeight="1">
      <c r="A698" s="16"/>
      <c r="B698" s="16"/>
      <c r="I698" s="17"/>
      <c r="J698" s="17"/>
      <c r="K698" s="17"/>
      <c r="L698" s="17"/>
    </row>
    <row r="699" ht="15.75" customHeight="1">
      <c r="A699" s="16"/>
      <c r="B699" s="16"/>
      <c r="I699" s="17"/>
      <c r="J699" s="17"/>
      <c r="K699" s="17"/>
      <c r="L699" s="17"/>
    </row>
    <row r="700" ht="15.75" customHeight="1">
      <c r="A700" s="16"/>
      <c r="B700" s="16"/>
      <c r="I700" s="17"/>
      <c r="J700" s="17"/>
      <c r="K700" s="17"/>
      <c r="L700" s="17"/>
    </row>
    <row r="701" ht="15.75" customHeight="1">
      <c r="A701" s="16"/>
      <c r="B701" s="16"/>
      <c r="I701" s="17"/>
      <c r="J701" s="17"/>
      <c r="K701" s="17"/>
      <c r="L701" s="17"/>
    </row>
    <row r="702" ht="15.75" customHeight="1">
      <c r="A702" s="16"/>
      <c r="B702" s="16"/>
      <c r="I702" s="17"/>
      <c r="J702" s="17"/>
      <c r="K702" s="17"/>
      <c r="L702" s="17"/>
    </row>
    <row r="703" ht="15.75" customHeight="1">
      <c r="A703" s="16"/>
      <c r="B703" s="16"/>
      <c r="I703" s="17"/>
      <c r="J703" s="17"/>
      <c r="K703" s="17"/>
      <c r="L703" s="17"/>
    </row>
    <row r="704" ht="15.75" customHeight="1">
      <c r="A704" s="16"/>
      <c r="B704" s="16"/>
      <c r="I704" s="17"/>
      <c r="J704" s="17"/>
      <c r="K704" s="17"/>
      <c r="L704" s="17"/>
    </row>
    <row r="705" ht="15.75" customHeight="1">
      <c r="A705" s="16"/>
      <c r="B705" s="16"/>
      <c r="I705" s="17"/>
      <c r="J705" s="17"/>
      <c r="K705" s="17"/>
      <c r="L705" s="17"/>
    </row>
    <row r="706" ht="15.75" customHeight="1">
      <c r="A706" s="16"/>
      <c r="B706" s="16"/>
      <c r="I706" s="17"/>
      <c r="J706" s="17"/>
      <c r="K706" s="17"/>
      <c r="L706" s="17"/>
    </row>
    <row r="707" ht="15.75" customHeight="1">
      <c r="A707" s="16"/>
      <c r="B707" s="16"/>
      <c r="I707" s="17"/>
      <c r="J707" s="17"/>
      <c r="K707" s="17"/>
      <c r="L707" s="17"/>
    </row>
    <row r="708" ht="15.75" customHeight="1">
      <c r="A708" s="16"/>
      <c r="B708" s="16"/>
      <c r="I708" s="17"/>
      <c r="J708" s="17"/>
      <c r="K708" s="17"/>
      <c r="L708" s="17"/>
    </row>
    <row r="709" ht="15.75" customHeight="1">
      <c r="A709" s="16"/>
      <c r="B709" s="16"/>
      <c r="I709" s="17"/>
      <c r="J709" s="17"/>
      <c r="K709" s="17"/>
      <c r="L709" s="17"/>
    </row>
    <row r="710" ht="15.75" customHeight="1">
      <c r="A710" s="16"/>
      <c r="B710" s="16"/>
      <c r="I710" s="17"/>
      <c r="J710" s="17"/>
      <c r="K710" s="17"/>
      <c r="L710" s="17"/>
    </row>
    <row r="711" ht="15.75" customHeight="1">
      <c r="A711" s="16"/>
      <c r="B711" s="16"/>
      <c r="I711" s="17"/>
      <c r="J711" s="17"/>
      <c r="K711" s="17"/>
      <c r="L711" s="17"/>
    </row>
    <row r="712" ht="15.75" customHeight="1">
      <c r="A712" s="16"/>
      <c r="B712" s="16"/>
      <c r="I712" s="17"/>
      <c r="J712" s="17"/>
      <c r="K712" s="17"/>
      <c r="L712" s="17"/>
    </row>
    <row r="713" ht="15.75" customHeight="1">
      <c r="A713" s="16"/>
      <c r="B713" s="16"/>
      <c r="I713" s="17"/>
      <c r="J713" s="17"/>
      <c r="K713" s="17"/>
      <c r="L713" s="17"/>
    </row>
    <row r="714" ht="15.75" customHeight="1">
      <c r="A714" s="16"/>
      <c r="B714" s="16"/>
      <c r="I714" s="17"/>
      <c r="J714" s="17"/>
      <c r="K714" s="17"/>
      <c r="L714" s="17"/>
    </row>
    <row r="715" ht="15.75" customHeight="1">
      <c r="A715" s="16"/>
      <c r="B715" s="16"/>
      <c r="I715" s="17"/>
      <c r="J715" s="17"/>
      <c r="K715" s="17"/>
      <c r="L715" s="17"/>
    </row>
    <row r="716" ht="15.75" customHeight="1">
      <c r="A716" s="16"/>
      <c r="B716" s="16"/>
      <c r="I716" s="17"/>
      <c r="J716" s="17"/>
      <c r="K716" s="17"/>
      <c r="L716" s="17"/>
    </row>
    <row r="717" ht="15.75" customHeight="1">
      <c r="A717" s="16"/>
      <c r="B717" s="16"/>
      <c r="I717" s="17"/>
      <c r="J717" s="17"/>
      <c r="K717" s="17"/>
      <c r="L717" s="17"/>
    </row>
    <row r="718" ht="15.75" customHeight="1">
      <c r="A718" s="16"/>
      <c r="B718" s="16"/>
      <c r="I718" s="17"/>
      <c r="J718" s="17"/>
      <c r="K718" s="17"/>
      <c r="L718" s="17"/>
    </row>
    <row r="719" ht="15.75" customHeight="1">
      <c r="A719" s="16"/>
      <c r="B719" s="16"/>
      <c r="I719" s="17"/>
      <c r="J719" s="17"/>
      <c r="K719" s="17"/>
      <c r="L719" s="17"/>
    </row>
    <row r="720" ht="15.75" customHeight="1">
      <c r="A720" s="16"/>
      <c r="B720" s="16"/>
      <c r="I720" s="17"/>
      <c r="J720" s="17"/>
      <c r="K720" s="17"/>
      <c r="L720" s="17"/>
    </row>
    <row r="721" ht="15.75" customHeight="1">
      <c r="A721" s="16"/>
      <c r="B721" s="16"/>
      <c r="I721" s="17"/>
      <c r="J721" s="17"/>
      <c r="K721" s="17"/>
      <c r="L721" s="17"/>
    </row>
    <row r="722" ht="15.75" customHeight="1">
      <c r="A722" s="16"/>
      <c r="B722" s="16"/>
      <c r="I722" s="17"/>
      <c r="J722" s="17"/>
      <c r="K722" s="17"/>
      <c r="L722" s="17"/>
    </row>
    <row r="723" ht="15.75" customHeight="1">
      <c r="A723" s="16"/>
      <c r="B723" s="16"/>
      <c r="I723" s="17"/>
      <c r="J723" s="17"/>
      <c r="K723" s="17"/>
      <c r="L723" s="17"/>
    </row>
    <row r="724" ht="15.75" customHeight="1">
      <c r="A724" s="16"/>
      <c r="B724" s="16"/>
      <c r="I724" s="17"/>
      <c r="J724" s="17"/>
      <c r="K724" s="17"/>
      <c r="L724" s="17"/>
    </row>
    <row r="725" ht="15.75" customHeight="1">
      <c r="A725" s="16"/>
      <c r="B725" s="16"/>
      <c r="I725" s="17"/>
      <c r="J725" s="17"/>
      <c r="K725" s="17"/>
      <c r="L725" s="17"/>
    </row>
    <row r="726" ht="15.75" customHeight="1">
      <c r="A726" s="16"/>
      <c r="B726" s="16"/>
      <c r="I726" s="17"/>
      <c r="J726" s="17"/>
      <c r="K726" s="17"/>
      <c r="L726" s="17"/>
    </row>
    <row r="727" ht="15.75" customHeight="1">
      <c r="A727" s="16"/>
      <c r="B727" s="16"/>
      <c r="I727" s="17"/>
      <c r="J727" s="17"/>
      <c r="K727" s="17"/>
      <c r="L727" s="17"/>
    </row>
    <row r="728" ht="15.75" customHeight="1">
      <c r="A728" s="16"/>
      <c r="B728" s="16"/>
      <c r="I728" s="17"/>
      <c r="J728" s="17"/>
      <c r="K728" s="17"/>
      <c r="L728" s="17"/>
    </row>
    <row r="729" ht="15.75" customHeight="1">
      <c r="A729" s="16"/>
      <c r="B729" s="16"/>
      <c r="I729" s="17"/>
      <c r="J729" s="17"/>
      <c r="K729" s="17"/>
      <c r="L729" s="17"/>
    </row>
    <row r="730" ht="15.75" customHeight="1">
      <c r="A730" s="16"/>
      <c r="B730" s="16"/>
      <c r="I730" s="17"/>
      <c r="J730" s="17"/>
      <c r="K730" s="17"/>
      <c r="L730" s="17"/>
    </row>
    <row r="731" ht="15.75" customHeight="1">
      <c r="A731" s="16"/>
      <c r="B731" s="16"/>
      <c r="I731" s="17"/>
      <c r="J731" s="17"/>
      <c r="K731" s="17"/>
      <c r="L731" s="17"/>
    </row>
    <row r="732" ht="15.75" customHeight="1">
      <c r="A732" s="16"/>
      <c r="B732" s="16"/>
      <c r="I732" s="17"/>
      <c r="J732" s="17"/>
      <c r="K732" s="17"/>
      <c r="L732" s="17"/>
    </row>
    <row r="733" ht="15.75" customHeight="1">
      <c r="A733" s="16"/>
      <c r="B733" s="16"/>
      <c r="I733" s="17"/>
      <c r="J733" s="17"/>
      <c r="K733" s="17"/>
      <c r="L733" s="17"/>
    </row>
    <row r="734" ht="15.75" customHeight="1">
      <c r="A734" s="16"/>
      <c r="B734" s="16"/>
      <c r="I734" s="17"/>
      <c r="J734" s="17"/>
      <c r="K734" s="17"/>
      <c r="L734" s="17"/>
    </row>
    <row r="735" ht="15.75" customHeight="1">
      <c r="A735" s="16"/>
      <c r="B735" s="16"/>
      <c r="I735" s="17"/>
      <c r="J735" s="17"/>
      <c r="K735" s="17"/>
      <c r="L735" s="17"/>
    </row>
    <row r="736" ht="15.75" customHeight="1">
      <c r="A736" s="16"/>
      <c r="B736" s="16"/>
      <c r="I736" s="17"/>
      <c r="J736" s="17"/>
      <c r="K736" s="17"/>
      <c r="L736" s="17"/>
    </row>
    <row r="737" ht="15.75" customHeight="1">
      <c r="A737" s="16"/>
      <c r="B737" s="16"/>
      <c r="I737" s="17"/>
      <c r="J737" s="17"/>
      <c r="K737" s="17"/>
      <c r="L737" s="17"/>
    </row>
    <row r="738" ht="15.75" customHeight="1">
      <c r="A738" s="16"/>
      <c r="B738" s="16"/>
      <c r="I738" s="17"/>
      <c r="J738" s="17"/>
      <c r="K738" s="17"/>
      <c r="L738" s="17"/>
    </row>
    <row r="739" ht="15.75" customHeight="1">
      <c r="A739" s="16"/>
      <c r="B739" s="16"/>
      <c r="I739" s="17"/>
      <c r="J739" s="17"/>
      <c r="K739" s="17"/>
      <c r="L739" s="17"/>
    </row>
    <row r="740" ht="15.75" customHeight="1">
      <c r="A740" s="16"/>
      <c r="B740" s="16"/>
      <c r="I740" s="17"/>
      <c r="J740" s="17"/>
      <c r="K740" s="17"/>
      <c r="L740" s="17"/>
    </row>
    <row r="741" ht="15.75" customHeight="1">
      <c r="A741" s="16"/>
      <c r="B741" s="16"/>
      <c r="I741" s="17"/>
      <c r="J741" s="17"/>
      <c r="K741" s="17"/>
      <c r="L741" s="17"/>
    </row>
    <row r="742" ht="15.75" customHeight="1">
      <c r="A742" s="16"/>
      <c r="B742" s="16"/>
      <c r="I742" s="17"/>
      <c r="J742" s="17"/>
      <c r="K742" s="17"/>
      <c r="L742" s="17"/>
    </row>
    <row r="743" ht="15.75" customHeight="1">
      <c r="A743" s="16"/>
      <c r="B743" s="16"/>
      <c r="I743" s="17"/>
      <c r="J743" s="17"/>
      <c r="K743" s="17"/>
      <c r="L743" s="17"/>
    </row>
    <row r="744" ht="15.75" customHeight="1">
      <c r="A744" s="16"/>
      <c r="B744" s="16"/>
      <c r="I744" s="17"/>
      <c r="J744" s="17"/>
      <c r="K744" s="17"/>
      <c r="L744" s="17"/>
    </row>
    <row r="745" ht="15.75" customHeight="1">
      <c r="A745" s="16"/>
      <c r="B745" s="16"/>
      <c r="I745" s="17"/>
      <c r="J745" s="17"/>
      <c r="K745" s="17"/>
      <c r="L745" s="17"/>
    </row>
    <row r="746" ht="15.75" customHeight="1">
      <c r="A746" s="16"/>
      <c r="B746" s="16"/>
      <c r="I746" s="17"/>
      <c r="J746" s="17"/>
      <c r="K746" s="17"/>
      <c r="L746" s="17"/>
    </row>
    <row r="747" ht="15.75" customHeight="1">
      <c r="A747" s="16"/>
      <c r="B747" s="16"/>
      <c r="I747" s="17"/>
      <c r="J747" s="17"/>
      <c r="K747" s="17"/>
      <c r="L747" s="17"/>
    </row>
    <row r="748" ht="15.75" customHeight="1">
      <c r="A748" s="16"/>
      <c r="B748" s="16"/>
      <c r="I748" s="17"/>
      <c r="J748" s="17"/>
      <c r="K748" s="17"/>
      <c r="L748" s="17"/>
    </row>
    <row r="749" ht="15.75" customHeight="1">
      <c r="A749" s="16"/>
      <c r="B749" s="16"/>
      <c r="I749" s="17"/>
      <c r="J749" s="17"/>
      <c r="K749" s="17"/>
      <c r="L749" s="17"/>
    </row>
    <row r="750" ht="15.75" customHeight="1">
      <c r="A750" s="16"/>
      <c r="B750" s="16"/>
      <c r="I750" s="17"/>
      <c r="J750" s="17"/>
      <c r="K750" s="17"/>
      <c r="L750" s="17"/>
    </row>
    <row r="751" ht="15.75" customHeight="1">
      <c r="A751" s="16"/>
      <c r="B751" s="16"/>
      <c r="I751" s="17"/>
      <c r="J751" s="17"/>
      <c r="K751" s="17"/>
      <c r="L751" s="17"/>
    </row>
    <row r="752" ht="15.75" customHeight="1">
      <c r="A752" s="16"/>
      <c r="B752" s="16"/>
      <c r="I752" s="17"/>
      <c r="J752" s="17"/>
      <c r="K752" s="17"/>
      <c r="L752" s="17"/>
    </row>
    <row r="753" ht="15.75" customHeight="1">
      <c r="A753" s="16"/>
      <c r="B753" s="16"/>
      <c r="I753" s="17"/>
      <c r="J753" s="17"/>
      <c r="K753" s="17"/>
      <c r="L753" s="17"/>
    </row>
    <row r="754" ht="15.75" customHeight="1">
      <c r="A754" s="16"/>
      <c r="B754" s="16"/>
      <c r="I754" s="17"/>
      <c r="J754" s="17"/>
      <c r="K754" s="17"/>
      <c r="L754" s="17"/>
    </row>
    <row r="755" ht="15.75" customHeight="1">
      <c r="A755" s="16"/>
      <c r="B755" s="16"/>
      <c r="I755" s="17"/>
      <c r="J755" s="17"/>
      <c r="K755" s="17"/>
      <c r="L755" s="17"/>
    </row>
    <row r="756" ht="15.75" customHeight="1">
      <c r="A756" s="16"/>
      <c r="B756" s="16"/>
      <c r="I756" s="17"/>
      <c r="J756" s="17"/>
      <c r="K756" s="17"/>
      <c r="L756" s="17"/>
    </row>
    <row r="757" ht="15.75" customHeight="1">
      <c r="A757" s="16"/>
      <c r="B757" s="16"/>
      <c r="I757" s="17"/>
      <c r="J757" s="17"/>
      <c r="K757" s="17"/>
      <c r="L757" s="17"/>
    </row>
    <row r="758" ht="15.75" customHeight="1">
      <c r="A758" s="16"/>
      <c r="B758" s="16"/>
      <c r="I758" s="17"/>
      <c r="J758" s="17"/>
      <c r="K758" s="17"/>
      <c r="L758" s="17"/>
    </row>
    <row r="759" ht="15.75" customHeight="1">
      <c r="A759" s="16"/>
      <c r="B759" s="16"/>
      <c r="I759" s="17"/>
      <c r="J759" s="17"/>
      <c r="K759" s="17"/>
      <c r="L759" s="17"/>
    </row>
    <row r="760" ht="15.75" customHeight="1">
      <c r="A760" s="16"/>
      <c r="B760" s="16"/>
      <c r="I760" s="17"/>
      <c r="J760" s="17"/>
      <c r="K760" s="17"/>
      <c r="L760" s="17"/>
    </row>
    <row r="761" ht="15.75" customHeight="1">
      <c r="A761" s="16"/>
      <c r="B761" s="16"/>
      <c r="I761" s="17"/>
      <c r="J761" s="17"/>
      <c r="K761" s="17"/>
      <c r="L761" s="17"/>
    </row>
    <row r="762" ht="15.75" customHeight="1">
      <c r="A762" s="16"/>
      <c r="B762" s="16"/>
      <c r="I762" s="17"/>
      <c r="J762" s="17"/>
      <c r="K762" s="17"/>
      <c r="L762" s="17"/>
    </row>
    <row r="763" ht="15.75" customHeight="1">
      <c r="A763" s="16"/>
      <c r="B763" s="16"/>
      <c r="I763" s="17"/>
      <c r="J763" s="17"/>
      <c r="K763" s="17"/>
      <c r="L763" s="17"/>
    </row>
    <row r="764" ht="15.75" customHeight="1">
      <c r="A764" s="16"/>
      <c r="B764" s="16"/>
      <c r="I764" s="17"/>
      <c r="J764" s="17"/>
      <c r="K764" s="17"/>
      <c r="L764" s="17"/>
    </row>
    <row r="765" ht="15.75" customHeight="1">
      <c r="A765" s="16"/>
      <c r="B765" s="16"/>
      <c r="I765" s="17"/>
      <c r="J765" s="17"/>
      <c r="K765" s="17"/>
      <c r="L765" s="17"/>
    </row>
    <row r="766" ht="15.75" customHeight="1">
      <c r="A766" s="16"/>
      <c r="B766" s="16"/>
      <c r="I766" s="17"/>
      <c r="J766" s="17"/>
      <c r="K766" s="17"/>
      <c r="L766" s="17"/>
    </row>
    <row r="767" ht="15.75" customHeight="1">
      <c r="A767" s="16"/>
      <c r="B767" s="16"/>
      <c r="I767" s="17"/>
      <c r="J767" s="17"/>
      <c r="K767" s="17"/>
      <c r="L767" s="17"/>
    </row>
    <row r="768" ht="15.75" customHeight="1">
      <c r="A768" s="16"/>
      <c r="B768" s="16"/>
      <c r="I768" s="17"/>
      <c r="J768" s="17"/>
      <c r="K768" s="17"/>
      <c r="L768" s="17"/>
    </row>
    <row r="769" ht="15.75" customHeight="1">
      <c r="A769" s="16"/>
      <c r="B769" s="16"/>
      <c r="I769" s="17"/>
      <c r="J769" s="17"/>
      <c r="K769" s="17"/>
      <c r="L769" s="17"/>
    </row>
    <row r="770" ht="15.75" customHeight="1">
      <c r="A770" s="16"/>
      <c r="B770" s="16"/>
      <c r="I770" s="17"/>
      <c r="J770" s="17"/>
      <c r="K770" s="17"/>
      <c r="L770" s="17"/>
    </row>
    <row r="771" ht="15.75" customHeight="1">
      <c r="A771" s="16"/>
      <c r="B771" s="16"/>
      <c r="I771" s="17"/>
      <c r="J771" s="17"/>
      <c r="K771" s="17"/>
      <c r="L771" s="17"/>
    </row>
    <row r="772" ht="15.75" customHeight="1">
      <c r="A772" s="16"/>
      <c r="B772" s="16"/>
      <c r="I772" s="17"/>
      <c r="J772" s="17"/>
      <c r="K772" s="17"/>
      <c r="L772" s="17"/>
    </row>
    <row r="773" ht="15.75" customHeight="1">
      <c r="A773" s="16"/>
      <c r="B773" s="16"/>
      <c r="I773" s="17"/>
      <c r="J773" s="17"/>
      <c r="K773" s="17"/>
      <c r="L773" s="17"/>
    </row>
    <row r="774" ht="15.75" customHeight="1">
      <c r="A774" s="16"/>
      <c r="B774" s="16"/>
      <c r="I774" s="17"/>
      <c r="J774" s="17"/>
      <c r="K774" s="17"/>
      <c r="L774" s="17"/>
    </row>
    <row r="775" ht="15.75" customHeight="1">
      <c r="A775" s="16"/>
      <c r="B775" s="16"/>
      <c r="I775" s="17"/>
      <c r="J775" s="17"/>
      <c r="K775" s="17"/>
      <c r="L775" s="17"/>
    </row>
    <row r="776" ht="15.75" customHeight="1">
      <c r="A776" s="16"/>
      <c r="B776" s="16"/>
      <c r="I776" s="17"/>
      <c r="J776" s="17"/>
      <c r="K776" s="17"/>
      <c r="L776" s="17"/>
    </row>
    <row r="777" ht="15.75" customHeight="1">
      <c r="A777" s="16"/>
      <c r="B777" s="16"/>
      <c r="I777" s="17"/>
      <c r="J777" s="17"/>
      <c r="K777" s="17"/>
      <c r="L777" s="17"/>
    </row>
    <row r="778" ht="15.75" customHeight="1">
      <c r="A778" s="16"/>
      <c r="B778" s="16"/>
      <c r="I778" s="17"/>
      <c r="J778" s="17"/>
      <c r="K778" s="17"/>
      <c r="L778" s="17"/>
    </row>
    <row r="779" ht="15.75" customHeight="1">
      <c r="A779" s="16"/>
      <c r="B779" s="16"/>
      <c r="I779" s="17"/>
      <c r="J779" s="17"/>
      <c r="K779" s="17"/>
      <c r="L779" s="17"/>
    </row>
    <row r="780" ht="15.75" customHeight="1">
      <c r="A780" s="16"/>
      <c r="B780" s="16"/>
      <c r="I780" s="17"/>
      <c r="J780" s="17"/>
      <c r="K780" s="17"/>
      <c r="L780" s="17"/>
    </row>
    <row r="781" ht="15.75" customHeight="1">
      <c r="A781" s="16"/>
      <c r="B781" s="16"/>
      <c r="I781" s="17"/>
      <c r="J781" s="17"/>
      <c r="K781" s="17"/>
      <c r="L781" s="17"/>
    </row>
    <row r="782" ht="15.75" customHeight="1">
      <c r="A782" s="16"/>
      <c r="B782" s="16"/>
      <c r="I782" s="17"/>
      <c r="J782" s="17"/>
      <c r="K782" s="17"/>
      <c r="L782" s="17"/>
    </row>
    <row r="783" ht="15.75" customHeight="1">
      <c r="A783" s="16"/>
      <c r="B783" s="16"/>
      <c r="I783" s="17"/>
      <c r="J783" s="17"/>
      <c r="K783" s="17"/>
      <c r="L783" s="17"/>
    </row>
    <row r="784" ht="15.75" customHeight="1">
      <c r="A784" s="16"/>
      <c r="B784" s="16"/>
      <c r="I784" s="17"/>
      <c r="J784" s="17"/>
      <c r="K784" s="17"/>
      <c r="L784" s="17"/>
    </row>
    <row r="785" ht="15.75" customHeight="1">
      <c r="A785" s="16"/>
      <c r="B785" s="16"/>
      <c r="I785" s="17"/>
      <c r="J785" s="17"/>
      <c r="K785" s="17"/>
      <c r="L785" s="17"/>
    </row>
    <row r="786" ht="15.75" customHeight="1">
      <c r="A786" s="16"/>
      <c r="B786" s="16"/>
      <c r="I786" s="17"/>
      <c r="J786" s="17"/>
      <c r="K786" s="17"/>
      <c r="L786" s="17"/>
    </row>
    <row r="787" ht="15.75" customHeight="1">
      <c r="A787" s="16"/>
      <c r="B787" s="16"/>
      <c r="I787" s="17"/>
      <c r="J787" s="17"/>
      <c r="K787" s="17"/>
      <c r="L787" s="17"/>
    </row>
    <row r="788" ht="15.75" customHeight="1">
      <c r="A788" s="16"/>
      <c r="B788" s="16"/>
      <c r="I788" s="17"/>
      <c r="J788" s="17"/>
      <c r="K788" s="17"/>
      <c r="L788" s="17"/>
    </row>
    <row r="789" ht="15.75" customHeight="1">
      <c r="A789" s="16"/>
      <c r="B789" s="16"/>
      <c r="I789" s="17"/>
      <c r="J789" s="17"/>
      <c r="K789" s="17"/>
      <c r="L789" s="17"/>
    </row>
    <row r="790" ht="15.75" customHeight="1">
      <c r="A790" s="16"/>
      <c r="B790" s="16"/>
      <c r="I790" s="17"/>
      <c r="J790" s="17"/>
      <c r="K790" s="17"/>
      <c r="L790" s="17"/>
    </row>
    <row r="791" ht="15.75" customHeight="1">
      <c r="A791" s="16"/>
      <c r="B791" s="16"/>
      <c r="I791" s="17"/>
      <c r="J791" s="17"/>
      <c r="K791" s="17"/>
      <c r="L791" s="17"/>
    </row>
    <row r="792" ht="15.75" customHeight="1">
      <c r="A792" s="16"/>
      <c r="B792" s="16"/>
      <c r="I792" s="17"/>
      <c r="J792" s="17"/>
      <c r="K792" s="17"/>
      <c r="L792" s="17"/>
    </row>
    <row r="793" ht="15.75" customHeight="1">
      <c r="A793" s="16"/>
      <c r="B793" s="16"/>
      <c r="I793" s="17"/>
      <c r="J793" s="17"/>
      <c r="K793" s="17"/>
      <c r="L793" s="17"/>
    </row>
    <row r="794" ht="15.75" customHeight="1">
      <c r="A794" s="16"/>
      <c r="B794" s="16"/>
      <c r="I794" s="17"/>
      <c r="J794" s="17"/>
      <c r="K794" s="17"/>
      <c r="L794" s="17"/>
    </row>
    <row r="795" ht="15.75" customHeight="1">
      <c r="A795" s="16"/>
      <c r="B795" s="16"/>
      <c r="I795" s="17"/>
      <c r="J795" s="17"/>
      <c r="K795" s="17"/>
      <c r="L795" s="17"/>
    </row>
    <row r="796" ht="15.75" customHeight="1">
      <c r="A796" s="16"/>
      <c r="B796" s="16"/>
      <c r="I796" s="17"/>
      <c r="J796" s="17"/>
      <c r="K796" s="17"/>
      <c r="L796" s="17"/>
    </row>
    <row r="797" ht="15.75" customHeight="1">
      <c r="A797" s="16"/>
      <c r="B797" s="16"/>
      <c r="I797" s="17"/>
      <c r="J797" s="17"/>
      <c r="K797" s="17"/>
      <c r="L797" s="17"/>
    </row>
    <row r="798" ht="15.75" customHeight="1">
      <c r="A798" s="16"/>
      <c r="B798" s="16"/>
      <c r="I798" s="17"/>
      <c r="J798" s="17"/>
      <c r="K798" s="17"/>
      <c r="L798" s="17"/>
    </row>
    <row r="799" ht="15.75" customHeight="1">
      <c r="A799" s="16"/>
      <c r="B799" s="16"/>
      <c r="I799" s="17"/>
      <c r="J799" s="17"/>
      <c r="K799" s="17"/>
      <c r="L799" s="17"/>
    </row>
    <row r="800" ht="15.75" customHeight="1">
      <c r="A800" s="16"/>
      <c r="B800" s="16"/>
      <c r="I800" s="17"/>
      <c r="J800" s="17"/>
      <c r="K800" s="17"/>
      <c r="L800" s="17"/>
    </row>
    <row r="801" ht="15.75" customHeight="1">
      <c r="A801" s="16"/>
      <c r="B801" s="16"/>
      <c r="I801" s="17"/>
      <c r="J801" s="17"/>
      <c r="K801" s="17"/>
      <c r="L801" s="17"/>
    </row>
    <row r="802" ht="15.75" customHeight="1">
      <c r="A802" s="16"/>
      <c r="B802" s="16"/>
      <c r="I802" s="17"/>
      <c r="J802" s="17"/>
      <c r="K802" s="17"/>
      <c r="L802" s="17"/>
    </row>
    <row r="803" ht="15.75" customHeight="1">
      <c r="A803" s="16"/>
      <c r="B803" s="16"/>
      <c r="I803" s="17"/>
      <c r="J803" s="17"/>
      <c r="K803" s="17"/>
      <c r="L803" s="17"/>
    </row>
    <row r="804" ht="15.75" customHeight="1">
      <c r="A804" s="16"/>
      <c r="B804" s="16"/>
      <c r="I804" s="17"/>
      <c r="J804" s="17"/>
      <c r="K804" s="17"/>
      <c r="L804" s="17"/>
    </row>
    <row r="805" ht="15.75" customHeight="1">
      <c r="A805" s="16"/>
      <c r="B805" s="16"/>
      <c r="I805" s="17"/>
      <c r="J805" s="17"/>
      <c r="K805" s="17"/>
      <c r="L805" s="17"/>
    </row>
    <row r="806" ht="15.75" customHeight="1">
      <c r="A806" s="16"/>
      <c r="B806" s="16"/>
      <c r="I806" s="17"/>
      <c r="J806" s="17"/>
      <c r="K806" s="17"/>
      <c r="L806" s="17"/>
    </row>
    <row r="807" ht="15.75" customHeight="1">
      <c r="A807" s="16"/>
      <c r="B807" s="16"/>
      <c r="I807" s="17"/>
      <c r="J807" s="17"/>
      <c r="K807" s="17"/>
      <c r="L807" s="17"/>
    </row>
    <row r="808" ht="15.75" customHeight="1">
      <c r="A808" s="16"/>
      <c r="B808" s="16"/>
      <c r="I808" s="17"/>
      <c r="J808" s="17"/>
      <c r="K808" s="17"/>
      <c r="L808" s="17"/>
    </row>
    <row r="809" ht="15.75" customHeight="1">
      <c r="A809" s="16"/>
      <c r="B809" s="16"/>
      <c r="I809" s="17"/>
      <c r="J809" s="17"/>
      <c r="K809" s="17"/>
      <c r="L809" s="17"/>
    </row>
    <row r="810" ht="15.75" customHeight="1">
      <c r="A810" s="16"/>
      <c r="B810" s="16"/>
      <c r="I810" s="17"/>
      <c r="J810" s="17"/>
      <c r="K810" s="17"/>
      <c r="L810" s="17"/>
    </row>
    <row r="811" ht="15.75" customHeight="1">
      <c r="A811" s="16"/>
      <c r="B811" s="16"/>
      <c r="I811" s="17"/>
      <c r="J811" s="17"/>
      <c r="K811" s="17"/>
      <c r="L811" s="17"/>
    </row>
    <row r="812" ht="15.75" customHeight="1">
      <c r="A812" s="16"/>
      <c r="B812" s="16"/>
      <c r="I812" s="17"/>
      <c r="J812" s="17"/>
      <c r="K812" s="17"/>
      <c r="L812" s="17"/>
    </row>
    <row r="813" ht="15.75" customHeight="1">
      <c r="A813" s="16"/>
      <c r="B813" s="16"/>
      <c r="I813" s="17"/>
      <c r="J813" s="17"/>
      <c r="K813" s="17"/>
      <c r="L813" s="17"/>
    </row>
    <row r="814" ht="15.75" customHeight="1">
      <c r="A814" s="16"/>
      <c r="B814" s="16"/>
      <c r="I814" s="17"/>
      <c r="J814" s="17"/>
      <c r="K814" s="17"/>
      <c r="L814" s="17"/>
    </row>
    <row r="815" ht="15.75" customHeight="1">
      <c r="A815" s="16"/>
      <c r="B815" s="16"/>
      <c r="I815" s="17"/>
      <c r="J815" s="17"/>
      <c r="K815" s="17"/>
      <c r="L815" s="17"/>
    </row>
    <row r="816" ht="15.75" customHeight="1">
      <c r="A816" s="16"/>
      <c r="B816" s="16"/>
      <c r="I816" s="17"/>
      <c r="J816" s="17"/>
      <c r="K816" s="17"/>
      <c r="L816" s="17"/>
    </row>
    <row r="817" ht="15.75" customHeight="1">
      <c r="A817" s="16"/>
      <c r="B817" s="16"/>
      <c r="I817" s="17"/>
      <c r="J817" s="17"/>
      <c r="K817" s="17"/>
      <c r="L817" s="17"/>
    </row>
    <row r="818" ht="15.75" customHeight="1">
      <c r="A818" s="16"/>
      <c r="B818" s="16"/>
      <c r="I818" s="17"/>
      <c r="J818" s="17"/>
      <c r="K818" s="17"/>
      <c r="L818" s="17"/>
    </row>
    <row r="819" ht="15.75" customHeight="1">
      <c r="A819" s="16"/>
      <c r="B819" s="16"/>
      <c r="I819" s="17"/>
      <c r="J819" s="17"/>
      <c r="K819" s="17"/>
      <c r="L819" s="17"/>
    </row>
    <row r="820" ht="15.75" customHeight="1">
      <c r="A820" s="16"/>
      <c r="B820" s="16"/>
      <c r="I820" s="17"/>
      <c r="J820" s="17"/>
      <c r="K820" s="17"/>
      <c r="L820" s="17"/>
    </row>
    <row r="821" ht="15.75" customHeight="1">
      <c r="A821" s="16"/>
      <c r="B821" s="16"/>
      <c r="I821" s="17"/>
      <c r="J821" s="17"/>
      <c r="K821" s="17"/>
      <c r="L821" s="17"/>
    </row>
    <row r="822" ht="15.75" customHeight="1">
      <c r="A822" s="16"/>
      <c r="B822" s="16"/>
      <c r="I822" s="17"/>
      <c r="J822" s="17"/>
      <c r="K822" s="17"/>
      <c r="L822" s="17"/>
    </row>
    <row r="823" ht="15.75" customHeight="1">
      <c r="A823" s="16"/>
      <c r="B823" s="16"/>
      <c r="I823" s="17"/>
      <c r="J823" s="17"/>
      <c r="K823" s="17"/>
      <c r="L823" s="17"/>
    </row>
    <row r="824" ht="15.75" customHeight="1">
      <c r="A824" s="16"/>
      <c r="B824" s="16"/>
      <c r="I824" s="17"/>
      <c r="J824" s="17"/>
      <c r="K824" s="17"/>
      <c r="L824" s="17"/>
    </row>
    <row r="825" ht="15.75" customHeight="1">
      <c r="A825" s="16"/>
      <c r="B825" s="16"/>
      <c r="I825" s="17"/>
      <c r="J825" s="17"/>
      <c r="K825" s="17"/>
      <c r="L825" s="17"/>
    </row>
    <row r="826" ht="15.75" customHeight="1">
      <c r="A826" s="16"/>
      <c r="B826" s="16"/>
      <c r="I826" s="17"/>
      <c r="J826" s="17"/>
      <c r="K826" s="17"/>
      <c r="L826" s="17"/>
    </row>
    <row r="827" ht="15.75" customHeight="1">
      <c r="A827" s="16"/>
      <c r="B827" s="16"/>
      <c r="I827" s="17"/>
      <c r="J827" s="17"/>
      <c r="K827" s="17"/>
      <c r="L827" s="17"/>
    </row>
    <row r="828" ht="15.75" customHeight="1">
      <c r="A828" s="16"/>
      <c r="B828" s="16"/>
      <c r="I828" s="17"/>
      <c r="J828" s="17"/>
      <c r="K828" s="17"/>
      <c r="L828" s="17"/>
    </row>
    <row r="829" ht="15.75" customHeight="1">
      <c r="A829" s="16"/>
      <c r="B829" s="16"/>
      <c r="I829" s="17"/>
      <c r="J829" s="17"/>
      <c r="K829" s="17"/>
      <c r="L829" s="17"/>
    </row>
    <row r="830" ht="15.75" customHeight="1">
      <c r="A830" s="16"/>
      <c r="B830" s="16"/>
      <c r="I830" s="17"/>
      <c r="J830" s="17"/>
      <c r="K830" s="17"/>
      <c r="L830" s="17"/>
    </row>
    <row r="831" ht="15.75" customHeight="1">
      <c r="A831" s="16"/>
      <c r="B831" s="16"/>
      <c r="I831" s="17"/>
      <c r="J831" s="17"/>
      <c r="K831" s="17"/>
      <c r="L831" s="17"/>
    </row>
    <row r="832" ht="15.75" customHeight="1">
      <c r="A832" s="16"/>
      <c r="B832" s="16"/>
      <c r="I832" s="17"/>
      <c r="J832" s="17"/>
      <c r="K832" s="17"/>
      <c r="L832" s="17"/>
    </row>
    <row r="833" ht="15.75" customHeight="1">
      <c r="A833" s="16"/>
      <c r="B833" s="16"/>
      <c r="I833" s="17"/>
      <c r="J833" s="17"/>
      <c r="K833" s="17"/>
      <c r="L833" s="17"/>
    </row>
    <row r="834" ht="15.75" customHeight="1">
      <c r="A834" s="16"/>
      <c r="B834" s="16"/>
      <c r="I834" s="17"/>
      <c r="J834" s="17"/>
      <c r="K834" s="17"/>
      <c r="L834" s="17"/>
    </row>
    <row r="835" ht="15.75" customHeight="1">
      <c r="A835" s="16"/>
      <c r="B835" s="16"/>
      <c r="I835" s="17"/>
      <c r="J835" s="17"/>
      <c r="K835" s="17"/>
      <c r="L835" s="17"/>
    </row>
    <row r="836" ht="15.75" customHeight="1">
      <c r="A836" s="16"/>
      <c r="B836" s="16"/>
      <c r="I836" s="17"/>
      <c r="J836" s="17"/>
      <c r="K836" s="17"/>
      <c r="L836" s="17"/>
    </row>
    <row r="837" ht="15.75" customHeight="1">
      <c r="A837" s="16"/>
      <c r="B837" s="16"/>
      <c r="I837" s="17"/>
      <c r="J837" s="17"/>
      <c r="K837" s="17"/>
      <c r="L837" s="17"/>
    </row>
    <row r="838" ht="15.75" customHeight="1">
      <c r="A838" s="16"/>
      <c r="B838" s="16"/>
      <c r="I838" s="17"/>
      <c r="J838" s="17"/>
      <c r="K838" s="17"/>
      <c r="L838" s="17"/>
    </row>
    <row r="839" ht="15.75" customHeight="1">
      <c r="A839" s="16"/>
      <c r="B839" s="16"/>
      <c r="I839" s="17"/>
      <c r="J839" s="17"/>
      <c r="K839" s="17"/>
      <c r="L839" s="17"/>
    </row>
    <row r="840" ht="15.75" customHeight="1">
      <c r="A840" s="16"/>
      <c r="B840" s="16"/>
      <c r="I840" s="17"/>
      <c r="J840" s="17"/>
      <c r="K840" s="17"/>
      <c r="L840" s="17"/>
    </row>
    <row r="841" ht="15.75" customHeight="1">
      <c r="A841" s="16"/>
      <c r="B841" s="16"/>
      <c r="I841" s="17"/>
      <c r="J841" s="17"/>
      <c r="K841" s="17"/>
      <c r="L841" s="17"/>
    </row>
    <row r="842" ht="15.75" customHeight="1">
      <c r="A842" s="16"/>
      <c r="B842" s="16"/>
      <c r="I842" s="17"/>
      <c r="J842" s="17"/>
      <c r="K842" s="17"/>
      <c r="L842" s="17"/>
    </row>
    <row r="843" ht="15.75" customHeight="1">
      <c r="A843" s="16"/>
      <c r="B843" s="16"/>
      <c r="I843" s="17"/>
      <c r="J843" s="17"/>
      <c r="K843" s="17"/>
      <c r="L843" s="17"/>
    </row>
    <row r="844" ht="15.75" customHeight="1">
      <c r="A844" s="16"/>
      <c r="B844" s="16"/>
      <c r="I844" s="17"/>
      <c r="J844" s="17"/>
      <c r="K844" s="17"/>
      <c r="L844" s="17"/>
    </row>
    <row r="845" ht="15.75" customHeight="1">
      <c r="A845" s="16"/>
      <c r="B845" s="16"/>
      <c r="I845" s="17"/>
      <c r="J845" s="17"/>
      <c r="K845" s="17"/>
      <c r="L845" s="17"/>
    </row>
    <row r="846" ht="15.75" customHeight="1">
      <c r="A846" s="16"/>
      <c r="B846" s="16"/>
      <c r="I846" s="17"/>
      <c r="J846" s="17"/>
      <c r="K846" s="17"/>
      <c r="L846" s="17"/>
    </row>
    <row r="847" ht="15.75" customHeight="1">
      <c r="A847" s="16"/>
      <c r="B847" s="16"/>
      <c r="I847" s="17"/>
      <c r="J847" s="17"/>
      <c r="K847" s="17"/>
      <c r="L847" s="17"/>
    </row>
    <row r="848" ht="15.75" customHeight="1">
      <c r="A848" s="16"/>
      <c r="B848" s="16"/>
      <c r="I848" s="17"/>
      <c r="J848" s="17"/>
      <c r="K848" s="17"/>
      <c r="L848" s="17"/>
    </row>
    <row r="849" ht="15.75" customHeight="1">
      <c r="A849" s="16"/>
      <c r="B849" s="16"/>
      <c r="I849" s="17"/>
      <c r="J849" s="17"/>
      <c r="K849" s="17"/>
      <c r="L849" s="17"/>
    </row>
    <row r="850" ht="15.75" customHeight="1">
      <c r="A850" s="16"/>
      <c r="B850" s="16"/>
      <c r="I850" s="17"/>
      <c r="J850" s="17"/>
      <c r="K850" s="17"/>
      <c r="L850" s="17"/>
    </row>
    <row r="851" ht="15.75" customHeight="1">
      <c r="A851" s="16"/>
      <c r="B851" s="16"/>
      <c r="I851" s="17"/>
      <c r="J851" s="17"/>
      <c r="K851" s="17"/>
      <c r="L851" s="17"/>
    </row>
    <row r="852" ht="15.75" customHeight="1">
      <c r="A852" s="16"/>
      <c r="B852" s="16"/>
      <c r="I852" s="17"/>
      <c r="J852" s="17"/>
      <c r="K852" s="17"/>
      <c r="L852" s="17"/>
    </row>
    <row r="853" ht="15.75" customHeight="1">
      <c r="A853" s="16"/>
      <c r="B853" s="16"/>
      <c r="I853" s="17"/>
      <c r="J853" s="17"/>
      <c r="K853" s="17"/>
      <c r="L853" s="17"/>
    </row>
    <row r="854" ht="15.75" customHeight="1">
      <c r="A854" s="16"/>
      <c r="B854" s="16"/>
      <c r="I854" s="17"/>
      <c r="J854" s="17"/>
      <c r="K854" s="17"/>
      <c r="L854" s="17"/>
    </row>
    <row r="855" ht="15.75" customHeight="1">
      <c r="A855" s="16"/>
      <c r="B855" s="16"/>
      <c r="I855" s="17"/>
      <c r="J855" s="17"/>
      <c r="K855" s="17"/>
      <c r="L855" s="17"/>
    </row>
    <row r="856" ht="15.75" customHeight="1">
      <c r="A856" s="16"/>
      <c r="B856" s="16"/>
      <c r="I856" s="17"/>
      <c r="J856" s="17"/>
      <c r="K856" s="17"/>
      <c r="L856" s="17"/>
    </row>
    <row r="857" ht="15.75" customHeight="1">
      <c r="A857" s="16"/>
      <c r="B857" s="16"/>
      <c r="I857" s="17"/>
      <c r="J857" s="17"/>
      <c r="K857" s="17"/>
      <c r="L857" s="17"/>
    </row>
    <row r="858" ht="15.75" customHeight="1">
      <c r="A858" s="16"/>
      <c r="B858" s="16"/>
      <c r="I858" s="17"/>
      <c r="J858" s="17"/>
      <c r="K858" s="17"/>
      <c r="L858" s="17"/>
    </row>
    <row r="859" ht="15.75" customHeight="1">
      <c r="A859" s="16"/>
      <c r="B859" s="16"/>
      <c r="I859" s="17"/>
      <c r="J859" s="17"/>
      <c r="K859" s="17"/>
      <c r="L859" s="17"/>
    </row>
    <row r="860" ht="15.75" customHeight="1">
      <c r="A860" s="16"/>
      <c r="B860" s="16"/>
      <c r="I860" s="17"/>
      <c r="J860" s="17"/>
      <c r="K860" s="17"/>
      <c r="L860" s="17"/>
    </row>
    <row r="861" ht="15.75" customHeight="1">
      <c r="A861" s="16"/>
      <c r="B861" s="16"/>
      <c r="I861" s="17"/>
      <c r="J861" s="17"/>
      <c r="K861" s="17"/>
      <c r="L861" s="17"/>
    </row>
    <row r="862" ht="15.75" customHeight="1">
      <c r="A862" s="16"/>
      <c r="B862" s="16"/>
      <c r="I862" s="17"/>
      <c r="J862" s="17"/>
      <c r="K862" s="17"/>
      <c r="L862" s="17"/>
    </row>
    <row r="863" ht="15.75" customHeight="1">
      <c r="A863" s="16"/>
      <c r="B863" s="16"/>
      <c r="I863" s="17"/>
      <c r="J863" s="17"/>
      <c r="K863" s="17"/>
      <c r="L863" s="17"/>
    </row>
    <row r="864" ht="15.75" customHeight="1">
      <c r="A864" s="16"/>
      <c r="B864" s="16"/>
      <c r="I864" s="17"/>
      <c r="J864" s="17"/>
      <c r="K864" s="17"/>
      <c r="L864" s="17"/>
    </row>
    <row r="865" ht="15.75" customHeight="1">
      <c r="A865" s="16"/>
      <c r="B865" s="16"/>
      <c r="I865" s="17"/>
      <c r="J865" s="17"/>
      <c r="K865" s="17"/>
      <c r="L865" s="17"/>
    </row>
    <row r="866" ht="15.75" customHeight="1">
      <c r="A866" s="16"/>
      <c r="B866" s="16"/>
      <c r="I866" s="17"/>
      <c r="J866" s="17"/>
      <c r="K866" s="17"/>
      <c r="L866" s="17"/>
    </row>
    <row r="867" ht="15.75" customHeight="1">
      <c r="A867" s="16"/>
      <c r="B867" s="16"/>
      <c r="I867" s="17"/>
      <c r="J867" s="17"/>
      <c r="K867" s="17"/>
      <c r="L867" s="17"/>
    </row>
    <row r="868" ht="15.75" customHeight="1">
      <c r="A868" s="16"/>
      <c r="B868" s="16"/>
      <c r="I868" s="17"/>
      <c r="J868" s="17"/>
      <c r="K868" s="17"/>
      <c r="L868" s="17"/>
    </row>
    <row r="869" ht="15.75" customHeight="1">
      <c r="A869" s="16"/>
      <c r="B869" s="16"/>
      <c r="I869" s="17"/>
      <c r="J869" s="17"/>
      <c r="K869" s="17"/>
      <c r="L869" s="17"/>
    </row>
    <row r="870" ht="15.75" customHeight="1">
      <c r="A870" s="16"/>
      <c r="B870" s="16"/>
      <c r="I870" s="17"/>
      <c r="J870" s="17"/>
      <c r="K870" s="17"/>
      <c r="L870" s="17"/>
    </row>
    <row r="871" ht="15.75" customHeight="1">
      <c r="A871" s="16"/>
      <c r="B871" s="16"/>
      <c r="I871" s="17"/>
      <c r="J871" s="17"/>
      <c r="K871" s="17"/>
      <c r="L871" s="17"/>
    </row>
    <row r="872" ht="15.75" customHeight="1">
      <c r="A872" s="16"/>
      <c r="B872" s="16"/>
      <c r="I872" s="17"/>
      <c r="J872" s="17"/>
      <c r="K872" s="17"/>
      <c r="L872" s="17"/>
    </row>
    <row r="873" ht="15.75" customHeight="1">
      <c r="A873" s="16"/>
      <c r="B873" s="16"/>
      <c r="I873" s="17"/>
      <c r="J873" s="17"/>
      <c r="K873" s="17"/>
      <c r="L873" s="17"/>
    </row>
    <row r="874" ht="15.75" customHeight="1">
      <c r="A874" s="16"/>
      <c r="B874" s="16"/>
      <c r="I874" s="17"/>
      <c r="J874" s="17"/>
      <c r="K874" s="17"/>
      <c r="L874" s="17"/>
    </row>
    <row r="875" ht="15.75" customHeight="1">
      <c r="A875" s="16"/>
      <c r="B875" s="16"/>
      <c r="I875" s="17"/>
      <c r="J875" s="17"/>
      <c r="K875" s="17"/>
      <c r="L875" s="17"/>
    </row>
    <row r="876" ht="15.75" customHeight="1">
      <c r="A876" s="16"/>
      <c r="B876" s="16"/>
      <c r="I876" s="17"/>
      <c r="J876" s="17"/>
      <c r="K876" s="17"/>
      <c r="L876" s="17"/>
    </row>
    <row r="877" ht="15.75" customHeight="1">
      <c r="A877" s="16"/>
      <c r="B877" s="16"/>
      <c r="I877" s="17"/>
      <c r="J877" s="17"/>
      <c r="K877" s="17"/>
      <c r="L877" s="17"/>
    </row>
    <row r="878" ht="15.75" customHeight="1">
      <c r="A878" s="16"/>
      <c r="B878" s="16"/>
      <c r="I878" s="17"/>
      <c r="J878" s="17"/>
      <c r="K878" s="17"/>
      <c r="L878" s="17"/>
    </row>
    <row r="879" ht="15.75" customHeight="1">
      <c r="A879" s="16"/>
      <c r="B879" s="16"/>
      <c r="I879" s="17"/>
      <c r="J879" s="17"/>
      <c r="K879" s="17"/>
      <c r="L879" s="17"/>
    </row>
    <row r="880" ht="15.75" customHeight="1">
      <c r="A880" s="16"/>
      <c r="B880" s="16"/>
      <c r="I880" s="17"/>
      <c r="J880" s="17"/>
      <c r="K880" s="17"/>
      <c r="L880" s="17"/>
    </row>
    <row r="881" ht="15.75" customHeight="1">
      <c r="A881" s="16"/>
      <c r="B881" s="16"/>
      <c r="I881" s="17"/>
      <c r="J881" s="17"/>
      <c r="K881" s="17"/>
      <c r="L881" s="17"/>
    </row>
    <row r="882" ht="15.75" customHeight="1">
      <c r="A882" s="16"/>
      <c r="B882" s="16"/>
      <c r="I882" s="17"/>
      <c r="J882" s="17"/>
      <c r="K882" s="17"/>
      <c r="L882" s="17"/>
    </row>
    <row r="883" ht="15.75" customHeight="1">
      <c r="A883" s="16"/>
      <c r="B883" s="16"/>
      <c r="I883" s="17"/>
      <c r="J883" s="17"/>
      <c r="K883" s="17"/>
      <c r="L883" s="17"/>
    </row>
    <row r="884" ht="15.75" customHeight="1">
      <c r="A884" s="16"/>
      <c r="B884" s="16"/>
      <c r="I884" s="17"/>
      <c r="J884" s="17"/>
      <c r="K884" s="17"/>
      <c r="L884" s="17"/>
    </row>
    <row r="885" ht="15.75" customHeight="1">
      <c r="A885" s="16"/>
      <c r="B885" s="16"/>
      <c r="I885" s="17"/>
      <c r="J885" s="17"/>
      <c r="K885" s="17"/>
      <c r="L885" s="17"/>
    </row>
    <row r="886" ht="15.75" customHeight="1">
      <c r="A886" s="16"/>
      <c r="B886" s="16"/>
      <c r="I886" s="17"/>
      <c r="J886" s="17"/>
      <c r="K886" s="17"/>
      <c r="L886" s="17"/>
    </row>
    <row r="887" ht="15.75" customHeight="1">
      <c r="A887" s="16"/>
      <c r="B887" s="16"/>
      <c r="I887" s="17"/>
      <c r="J887" s="17"/>
      <c r="K887" s="17"/>
      <c r="L887" s="17"/>
    </row>
    <row r="888" ht="15.75" customHeight="1">
      <c r="A888" s="16"/>
      <c r="B888" s="16"/>
      <c r="I888" s="17"/>
      <c r="J888" s="17"/>
      <c r="K888" s="17"/>
      <c r="L888" s="17"/>
    </row>
    <row r="889" ht="15.75" customHeight="1">
      <c r="A889" s="16"/>
      <c r="B889" s="16"/>
      <c r="I889" s="17"/>
      <c r="J889" s="17"/>
      <c r="K889" s="17"/>
      <c r="L889" s="17"/>
    </row>
    <row r="890" ht="15.75" customHeight="1">
      <c r="A890" s="16"/>
      <c r="B890" s="16"/>
      <c r="I890" s="17"/>
      <c r="J890" s="17"/>
      <c r="K890" s="17"/>
      <c r="L890" s="17"/>
    </row>
    <row r="891" ht="15.75" customHeight="1">
      <c r="A891" s="16"/>
      <c r="B891" s="16"/>
      <c r="I891" s="17"/>
      <c r="J891" s="17"/>
      <c r="K891" s="17"/>
      <c r="L891" s="17"/>
    </row>
    <row r="892" ht="15.75" customHeight="1">
      <c r="A892" s="16"/>
      <c r="B892" s="16"/>
      <c r="I892" s="17"/>
      <c r="J892" s="17"/>
      <c r="K892" s="17"/>
      <c r="L892" s="17"/>
    </row>
    <row r="893" ht="15.75" customHeight="1">
      <c r="A893" s="16"/>
      <c r="B893" s="16"/>
      <c r="I893" s="17"/>
      <c r="J893" s="17"/>
      <c r="K893" s="17"/>
      <c r="L893" s="17"/>
    </row>
    <row r="894" ht="15.75" customHeight="1">
      <c r="A894" s="16"/>
      <c r="B894" s="16"/>
      <c r="I894" s="17"/>
      <c r="J894" s="17"/>
      <c r="K894" s="17"/>
      <c r="L894" s="17"/>
    </row>
    <row r="895" ht="15.75" customHeight="1">
      <c r="A895" s="16"/>
      <c r="B895" s="16"/>
      <c r="I895" s="17"/>
      <c r="J895" s="17"/>
      <c r="K895" s="17"/>
      <c r="L895" s="17"/>
    </row>
    <row r="896" ht="15.75" customHeight="1">
      <c r="A896" s="16"/>
      <c r="B896" s="16"/>
      <c r="I896" s="17"/>
      <c r="J896" s="17"/>
      <c r="K896" s="17"/>
      <c r="L896" s="17"/>
    </row>
    <row r="897" ht="15.75" customHeight="1">
      <c r="A897" s="16"/>
      <c r="B897" s="16"/>
      <c r="I897" s="17"/>
      <c r="J897" s="17"/>
      <c r="K897" s="17"/>
      <c r="L897" s="17"/>
    </row>
    <row r="898" ht="15.75" customHeight="1">
      <c r="A898" s="16"/>
      <c r="B898" s="16"/>
      <c r="I898" s="17"/>
      <c r="J898" s="17"/>
      <c r="K898" s="17"/>
      <c r="L898" s="17"/>
    </row>
    <row r="899" ht="15.75" customHeight="1">
      <c r="A899" s="16"/>
      <c r="B899" s="16"/>
      <c r="I899" s="17"/>
      <c r="J899" s="17"/>
      <c r="K899" s="17"/>
      <c r="L899" s="17"/>
    </row>
    <row r="900" ht="15.75" customHeight="1">
      <c r="A900" s="16"/>
      <c r="B900" s="16"/>
      <c r="I900" s="17"/>
      <c r="J900" s="17"/>
      <c r="K900" s="17"/>
      <c r="L900" s="17"/>
    </row>
    <row r="901" ht="15.75" customHeight="1">
      <c r="A901" s="16"/>
      <c r="B901" s="16"/>
      <c r="I901" s="17"/>
      <c r="J901" s="17"/>
      <c r="K901" s="17"/>
      <c r="L901" s="17"/>
    </row>
    <row r="902" ht="15.75" customHeight="1">
      <c r="A902" s="16"/>
      <c r="B902" s="16"/>
      <c r="I902" s="17"/>
      <c r="J902" s="17"/>
      <c r="K902" s="17"/>
      <c r="L902" s="17"/>
    </row>
    <row r="903" ht="15.75" customHeight="1">
      <c r="A903" s="16"/>
      <c r="B903" s="16"/>
      <c r="I903" s="17"/>
      <c r="J903" s="17"/>
      <c r="K903" s="17"/>
      <c r="L903" s="17"/>
    </row>
    <row r="904" ht="15.75" customHeight="1">
      <c r="A904" s="16"/>
      <c r="B904" s="16"/>
      <c r="I904" s="17"/>
      <c r="J904" s="17"/>
      <c r="K904" s="17"/>
      <c r="L904" s="17"/>
    </row>
    <row r="905" ht="15.75" customHeight="1">
      <c r="A905" s="16"/>
      <c r="B905" s="16"/>
      <c r="I905" s="17"/>
      <c r="J905" s="17"/>
      <c r="K905" s="17"/>
      <c r="L905" s="17"/>
    </row>
    <row r="906" ht="15.75" customHeight="1">
      <c r="A906" s="16"/>
      <c r="B906" s="16"/>
      <c r="I906" s="17"/>
      <c r="J906" s="17"/>
      <c r="K906" s="17"/>
      <c r="L906" s="17"/>
    </row>
    <row r="907" ht="15.75" customHeight="1">
      <c r="A907" s="16"/>
      <c r="B907" s="16"/>
      <c r="I907" s="17"/>
      <c r="J907" s="17"/>
      <c r="K907" s="17"/>
      <c r="L907" s="17"/>
    </row>
    <row r="908" ht="15.75" customHeight="1">
      <c r="A908" s="16"/>
      <c r="B908" s="16"/>
      <c r="I908" s="17"/>
      <c r="J908" s="17"/>
      <c r="K908" s="17"/>
      <c r="L908" s="17"/>
    </row>
    <row r="909" ht="15.75" customHeight="1">
      <c r="A909" s="16"/>
      <c r="B909" s="16"/>
      <c r="I909" s="17"/>
      <c r="J909" s="17"/>
      <c r="K909" s="17"/>
      <c r="L909" s="17"/>
    </row>
    <row r="910" ht="15.75" customHeight="1">
      <c r="A910" s="16"/>
      <c r="B910" s="16"/>
      <c r="I910" s="17"/>
      <c r="J910" s="17"/>
      <c r="K910" s="17"/>
      <c r="L910" s="17"/>
    </row>
    <row r="911" ht="15.75" customHeight="1">
      <c r="A911" s="16"/>
      <c r="B911" s="16"/>
      <c r="I911" s="17"/>
      <c r="J911" s="17"/>
      <c r="K911" s="17"/>
      <c r="L911" s="17"/>
    </row>
    <row r="912" ht="15.75" customHeight="1">
      <c r="A912" s="16"/>
      <c r="B912" s="16"/>
      <c r="I912" s="17"/>
      <c r="J912" s="17"/>
      <c r="K912" s="17"/>
      <c r="L912" s="17"/>
    </row>
    <row r="913" ht="15.75" customHeight="1">
      <c r="A913" s="16"/>
      <c r="B913" s="16"/>
      <c r="I913" s="17"/>
      <c r="J913" s="17"/>
      <c r="K913" s="17"/>
      <c r="L913" s="17"/>
    </row>
    <row r="914" ht="15.75" customHeight="1">
      <c r="A914" s="16"/>
      <c r="B914" s="16"/>
      <c r="I914" s="17"/>
      <c r="J914" s="17"/>
      <c r="K914" s="17"/>
      <c r="L914" s="17"/>
    </row>
    <row r="915" ht="15.75" customHeight="1">
      <c r="A915" s="16"/>
      <c r="B915" s="16"/>
      <c r="I915" s="17"/>
      <c r="J915" s="17"/>
      <c r="K915" s="17"/>
      <c r="L915" s="17"/>
    </row>
    <row r="916" ht="15.75" customHeight="1">
      <c r="A916" s="16"/>
      <c r="B916" s="16"/>
      <c r="I916" s="17"/>
      <c r="J916" s="17"/>
      <c r="K916" s="17"/>
      <c r="L916" s="17"/>
    </row>
    <row r="917" ht="15.75" customHeight="1">
      <c r="A917" s="16"/>
      <c r="B917" s="16"/>
      <c r="I917" s="17"/>
      <c r="J917" s="17"/>
      <c r="K917" s="17"/>
      <c r="L917" s="17"/>
    </row>
    <row r="918" ht="15.75" customHeight="1">
      <c r="A918" s="16"/>
      <c r="B918" s="16"/>
      <c r="I918" s="17"/>
      <c r="J918" s="17"/>
      <c r="K918" s="17"/>
      <c r="L918" s="17"/>
    </row>
    <row r="919" ht="15.75" customHeight="1">
      <c r="A919" s="16"/>
      <c r="B919" s="16"/>
      <c r="I919" s="17"/>
      <c r="J919" s="17"/>
      <c r="K919" s="17"/>
      <c r="L919" s="17"/>
    </row>
    <row r="920" ht="15.75" customHeight="1">
      <c r="A920" s="16"/>
      <c r="B920" s="16"/>
      <c r="I920" s="17"/>
      <c r="J920" s="17"/>
      <c r="K920" s="17"/>
      <c r="L920" s="17"/>
    </row>
    <row r="921" ht="15.75" customHeight="1">
      <c r="A921" s="16"/>
      <c r="B921" s="16"/>
      <c r="I921" s="17"/>
      <c r="J921" s="17"/>
      <c r="K921" s="17"/>
      <c r="L921" s="17"/>
    </row>
    <row r="922" ht="15.75" customHeight="1">
      <c r="A922" s="16"/>
      <c r="B922" s="16"/>
      <c r="I922" s="17"/>
      <c r="J922" s="17"/>
      <c r="K922" s="17"/>
      <c r="L922" s="17"/>
    </row>
    <row r="923" ht="15.75" customHeight="1">
      <c r="A923" s="16"/>
      <c r="B923" s="16"/>
      <c r="I923" s="17"/>
      <c r="J923" s="17"/>
      <c r="K923" s="17"/>
      <c r="L923" s="17"/>
    </row>
    <row r="924" ht="15.75" customHeight="1">
      <c r="A924" s="16"/>
      <c r="B924" s="16"/>
      <c r="I924" s="17"/>
      <c r="J924" s="17"/>
      <c r="K924" s="17"/>
      <c r="L924" s="17"/>
    </row>
    <row r="925" ht="15.75" customHeight="1">
      <c r="A925" s="16"/>
      <c r="B925" s="16"/>
      <c r="I925" s="17"/>
      <c r="J925" s="17"/>
      <c r="K925" s="17"/>
      <c r="L925" s="17"/>
    </row>
    <row r="926" ht="15.75" customHeight="1">
      <c r="A926" s="16"/>
      <c r="B926" s="16"/>
      <c r="I926" s="17"/>
      <c r="J926" s="17"/>
      <c r="K926" s="17"/>
      <c r="L926" s="17"/>
    </row>
    <row r="927" ht="15.75" customHeight="1">
      <c r="A927" s="16"/>
      <c r="B927" s="16"/>
      <c r="I927" s="17"/>
      <c r="J927" s="17"/>
      <c r="K927" s="17"/>
      <c r="L927" s="17"/>
    </row>
    <row r="928" ht="15.75" customHeight="1">
      <c r="A928" s="16"/>
      <c r="B928" s="16"/>
      <c r="I928" s="17"/>
      <c r="J928" s="17"/>
      <c r="K928" s="17"/>
      <c r="L928" s="17"/>
    </row>
    <row r="929" ht="15.75" customHeight="1">
      <c r="A929" s="16"/>
      <c r="B929" s="16"/>
      <c r="I929" s="17"/>
      <c r="J929" s="17"/>
      <c r="K929" s="17"/>
      <c r="L929" s="17"/>
    </row>
    <row r="930" ht="15.75" customHeight="1">
      <c r="A930" s="16"/>
      <c r="B930" s="16"/>
      <c r="I930" s="17"/>
      <c r="J930" s="17"/>
      <c r="K930" s="17"/>
      <c r="L930" s="17"/>
    </row>
    <row r="931" ht="15.75" customHeight="1">
      <c r="A931" s="16"/>
      <c r="B931" s="16"/>
      <c r="I931" s="17"/>
      <c r="J931" s="17"/>
      <c r="K931" s="17"/>
      <c r="L931" s="17"/>
    </row>
    <row r="932" ht="15.75" customHeight="1">
      <c r="A932" s="16"/>
      <c r="B932" s="16"/>
      <c r="I932" s="17"/>
      <c r="J932" s="17"/>
      <c r="K932" s="17"/>
      <c r="L932" s="17"/>
    </row>
    <row r="933" ht="15.75" customHeight="1">
      <c r="A933" s="16"/>
      <c r="B933" s="16"/>
      <c r="I933" s="17"/>
      <c r="J933" s="17"/>
      <c r="K933" s="17"/>
      <c r="L933" s="17"/>
    </row>
    <row r="934" ht="15.75" customHeight="1">
      <c r="A934" s="16"/>
      <c r="B934" s="16"/>
      <c r="I934" s="17"/>
      <c r="J934" s="17"/>
      <c r="K934" s="17"/>
      <c r="L934" s="17"/>
    </row>
    <row r="935" ht="15.75" customHeight="1">
      <c r="A935" s="16"/>
      <c r="B935" s="16"/>
      <c r="I935" s="17"/>
      <c r="J935" s="17"/>
      <c r="K935" s="17"/>
      <c r="L935" s="17"/>
    </row>
    <row r="936" ht="15.75" customHeight="1">
      <c r="A936" s="16"/>
      <c r="B936" s="16"/>
      <c r="I936" s="17"/>
      <c r="J936" s="17"/>
      <c r="K936" s="17"/>
      <c r="L936" s="17"/>
    </row>
    <row r="937" ht="15.75" customHeight="1">
      <c r="A937" s="16"/>
      <c r="B937" s="16"/>
      <c r="I937" s="17"/>
      <c r="J937" s="17"/>
      <c r="K937" s="17"/>
      <c r="L937" s="17"/>
    </row>
    <row r="938" ht="15.75" customHeight="1">
      <c r="A938" s="16"/>
      <c r="B938" s="16"/>
      <c r="I938" s="17"/>
      <c r="J938" s="17"/>
      <c r="K938" s="17"/>
      <c r="L938" s="17"/>
    </row>
    <row r="939" ht="15.75" customHeight="1">
      <c r="A939" s="16"/>
      <c r="B939" s="16"/>
      <c r="I939" s="17"/>
      <c r="J939" s="17"/>
      <c r="K939" s="17"/>
      <c r="L939" s="17"/>
    </row>
    <row r="940" ht="15.75" customHeight="1">
      <c r="A940" s="16"/>
      <c r="B940" s="16"/>
      <c r="I940" s="17"/>
      <c r="J940" s="17"/>
      <c r="K940" s="17"/>
      <c r="L940" s="17"/>
    </row>
    <row r="941" ht="15.75" customHeight="1">
      <c r="A941" s="16"/>
      <c r="B941" s="16"/>
      <c r="I941" s="17"/>
      <c r="J941" s="17"/>
      <c r="K941" s="17"/>
      <c r="L941" s="17"/>
    </row>
    <row r="942" ht="15.75" customHeight="1">
      <c r="A942" s="16"/>
      <c r="B942" s="16"/>
      <c r="I942" s="17"/>
      <c r="J942" s="17"/>
      <c r="K942" s="17"/>
      <c r="L942" s="17"/>
    </row>
    <row r="943" ht="15.75" customHeight="1">
      <c r="A943" s="16"/>
      <c r="B943" s="16"/>
      <c r="I943" s="17"/>
      <c r="J943" s="17"/>
      <c r="K943" s="17"/>
      <c r="L943" s="17"/>
    </row>
    <row r="944" ht="15.75" customHeight="1">
      <c r="A944" s="16"/>
      <c r="B944" s="16"/>
      <c r="I944" s="17"/>
      <c r="J944" s="17"/>
      <c r="K944" s="17"/>
      <c r="L944" s="17"/>
    </row>
    <row r="945" ht="15.75" customHeight="1">
      <c r="A945" s="16"/>
      <c r="B945" s="16"/>
      <c r="I945" s="17"/>
      <c r="J945" s="17"/>
      <c r="K945" s="17"/>
      <c r="L945" s="17"/>
    </row>
    <row r="946" ht="15.75" customHeight="1">
      <c r="A946" s="16"/>
      <c r="B946" s="16"/>
      <c r="I946" s="17"/>
      <c r="J946" s="17"/>
      <c r="K946" s="17"/>
      <c r="L946" s="17"/>
    </row>
    <row r="947" ht="15.75" customHeight="1">
      <c r="A947" s="16"/>
      <c r="B947" s="16"/>
      <c r="I947" s="17"/>
      <c r="J947" s="17"/>
      <c r="K947" s="17"/>
      <c r="L947" s="17"/>
    </row>
    <row r="948" ht="15.75" customHeight="1">
      <c r="A948" s="16"/>
      <c r="B948" s="16"/>
      <c r="I948" s="17"/>
      <c r="J948" s="17"/>
      <c r="K948" s="17"/>
      <c r="L948" s="17"/>
    </row>
    <row r="949" ht="15.75" customHeight="1">
      <c r="A949" s="16"/>
      <c r="B949" s="16"/>
      <c r="I949" s="17"/>
      <c r="J949" s="17"/>
      <c r="K949" s="17"/>
      <c r="L949" s="17"/>
    </row>
    <row r="950" ht="15.75" customHeight="1">
      <c r="A950" s="16"/>
      <c r="B950" s="16"/>
      <c r="I950" s="17"/>
      <c r="J950" s="17"/>
      <c r="K950" s="17"/>
      <c r="L950" s="17"/>
    </row>
    <row r="951" ht="15.75" customHeight="1">
      <c r="A951" s="16"/>
      <c r="B951" s="16"/>
      <c r="I951" s="17"/>
      <c r="J951" s="17"/>
      <c r="K951" s="17"/>
      <c r="L951" s="17"/>
    </row>
    <row r="952" ht="15.75" customHeight="1">
      <c r="A952" s="16"/>
      <c r="B952" s="16"/>
      <c r="I952" s="17"/>
      <c r="J952" s="17"/>
      <c r="K952" s="17"/>
      <c r="L952" s="17"/>
    </row>
    <row r="953" ht="15.75" customHeight="1">
      <c r="A953" s="16"/>
      <c r="B953" s="16"/>
      <c r="I953" s="17"/>
      <c r="J953" s="17"/>
      <c r="K953" s="17"/>
      <c r="L953" s="17"/>
    </row>
    <row r="954" ht="15.75" customHeight="1">
      <c r="A954" s="16"/>
      <c r="B954" s="16"/>
      <c r="I954" s="17"/>
      <c r="J954" s="17"/>
      <c r="K954" s="17"/>
      <c r="L954" s="17"/>
    </row>
    <row r="955" ht="15.75" customHeight="1">
      <c r="A955" s="16"/>
      <c r="B955" s="16"/>
      <c r="I955" s="17"/>
      <c r="J955" s="17"/>
      <c r="K955" s="17"/>
      <c r="L955" s="17"/>
    </row>
    <row r="956" ht="15.75" customHeight="1">
      <c r="A956" s="16"/>
      <c r="B956" s="16"/>
      <c r="I956" s="17"/>
      <c r="J956" s="17"/>
      <c r="K956" s="17"/>
      <c r="L956" s="17"/>
    </row>
    <row r="957" ht="15.75" customHeight="1">
      <c r="A957" s="16"/>
      <c r="B957" s="16"/>
      <c r="I957" s="17"/>
      <c r="J957" s="17"/>
      <c r="K957" s="17"/>
      <c r="L957" s="17"/>
    </row>
    <row r="958" ht="15.75" customHeight="1">
      <c r="A958" s="16"/>
      <c r="B958" s="16"/>
      <c r="I958" s="17"/>
      <c r="J958" s="17"/>
      <c r="K958" s="17"/>
      <c r="L958" s="17"/>
    </row>
    <row r="959" ht="15.75" customHeight="1">
      <c r="A959" s="16"/>
      <c r="B959" s="16"/>
      <c r="I959" s="17"/>
      <c r="J959" s="17"/>
      <c r="K959" s="17"/>
      <c r="L959" s="17"/>
    </row>
    <row r="960" ht="15.75" customHeight="1">
      <c r="A960" s="16"/>
      <c r="B960" s="16"/>
      <c r="I960" s="17"/>
      <c r="J960" s="17"/>
      <c r="K960" s="17"/>
      <c r="L960" s="17"/>
    </row>
    <row r="961" ht="15.75" customHeight="1">
      <c r="A961" s="16"/>
      <c r="B961" s="16"/>
      <c r="I961" s="17"/>
      <c r="J961" s="17"/>
      <c r="K961" s="17"/>
      <c r="L961" s="17"/>
    </row>
    <row r="962" ht="15.75" customHeight="1">
      <c r="A962" s="16"/>
      <c r="B962" s="16"/>
      <c r="I962" s="17"/>
      <c r="J962" s="17"/>
      <c r="K962" s="17"/>
      <c r="L962" s="17"/>
    </row>
    <row r="963" ht="15.75" customHeight="1">
      <c r="A963" s="16"/>
      <c r="B963" s="16"/>
      <c r="I963" s="17"/>
      <c r="J963" s="17"/>
      <c r="K963" s="17"/>
      <c r="L963" s="17"/>
    </row>
    <row r="964" ht="15.75" customHeight="1">
      <c r="A964" s="16"/>
      <c r="B964" s="16"/>
      <c r="I964" s="17"/>
      <c r="J964" s="17"/>
      <c r="K964" s="17"/>
      <c r="L964" s="17"/>
    </row>
    <row r="965" ht="15.75" customHeight="1">
      <c r="A965" s="16"/>
      <c r="B965" s="16"/>
      <c r="I965" s="17"/>
      <c r="J965" s="17"/>
      <c r="K965" s="17"/>
      <c r="L965" s="17"/>
    </row>
    <row r="966" ht="15.75" customHeight="1">
      <c r="A966" s="16"/>
      <c r="B966" s="16"/>
      <c r="I966" s="17"/>
      <c r="J966" s="17"/>
      <c r="K966" s="17"/>
      <c r="L966" s="17"/>
    </row>
    <row r="967" ht="15.75" customHeight="1">
      <c r="A967" s="16"/>
      <c r="B967" s="16"/>
      <c r="I967" s="17"/>
      <c r="J967" s="17"/>
      <c r="K967" s="17"/>
      <c r="L967" s="17"/>
    </row>
    <row r="968" ht="15.75" customHeight="1">
      <c r="A968" s="16"/>
      <c r="B968" s="16"/>
      <c r="I968" s="17"/>
      <c r="J968" s="17"/>
      <c r="K968" s="17"/>
      <c r="L968" s="17"/>
    </row>
    <row r="969" ht="15.75" customHeight="1">
      <c r="A969" s="16"/>
      <c r="B969" s="16"/>
      <c r="I969" s="17"/>
      <c r="J969" s="17"/>
      <c r="K969" s="17"/>
      <c r="L969" s="17"/>
    </row>
    <row r="970" ht="15.75" customHeight="1">
      <c r="A970" s="16"/>
      <c r="B970" s="16"/>
      <c r="I970" s="17"/>
      <c r="J970" s="17"/>
      <c r="K970" s="17"/>
      <c r="L970" s="17"/>
    </row>
    <row r="971" ht="15.75" customHeight="1">
      <c r="A971" s="16"/>
      <c r="B971" s="16"/>
      <c r="I971" s="17"/>
      <c r="J971" s="17"/>
      <c r="K971" s="17"/>
      <c r="L971" s="17"/>
    </row>
    <row r="972" ht="15.75" customHeight="1">
      <c r="A972" s="16"/>
      <c r="B972" s="16"/>
      <c r="I972" s="17"/>
      <c r="J972" s="17"/>
      <c r="K972" s="17"/>
      <c r="L972" s="17"/>
    </row>
    <row r="973" ht="15.75" customHeight="1">
      <c r="A973" s="16"/>
      <c r="B973" s="16"/>
      <c r="I973" s="17"/>
      <c r="J973" s="17"/>
      <c r="K973" s="17"/>
      <c r="L973" s="17"/>
    </row>
    <row r="974" ht="15.75" customHeight="1">
      <c r="A974" s="16"/>
      <c r="B974" s="16"/>
      <c r="I974" s="17"/>
      <c r="J974" s="17"/>
      <c r="K974" s="17"/>
      <c r="L974" s="17"/>
    </row>
    <row r="975" ht="15.75" customHeight="1">
      <c r="A975" s="16"/>
      <c r="B975" s="16"/>
      <c r="I975" s="17"/>
      <c r="J975" s="17"/>
      <c r="K975" s="17"/>
      <c r="L975" s="17"/>
    </row>
    <row r="976" ht="15.75" customHeight="1">
      <c r="A976" s="16"/>
      <c r="B976" s="16"/>
      <c r="I976" s="17"/>
      <c r="J976" s="17"/>
      <c r="K976" s="17"/>
      <c r="L976" s="17"/>
    </row>
    <row r="977" ht="15.75" customHeight="1">
      <c r="A977" s="16"/>
      <c r="B977" s="16"/>
      <c r="I977" s="17"/>
      <c r="J977" s="17"/>
      <c r="K977" s="17"/>
      <c r="L977" s="17"/>
    </row>
    <row r="978" ht="15.75" customHeight="1">
      <c r="A978" s="16"/>
      <c r="B978" s="16"/>
      <c r="I978" s="17"/>
      <c r="J978" s="17"/>
      <c r="K978" s="17"/>
      <c r="L978" s="17"/>
    </row>
    <row r="979" ht="15.75" customHeight="1">
      <c r="A979" s="16"/>
      <c r="B979" s="16"/>
      <c r="I979" s="17"/>
      <c r="J979" s="17"/>
      <c r="K979" s="17"/>
      <c r="L979" s="17"/>
    </row>
    <row r="980" ht="15.75" customHeight="1">
      <c r="A980" s="16"/>
      <c r="B980" s="16"/>
      <c r="I980" s="17"/>
      <c r="J980" s="17"/>
      <c r="K980" s="17"/>
      <c r="L980" s="17"/>
    </row>
    <row r="981" ht="15.75" customHeight="1">
      <c r="A981" s="16"/>
      <c r="B981" s="16"/>
      <c r="I981" s="17"/>
      <c r="J981" s="17"/>
      <c r="K981" s="17"/>
      <c r="L981" s="17"/>
    </row>
    <row r="982" ht="15.75" customHeight="1">
      <c r="A982" s="16"/>
      <c r="B982" s="16"/>
      <c r="I982" s="17"/>
      <c r="J982" s="17"/>
      <c r="K982" s="17"/>
      <c r="L982" s="17"/>
    </row>
    <row r="983" ht="15.75" customHeight="1">
      <c r="A983" s="16"/>
      <c r="B983" s="16"/>
      <c r="I983" s="17"/>
      <c r="J983" s="17"/>
      <c r="K983" s="17"/>
      <c r="L983" s="17"/>
    </row>
    <row r="984" ht="15.75" customHeight="1">
      <c r="A984" s="16"/>
      <c r="B984" s="16"/>
      <c r="I984" s="17"/>
      <c r="J984" s="17"/>
      <c r="K984" s="17"/>
      <c r="L984" s="17"/>
    </row>
    <row r="985" ht="15.75" customHeight="1">
      <c r="A985" s="16"/>
      <c r="B985" s="16"/>
      <c r="I985" s="17"/>
      <c r="J985" s="17"/>
      <c r="K985" s="17"/>
      <c r="L985" s="17"/>
    </row>
    <row r="986" ht="15.75" customHeight="1">
      <c r="A986" s="16"/>
      <c r="B986" s="16"/>
      <c r="I986" s="17"/>
      <c r="J986" s="17"/>
      <c r="K986" s="17"/>
      <c r="L986" s="17"/>
    </row>
    <row r="987" ht="15.75" customHeight="1">
      <c r="A987" s="16"/>
      <c r="B987" s="16"/>
      <c r="I987" s="17"/>
      <c r="J987" s="17"/>
      <c r="K987" s="17"/>
      <c r="L987" s="17"/>
    </row>
    <row r="988" ht="15.75" customHeight="1">
      <c r="A988" s="16"/>
      <c r="B988" s="16"/>
      <c r="I988" s="17"/>
      <c r="J988" s="17"/>
      <c r="K988" s="17"/>
      <c r="L988" s="17"/>
    </row>
    <row r="989" ht="15.75" customHeight="1">
      <c r="A989" s="16"/>
      <c r="B989" s="16"/>
      <c r="I989" s="17"/>
      <c r="J989" s="17"/>
      <c r="K989" s="17"/>
      <c r="L989" s="17"/>
    </row>
    <row r="990" ht="15.75" customHeight="1">
      <c r="A990" s="16"/>
      <c r="B990" s="16"/>
      <c r="I990" s="17"/>
      <c r="J990" s="17"/>
      <c r="K990" s="17"/>
      <c r="L990" s="17"/>
    </row>
    <row r="991" ht="15.75" customHeight="1">
      <c r="A991" s="16"/>
      <c r="B991" s="16"/>
      <c r="I991" s="17"/>
      <c r="J991" s="17"/>
      <c r="K991" s="17"/>
      <c r="L991" s="17"/>
    </row>
    <row r="992" ht="15.75" customHeight="1">
      <c r="A992" s="16"/>
      <c r="B992" s="16"/>
      <c r="I992" s="17"/>
      <c r="J992" s="17"/>
      <c r="K992" s="17"/>
      <c r="L992" s="17"/>
    </row>
    <row r="993" ht="15.75" customHeight="1">
      <c r="A993" s="16"/>
      <c r="B993" s="16"/>
      <c r="I993" s="17"/>
      <c r="J993" s="17"/>
      <c r="K993" s="17"/>
      <c r="L993" s="17"/>
    </row>
    <row r="994" ht="15.75" customHeight="1">
      <c r="A994" s="16"/>
      <c r="B994" s="16"/>
      <c r="I994" s="17"/>
      <c r="J994" s="17"/>
      <c r="K994" s="17"/>
      <c r="L994" s="17"/>
    </row>
    <row r="995" ht="15.75" customHeight="1">
      <c r="A995" s="16"/>
      <c r="B995" s="16"/>
      <c r="I995" s="17"/>
      <c r="J995" s="17"/>
      <c r="K995" s="17"/>
      <c r="L995" s="17"/>
    </row>
    <row r="996" ht="15.75" customHeight="1">
      <c r="A996" s="16"/>
      <c r="B996" s="16"/>
      <c r="I996" s="17"/>
      <c r="J996" s="17"/>
      <c r="K996" s="17"/>
      <c r="L996" s="17"/>
    </row>
    <row r="997" ht="15.75" customHeight="1">
      <c r="A997" s="16"/>
      <c r="B997" s="16"/>
      <c r="I997" s="17"/>
      <c r="J997" s="17"/>
      <c r="K997" s="17"/>
      <c r="L997" s="17"/>
    </row>
    <row r="998" ht="15.75" customHeight="1">
      <c r="A998" s="16"/>
      <c r="B998" s="16"/>
      <c r="I998" s="17"/>
      <c r="J998" s="17"/>
      <c r="K998" s="17"/>
      <c r="L998" s="17"/>
    </row>
    <row r="999" ht="15.75" customHeight="1">
      <c r="A999" s="16"/>
      <c r="B999" s="16"/>
      <c r="I999" s="17"/>
      <c r="J999" s="17"/>
      <c r="K999" s="17"/>
      <c r="L999" s="17"/>
    </row>
    <row r="1000" ht="15.75" customHeight="1">
      <c r="A1000" s="16"/>
      <c r="B1000" s="16"/>
      <c r="I1000" s="17"/>
      <c r="J1000" s="17"/>
      <c r="K1000" s="17"/>
      <c r="L1000" s="17"/>
    </row>
  </sheetData>
  <mergeCells count="9">
    <mergeCell ref="A253:F253"/>
    <mergeCell ref="A254:F254"/>
    <mergeCell ref="A246:F246"/>
    <mergeCell ref="A247:F247"/>
    <mergeCell ref="A248:F248"/>
    <mergeCell ref="A249:F249"/>
    <mergeCell ref="A250:F250"/>
    <mergeCell ref="A251:F251"/>
    <mergeCell ref="A252:F25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78"/>
    <col customWidth="1" min="2" max="2" width="7.0"/>
    <col customWidth="1" min="3" max="3" width="9.44"/>
    <col customWidth="1" min="4" max="4" width="14.44"/>
    <col customWidth="1" min="5" max="5" width="8.89"/>
    <col customWidth="1" min="6" max="6" width="18.11"/>
    <col customWidth="1" min="7" max="7" width="6.0"/>
    <col customWidth="1" min="8" max="8" width="9.78"/>
    <col customWidth="1" min="9" max="11" width="6.78"/>
    <col customWidth="1" min="12" max="12" width="15.56"/>
    <col customWidth="1" min="13" max="13" width="16.22"/>
    <col customWidth="1" min="14" max="29" width="8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ht="15.75" customHeight="1">
      <c r="A2" s="4" t="s">
        <v>13</v>
      </c>
      <c r="B2" s="5">
        <v>44562.0</v>
      </c>
      <c r="C2" s="6" t="s">
        <v>14</v>
      </c>
      <c r="D2" s="6" t="s">
        <v>15</v>
      </c>
      <c r="E2" s="6" t="s">
        <v>16</v>
      </c>
      <c r="F2" s="6" t="s">
        <v>17</v>
      </c>
      <c r="G2" s="6">
        <v>33.0</v>
      </c>
      <c r="H2" s="6">
        <v>1.7699999999999998</v>
      </c>
      <c r="I2" s="7">
        <f t="shared" ref="I2:I254" si="1">DAY(B2:B245)</f>
        <v>1</v>
      </c>
      <c r="J2" s="7">
        <f t="shared" ref="J2:J254" si="2">MONTH(B2:B245)</f>
        <v>1</v>
      </c>
      <c r="K2" s="7">
        <f t="shared" ref="K2:K254" si="3">YEAR(B2:B245)</f>
        <v>2022</v>
      </c>
      <c r="L2" s="7">
        <f t="shared" ref="L2:L245" si="4">G2*H2</f>
        <v>58.41</v>
      </c>
      <c r="M2" s="6" t="str">
        <f t="shared" ref="M2:M254" si="5">IF(L2&gt;100,"Expensive","Cheap")</f>
        <v>Cheap</v>
      </c>
    </row>
    <row r="3" ht="15.75" customHeight="1">
      <c r="A3" s="4" t="s">
        <v>18</v>
      </c>
      <c r="B3" s="5">
        <v>44565.0</v>
      </c>
      <c r="C3" s="6" t="s">
        <v>14</v>
      </c>
      <c r="D3" s="6" t="s">
        <v>15</v>
      </c>
      <c r="E3" s="6" t="s">
        <v>19</v>
      </c>
      <c r="F3" s="6" t="s">
        <v>20</v>
      </c>
      <c r="G3" s="6">
        <v>87.0</v>
      </c>
      <c r="H3" s="6">
        <v>3.4899999999999998</v>
      </c>
      <c r="I3" s="7">
        <f t="shared" si="1"/>
        <v>4</v>
      </c>
      <c r="J3" s="7">
        <f t="shared" si="2"/>
        <v>1</v>
      </c>
      <c r="K3" s="7">
        <f t="shared" si="3"/>
        <v>2022</v>
      </c>
      <c r="L3" s="7">
        <f t="shared" si="4"/>
        <v>303.63</v>
      </c>
      <c r="M3" s="6" t="str">
        <f t="shared" si="5"/>
        <v>Expensive</v>
      </c>
      <c r="P3" s="8" t="s">
        <v>21</v>
      </c>
      <c r="Q3" s="9"/>
      <c r="R3" s="9"/>
      <c r="S3" s="9"/>
      <c r="T3" s="9"/>
      <c r="U3" s="9"/>
      <c r="V3" s="9"/>
    </row>
    <row r="4" ht="15.75" customHeight="1">
      <c r="A4" s="4" t="s">
        <v>181</v>
      </c>
      <c r="B4" s="5">
        <v>44568.0</v>
      </c>
      <c r="C4" s="6" t="s">
        <v>182</v>
      </c>
      <c r="D4" s="6" t="s">
        <v>183</v>
      </c>
      <c r="E4" s="6" t="s">
        <v>24</v>
      </c>
      <c r="F4" s="6" t="s">
        <v>25</v>
      </c>
      <c r="G4" s="6">
        <v>58.0</v>
      </c>
      <c r="H4" s="6">
        <v>1.8699999999999999</v>
      </c>
      <c r="I4" s="7">
        <f t="shared" si="1"/>
        <v>7</v>
      </c>
      <c r="J4" s="7">
        <f t="shared" si="2"/>
        <v>1</v>
      </c>
      <c r="K4" s="7">
        <f t="shared" si="3"/>
        <v>2022</v>
      </c>
      <c r="L4" s="7">
        <f t="shared" si="4"/>
        <v>108.46</v>
      </c>
      <c r="M4" s="6" t="str">
        <f t="shared" si="5"/>
        <v>Expensive</v>
      </c>
      <c r="P4" s="8" t="s">
        <v>26</v>
      </c>
      <c r="Q4" s="9"/>
      <c r="R4" s="9"/>
      <c r="S4" s="9"/>
      <c r="T4" s="9"/>
      <c r="U4" s="9"/>
      <c r="V4" s="9"/>
    </row>
    <row r="5" ht="15.75" customHeight="1">
      <c r="A5" s="4" t="s">
        <v>22</v>
      </c>
      <c r="B5" s="5">
        <v>44571.0</v>
      </c>
      <c r="C5" s="6" t="s">
        <v>14</v>
      </c>
      <c r="D5" s="6" t="s">
        <v>23</v>
      </c>
      <c r="E5" s="6" t="s">
        <v>24</v>
      </c>
      <c r="F5" s="6" t="s">
        <v>25</v>
      </c>
      <c r="G5" s="6">
        <v>82.0</v>
      </c>
      <c r="H5" s="6">
        <v>1.87</v>
      </c>
      <c r="I5" s="7">
        <f t="shared" si="1"/>
        <v>10</v>
      </c>
      <c r="J5" s="7">
        <f t="shared" si="2"/>
        <v>1</v>
      </c>
      <c r="K5" s="7">
        <f t="shared" si="3"/>
        <v>2022</v>
      </c>
      <c r="L5" s="7">
        <f t="shared" si="4"/>
        <v>153.34</v>
      </c>
      <c r="M5" s="6" t="str">
        <f t="shared" si="5"/>
        <v>Expensive</v>
      </c>
    </row>
    <row r="6" ht="15.75" customHeight="1">
      <c r="A6" s="4" t="s">
        <v>27</v>
      </c>
      <c r="B6" s="5">
        <v>44574.0</v>
      </c>
      <c r="C6" s="6" t="s">
        <v>14</v>
      </c>
      <c r="D6" s="6" t="s">
        <v>15</v>
      </c>
      <c r="E6" s="6" t="s">
        <v>24</v>
      </c>
      <c r="F6" s="6" t="s">
        <v>28</v>
      </c>
      <c r="G6" s="6">
        <v>38.0</v>
      </c>
      <c r="H6" s="6">
        <v>2.18</v>
      </c>
      <c r="I6" s="7">
        <f t="shared" si="1"/>
        <v>13</v>
      </c>
      <c r="J6" s="7">
        <f t="shared" si="2"/>
        <v>1</v>
      </c>
      <c r="K6" s="7">
        <f t="shared" si="3"/>
        <v>2022</v>
      </c>
      <c r="L6" s="7">
        <f t="shared" si="4"/>
        <v>82.84</v>
      </c>
      <c r="M6" s="6" t="str">
        <f t="shared" si="5"/>
        <v>Cheap</v>
      </c>
    </row>
    <row r="7" ht="15.75" customHeight="1">
      <c r="A7" s="4" t="s">
        <v>29</v>
      </c>
      <c r="B7" s="5">
        <v>44577.0</v>
      </c>
      <c r="C7" s="6" t="s">
        <v>14</v>
      </c>
      <c r="D7" s="6" t="s">
        <v>15</v>
      </c>
      <c r="E7" s="6" t="s">
        <v>16</v>
      </c>
      <c r="F7" s="6" t="s">
        <v>17</v>
      </c>
      <c r="G7" s="6">
        <v>54.0</v>
      </c>
      <c r="H7" s="6">
        <v>1.77</v>
      </c>
      <c r="I7" s="7">
        <f t="shared" si="1"/>
        <v>16</v>
      </c>
      <c r="J7" s="7">
        <f t="shared" si="2"/>
        <v>1</v>
      </c>
      <c r="K7" s="7">
        <f t="shared" si="3"/>
        <v>2022</v>
      </c>
      <c r="L7" s="7">
        <f t="shared" si="4"/>
        <v>95.58</v>
      </c>
      <c r="M7" s="6" t="str">
        <f t="shared" si="5"/>
        <v>Cheap</v>
      </c>
    </row>
    <row r="8" ht="15.75" customHeight="1">
      <c r="A8" s="4" t="s">
        <v>30</v>
      </c>
      <c r="B8" s="5">
        <v>44580.0</v>
      </c>
      <c r="C8" s="6" t="s">
        <v>14</v>
      </c>
      <c r="D8" s="6" t="s">
        <v>15</v>
      </c>
      <c r="E8" s="6" t="s">
        <v>19</v>
      </c>
      <c r="F8" s="6" t="s">
        <v>20</v>
      </c>
      <c r="G8" s="6">
        <v>149.0</v>
      </c>
      <c r="H8" s="6">
        <v>3.4899999999999998</v>
      </c>
      <c r="I8" s="7">
        <f t="shared" si="1"/>
        <v>19</v>
      </c>
      <c r="J8" s="7">
        <f t="shared" si="2"/>
        <v>1</v>
      </c>
      <c r="K8" s="7">
        <f t="shared" si="3"/>
        <v>2022</v>
      </c>
      <c r="L8" s="7">
        <f t="shared" si="4"/>
        <v>520.01</v>
      </c>
      <c r="M8" s="6" t="str">
        <f t="shared" si="5"/>
        <v>Expensive</v>
      </c>
    </row>
    <row r="9" ht="15.75" customHeight="1">
      <c r="A9" s="4" t="s">
        <v>184</v>
      </c>
      <c r="B9" s="5">
        <v>44583.0</v>
      </c>
      <c r="C9" s="6" t="s">
        <v>182</v>
      </c>
      <c r="D9" s="6" t="s">
        <v>183</v>
      </c>
      <c r="E9" s="6" t="s">
        <v>16</v>
      </c>
      <c r="F9" s="6" t="s">
        <v>17</v>
      </c>
      <c r="G9" s="6">
        <v>51.0</v>
      </c>
      <c r="H9" s="6">
        <v>1.77</v>
      </c>
      <c r="I9" s="7">
        <f t="shared" si="1"/>
        <v>22</v>
      </c>
      <c r="J9" s="7">
        <f t="shared" si="2"/>
        <v>1</v>
      </c>
      <c r="K9" s="7">
        <f t="shared" si="3"/>
        <v>2022</v>
      </c>
      <c r="L9" s="7">
        <f t="shared" si="4"/>
        <v>90.27</v>
      </c>
      <c r="M9" s="6" t="str">
        <f t="shared" si="5"/>
        <v>Cheap</v>
      </c>
    </row>
    <row r="10" ht="15.75" customHeight="1">
      <c r="A10" s="4" t="s">
        <v>31</v>
      </c>
      <c r="B10" s="5">
        <v>44586.0</v>
      </c>
      <c r="C10" s="6" t="s">
        <v>14</v>
      </c>
      <c r="D10" s="6" t="s">
        <v>23</v>
      </c>
      <c r="E10" s="6" t="s">
        <v>16</v>
      </c>
      <c r="F10" s="6" t="s">
        <v>17</v>
      </c>
      <c r="G10" s="6">
        <v>100.0</v>
      </c>
      <c r="H10" s="6">
        <v>1.77</v>
      </c>
      <c r="I10" s="7">
        <f t="shared" si="1"/>
        <v>25</v>
      </c>
      <c r="J10" s="7">
        <f t="shared" si="2"/>
        <v>1</v>
      </c>
      <c r="K10" s="7">
        <f t="shared" si="3"/>
        <v>2022</v>
      </c>
      <c r="L10" s="7">
        <f t="shared" si="4"/>
        <v>177</v>
      </c>
      <c r="M10" s="6" t="str">
        <f t="shared" si="5"/>
        <v>Expensive</v>
      </c>
    </row>
    <row r="11" ht="15.75" customHeight="1">
      <c r="A11" s="4" t="s">
        <v>32</v>
      </c>
      <c r="B11" s="5">
        <v>44589.0</v>
      </c>
      <c r="C11" s="6" t="s">
        <v>14</v>
      </c>
      <c r="D11" s="6" t="s">
        <v>23</v>
      </c>
      <c r="E11" s="6" t="s">
        <v>33</v>
      </c>
      <c r="F11" s="6" t="s">
        <v>34</v>
      </c>
      <c r="G11" s="6">
        <v>28.0</v>
      </c>
      <c r="H11" s="6">
        <v>1.35</v>
      </c>
      <c r="I11" s="7">
        <f t="shared" si="1"/>
        <v>28</v>
      </c>
      <c r="J11" s="7">
        <f t="shared" si="2"/>
        <v>1</v>
      </c>
      <c r="K11" s="7">
        <f t="shared" si="3"/>
        <v>2022</v>
      </c>
      <c r="L11" s="7">
        <f t="shared" si="4"/>
        <v>37.8</v>
      </c>
      <c r="M11" s="6" t="str">
        <f t="shared" si="5"/>
        <v>Cheap</v>
      </c>
    </row>
    <row r="12" ht="15.75" customHeight="1">
      <c r="A12" s="4" t="s">
        <v>35</v>
      </c>
      <c r="B12" s="5">
        <v>44592.0</v>
      </c>
      <c r="C12" s="6" t="s">
        <v>14</v>
      </c>
      <c r="D12" s="6" t="s">
        <v>15</v>
      </c>
      <c r="E12" s="6" t="s">
        <v>24</v>
      </c>
      <c r="F12" s="6" t="s">
        <v>28</v>
      </c>
      <c r="G12" s="6">
        <v>36.0</v>
      </c>
      <c r="H12" s="6">
        <v>2.18</v>
      </c>
      <c r="I12" s="7">
        <f t="shared" si="1"/>
        <v>31</v>
      </c>
      <c r="J12" s="7">
        <f t="shared" si="2"/>
        <v>1</v>
      </c>
      <c r="K12" s="7">
        <f t="shared" si="3"/>
        <v>2022</v>
      </c>
      <c r="L12" s="7">
        <f t="shared" si="4"/>
        <v>78.48</v>
      </c>
      <c r="M12" s="6" t="str">
        <f t="shared" si="5"/>
        <v>Cheap</v>
      </c>
    </row>
    <row r="13" ht="15.75" customHeight="1">
      <c r="A13" s="4" t="s">
        <v>36</v>
      </c>
      <c r="B13" s="5">
        <v>44595.0</v>
      </c>
      <c r="C13" s="6" t="s">
        <v>14</v>
      </c>
      <c r="D13" s="6" t="s">
        <v>15</v>
      </c>
      <c r="E13" s="6" t="s">
        <v>24</v>
      </c>
      <c r="F13" s="6" t="s">
        <v>25</v>
      </c>
      <c r="G13" s="6">
        <v>31.0</v>
      </c>
      <c r="H13" s="6">
        <v>1.8699999999999999</v>
      </c>
      <c r="I13" s="7">
        <f t="shared" si="1"/>
        <v>3</v>
      </c>
      <c r="J13" s="7">
        <f t="shared" si="2"/>
        <v>2</v>
      </c>
      <c r="K13" s="7">
        <f t="shared" si="3"/>
        <v>2022</v>
      </c>
      <c r="L13" s="7">
        <f t="shared" si="4"/>
        <v>57.97</v>
      </c>
      <c r="M13" s="6" t="str">
        <f t="shared" si="5"/>
        <v>Cheap</v>
      </c>
    </row>
    <row r="14" ht="15.75" customHeight="1">
      <c r="A14" s="4" t="s">
        <v>37</v>
      </c>
      <c r="B14" s="5">
        <v>44598.0</v>
      </c>
      <c r="C14" s="6" t="s">
        <v>14</v>
      </c>
      <c r="D14" s="6" t="s">
        <v>15</v>
      </c>
      <c r="E14" s="6" t="s">
        <v>19</v>
      </c>
      <c r="F14" s="6" t="s">
        <v>20</v>
      </c>
      <c r="G14" s="6">
        <v>28.0</v>
      </c>
      <c r="H14" s="6">
        <v>3.4899999999999998</v>
      </c>
      <c r="I14" s="7">
        <f t="shared" si="1"/>
        <v>6</v>
      </c>
      <c r="J14" s="7">
        <f t="shared" si="2"/>
        <v>2</v>
      </c>
      <c r="K14" s="7">
        <f t="shared" si="3"/>
        <v>2022</v>
      </c>
      <c r="L14" s="7">
        <f t="shared" si="4"/>
        <v>97.72</v>
      </c>
      <c r="M14" s="6" t="str">
        <f t="shared" si="5"/>
        <v>Cheap</v>
      </c>
    </row>
    <row r="15" ht="15.75" customHeight="1">
      <c r="A15" s="4" t="s">
        <v>185</v>
      </c>
      <c r="B15" s="5">
        <v>44601.0</v>
      </c>
      <c r="C15" s="6" t="s">
        <v>182</v>
      </c>
      <c r="D15" s="6" t="s">
        <v>183</v>
      </c>
      <c r="E15" s="6" t="s">
        <v>16</v>
      </c>
      <c r="F15" s="6" t="s">
        <v>17</v>
      </c>
      <c r="G15" s="6">
        <v>44.0</v>
      </c>
      <c r="H15" s="6">
        <v>1.7699999999999998</v>
      </c>
      <c r="I15" s="7">
        <f t="shared" si="1"/>
        <v>9</v>
      </c>
      <c r="J15" s="7">
        <f t="shared" si="2"/>
        <v>2</v>
      </c>
      <c r="K15" s="7">
        <f t="shared" si="3"/>
        <v>2022</v>
      </c>
      <c r="L15" s="7">
        <f t="shared" si="4"/>
        <v>77.88</v>
      </c>
      <c r="M15" s="6" t="str">
        <f t="shared" si="5"/>
        <v>Cheap</v>
      </c>
    </row>
    <row r="16" ht="15.75" customHeight="1">
      <c r="A16" s="4" t="s">
        <v>38</v>
      </c>
      <c r="B16" s="5">
        <v>44604.0</v>
      </c>
      <c r="C16" s="6" t="s">
        <v>14</v>
      </c>
      <c r="D16" s="6" t="s">
        <v>23</v>
      </c>
      <c r="E16" s="6" t="s">
        <v>16</v>
      </c>
      <c r="F16" s="6" t="s">
        <v>17</v>
      </c>
      <c r="G16" s="6">
        <v>23.0</v>
      </c>
      <c r="H16" s="6">
        <v>1.77</v>
      </c>
      <c r="I16" s="7">
        <f t="shared" si="1"/>
        <v>12</v>
      </c>
      <c r="J16" s="7">
        <f t="shared" si="2"/>
        <v>2</v>
      </c>
      <c r="K16" s="7">
        <f t="shared" si="3"/>
        <v>2022</v>
      </c>
      <c r="L16" s="7">
        <f t="shared" si="4"/>
        <v>40.71</v>
      </c>
      <c r="M16" s="6" t="str">
        <f t="shared" si="5"/>
        <v>Cheap</v>
      </c>
    </row>
    <row r="17" ht="15.75" customHeight="1">
      <c r="A17" s="4" t="s">
        <v>39</v>
      </c>
      <c r="B17" s="5">
        <v>44607.0</v>
      </c>
      <c r="C17" s="6" t="s">
        <v>14</v>
      </c>
      <c r="D17" s="6" t="s">
        <v>23</v>
      </c>
      <c r="E17" s="6" t="s">
        <v>33</v>
      </c>
      <c r="F17" s="6" t="s">
        <v>34</v>
      </c>
      <c r="G17" s="6">
        <v>27.0</v>
      </c>
      <c r="H17" s="6">
        <v>1.35</v>
      </c>
      <c r="I17" s="7">
        <f t="shared" si="1"/>
        <v>15</v>
      </c>
      <c r="J17" s="7">
        <f t="shared" si="2"/>
        <v>2</v>
      </c>
      <c r="K17" s="7">
        <f t="shared" si="3"/>
        <v>2022</v>
      </c>
      <c r="L17" s="7">
        <f t="shared" si="4"/>
        <v>36.45</v>
      </c>
      <c r="M17" s="6" t="str">
        <f t="shared" si="5"/>
        <v>Cheap</v>
      </c>
    </row>
    <row r="18" ht="15.75" customHeight="1">
      <c r="A18" s="4" t="s">
        <v>40</v>
      </c>
      <c r="B18" s="5">
        <v>44610.0</v>
      </c>
      <c r="C18" s="6" t="s">
        <v>14</v>
      </c>
      <c r="D18" s="6" t="s">
        <v>15</v>
      </c>
      <c r="E18" s="6" t="s">
        <v>24</v>
      </c>
      <c r="F18" s="6" t="s">
        <v>28</v>
      </c>
      <c r="G18" s="6">
        <v>43.0</v>
      </c>
      <c r="H18" s="6">
        <v>2.1799999999999997</v>
      </c>
      <c r="I18" s="7">
        <f t="shared" si="1"/>
        <v>18</v>
      </c>
      <c r="J18" s="7">
        <f t="shared" si="2"/>
        <v>2</v>
      </c>
      <c r="K18" s="7">
        <f t="shared" si="3"/>
        <v>2022</v>
      </c>
      <c r="L18" s="7">
        <f t="shared" si="4"/>
        <v>93.74</v>
      </c>
      <c r="M18" s="6" t="str">
        <f t="shared" si="5"/>
        <v>Cheap</v>
      </c>
    </row>
    <row r="19" ht="15.75" customHeight="1">
      <c r="A19" s="4" t="s">
        <v>41</v>
      </c>
      <c r="B19" s="5">
        <v>44613.0</v>
      </c>
      <c r="C19" s="6" t="s">
        <v>14</v>
      </c>
      <c r="D19" s="6" t="s">
        <v>15</v>
      </c>
      <c r="E19" s="6" t="s">
        <v>24</v>
      </c>
      <c r="F19" s="6" t="s">
        <v>42</v>
      </c>
      <c r="G19" s="6">
        <v>123.0</v>
      </c>
      <c r="H19" s="6">
        <v>2.84</v>
      </c>
      <c r="I19" s="7">
        <f t="shared" si="1"/>
        <v>21</v>
      </c>
      <c r="J19" s="7">
        <f t="shared" si="2"/>
        <v>2</v>
      </c>
      <c r="K19" s="7">
        <f t="shared" si="3"/>
        <v>2022</v>
      </c>
      <c r="L19" s="7">
        <f t="shared" si="4"/>
        <v>349.32</v>
      </c>
      <c r="M19" s="6" t="str">
        <f t="shared" si="5"/>
        <v>Expensive</v>
      </c>
    </row>
    <row r="20" ht="15.75" customHeight="1">
      <c r="A20" s="4" t="s">
        <v>186</v>
      </c>
      <c r="B20" s="5">
        <v>44616.0</v>
      </c>
      <c r="C20" s="6" t="s">
        <v>182</v>
      </c>
      <c r="D20" s="6" t="s">
        <v>183</v>
      </c>
      <c r="E20" s="6" t="s">
        <v>16</v>
      </c>
      <c r="F20" s="6" t="s">
        <v>49</v>
      </c>
      <c r="G20" s="6">
        <v>42.0</v>
      </c>
      <c r="H20" s="6">
        <v>1.87</v>
      </c>
      <c r="I20" s="7">
        <f t="shared" si="1"/>
        <v>24</v>
      </c>
      <c r="J20" s="7">
        <f t="shared" si="2"/>
        <v>2</v>
      </c>
      <c r="K20" s="7">
        <f t="shared" si="3"/>
        <v>2022</v>
      </c>
      <c r="L20" s="7">
        <f t="shared" si="4"/>
        <v>78.54</v>
      </c>
      <c r="M20" s="6" t="str">
        <f t="shared" si="5"/>
        <v>Cheap</v>
      </c>
    </row>
    <row r="21" ht="15.75" customHeight="1">
      <c r="A21" s="4" t="s">
        <v>187</v>
      </c>
      <c r="B21" s="5">
        <v>44619.0</v>
      </c>
      <c r="C21" s="6" t="s">
        <v>182</v>
      </c>
      <c r="D21" s="6" t="s">
        <v>183</v>
      </c>
      <c r="E21" s="6" t="s">
        <v>24</v>
      </c>
      <c r="F21" s="6" t="s">
        <v>42</v>
      </c>
      <c r="G21" s="6">
        <v>33.0</v>
      </c>
      <c r="H21" s="6">
        <v>2.84</v>
      </c>
      <c r="I21" s="7">
        <f t="shared" si="1"/>
        <v>27</v>
      </c>
      <c r="J21" s="7">
        <f t="shared" si="2"/>
        <v>2</v>
      </c>
      <c r="K21" s="7">
        <f t="shared" si="3"/>
        <v>2022</v>
      </c>
      <c r="L21" s="7">
        <f t="shared" si="4"/>
        <v>93.72</v>
      </c>
      <c r="M21" s="6" t="str">
        <f t="shared" si="5"/>
        <v>Cheap</v>
      </c>
    </row>
    <row r="22" ht="15.75" customHeight="1">
      <c r="A22" s="4" t="s">
        <v>43</v>
      </c>
      <c r="B22" s="5">
        <v>44622.0</v>
      </c>
      <c r="C22" s="6" t="s">
        <v>14</v>
      </c>
      <c r="D22" s="6" t="s">
        <v>23</v>
      </c>
      <c r="E22" s="6" t="s">
        <v>24</v>
      </c>
      <c r="F22" s="6" t="s">
        <v>25</v>
      </c>
      <c r="G22" s="6">
        <v>85.0</v>
      </c>
      <c r="H22" s="6">
        <v>1.8699999999999999</v>
      </c>
      <c r="I22" s="7">
        <f t="shared" si="1"/>
        <v>2</v>
      </c>
      <c r="J22" s="7">
        <f t="shared" si="2"/>
        <v>3</v>
      </c>
      <c r="K22" s="7">
        <f t="shared" si="3"/>
        <v>2022</v>
      </c>
      <c r="L22" s="7">
        <f t="shared" si="4"/>
        <v>158.95</v>
      </c>
      <c r="M22" s="6" t="str">
        <f t="shared" si="5"/>
        <v>Expensive</v>
      </c>
    </row>
    <row r="23" ht="15.75" customHeight="1">
      <c r="A23" s="4" t="s">
        <v>188</v>
      </c>
      <c r="B23" s="5">
        <v>44625.0</v>
      </c>
      <c r="C23" s="6" t="s">
        <v>182</v>
      </c>
      <c r="D23" s="6" t="s">
        <v>189</v>
      </c>
      <c r="E23" s="6" t="s">
        <v>24</v>
      </c>
      <c r="F23" s="6" t="s">
        <v>42</v>
      </c>
      <c r="G23" s="6">
        <v>30.0</v>
      </c>
      <c r="H23" s="6">
        <v>2.8400000000000003</v>
      </c>
      <c r="I23" s="7">
        <f t="shared" si="1"/>
        <v>5</v>
      </c>
      <c r="J23" s="7">
        <f t="shared" si="2"/>
        <v>3</v>
      </c>
      <c r="K23" s="7">
        <f t="shared" si="3"/>
        <v>2022</v>
      </c>
      <c r="L23" s="7">
        <f t="shared" si="4"/>
        <v>85.2</v>
      </c>
      <c r="M23" s="6" t="str">
        <f t="shared" si="5"/>
        <v>Cheap</v>
      </c>
    </row>
    <row r="24" ht="15.75" customHeight="1">
      <c r="A24" s="4" t="s">
        <v>44</v>
      </c>
      <c r="B24" s="5">
        <v>44628.0</v>
      </c>
      <c r="C24" s="6" t="s">
        <v>14</v>
      </c>
      <c r="D24" s="6" t="s">
        <v>15</v>
      </c>
      <c r="E24" s="6" t="s">
        <v>16</v>
      </c>
      <c r="F24" s="6" t="s">
        <v>17</v>
      </c>
      <c r="G24" s="6">
        <v>61.0</v>
      </c>
      <c r="H24" s="6">
        <v>1.77</v>
      </c>
      <c r="I24" s="7">
        <f t="shared" si="1"/>
        <v>8</v>
      </c>
      <c r="J24" s="7">
        <f t="shared" si="2"/>
        <v>3</v>
      </c>
      <c r="K24" s="7">
        <f t="shared" si="3"/>
        <v>2022</v>
      </c>
      <c r="L24" s="7">
        <f t="shared" si="4"/>
        <v>107.97</v>
      </c>
      <c r="M24" s="6" t="str">
        <f t="shared" si="5"/>
        <v>Expensive</v>
      </c>
    </row>
    <row r="25" ht="15.75" customHeight="1">
      <c r="A25" s="4" t="s">
        <v>45</v>
      </c>
      <c r="B25" s="5">
        <v>44631.0</v>
      </c>
      <c r="C25" s="6" t="s">
        <v>14</v>
      </c>
      <c r="D25" s="6" t="s">
        <v>15</v>
      </c>
      <c r="E25" s="6" t="s">
        <v>19</v>
      </c>
      <c r="F25" s="6" t="s">
        <v>20</v>
      </c>
      <c r="G25" s="6">
        <v>40.0</v>
      </c>
      <c r="H25" s="6">
        <v>3.4899999999999998</v>
      </c>
      <c r="I25" s="7">
        <f t="shared" si="1"/>
        <v>11</v>
      </c>
      <c r="J25" s="7">
        <f t="shared" si="2"/>
        <v>3</v>
      </c>
      <c r="K25" s="7">
        <f t="shared" si="3"/>
        <v>2022</v>
      </c>
      <c r="L25" s="7">
        <f t="shared" si="4"/>
        <v>139.6</v>
      </c>
      <c r="M25" s="6" t="str">
        <f t="shared" si="5"/>
        <v>Expensive</v>
      </c>
    </row>
    <row r="26" ht="15.75" customHeight="1">
      <c r="A26" s="4" t="s">
        <v>190</v>
      </c>
      <c r="B26" s="5">
        <v>44634.0</v>
      </c>
      <c r="C26" s="6" t="s">
        <v>182</v>
      </c>
      <c r="D26" s="6" t="s">
        <v>183</v>
      </c>
      <c r="E26" s="6" t="s">
        <v>24</v>
      </c>
      <c r="F26" s="6" t="s">
        <v>25</v>
      </c>
      <c r="G26" s="6">
        <v>86.0</v>
      </c>
      <c r="H26" s="6">
        <v>1.8699999999999999</v>
      </c>
      <c r="I26" s="7">
        <f t="shared" si="1"/>
        <v>14</v>
      </c>
      <c r="J26" s="7">
        <f t="shared" si="2"/>
        <v>3</v>
      </c>
      <c r="K26" s="7">
        <f t="shared" si="3"/>
        <v>2022</v>
      </c>
      <c r="L26" s="7">
        <f t="shared" si="4"/>
        <v>160.82</v>
      </c>
      <c r="M26" s="6" t="str">
        <f t="shared" si="5"/>
        <v>Expensive</v>
      </c>
    </row>
    <row r="27" ht="15.75" customHeight="1">
      <c r="A27" s="4" t="s">
        <v>46</v>
      </c>
      <c r="B27" s="5">
        <v>44637.0</v>
      </c>
      <c r="C27" s="6" t="s">
        <v>14</v>
      </c>
      <c r="D27" s="6" t="s">
        <v>23</v>
      </c>
      <c r="E27" s="6" t="s">
        <v>16</v>
      </c>
      <c r="F27" s="6" t="s">
        <v>17</v>
      </c>
      <c r="G27" s="6">
        <v>38.0</v>
      </c>
      <c r="H27" s="6">
        <v>1.7700000000000002</v>
      </c>
      <c r="I27" s="7">
        <f t="shared" si="1"/>
        <v>17</v>
      </c>
      <c r="J27" s="7">
        <f t="shared" si="2"/>
        <v>3</v>
      </c>
      <c r="K27" s="7">
        <f t="shared" si="3"/>
        <v>2022</v>
      </c>
      <c r="L27" s="7">
        <f t="shared" si="4"/>
        <v>67.26</v>
      </c>
      <c r="M27" s="6" t="str">
        <f t="shared" si="5"/>
        <v>Cheap</v>
      </c>
    </row>
    <row r="28" ht="15.75" customHeight="1">
      <c r="A28" s="4" t="s">
        <v>47</v>
      </c>
      <c r="B28" s="5">
        <v>44640.0</v>
      </c>
      <c r="C28" s="6" t="s">
        <v>14</v>
      </c>
      <c r="D28" s="6" t="s">
        <v>23</v>
      </c>
      <c r="E28" s="6" t="s">
        <v>33</v>
      </c>
      <c r="F28" s="6" t="s">
        <v>34</v>
      </c>
      <c r="G28" s="6">
        <v>68.0</v>
      </c>
      <c r="H28" s="6">
        <v>1.68</v>
      </c>
      <c r="I28" s="7">
        <f t="shared" si="1"/>
        <v>20</v>
      </c>
      <c r="J28" s="7">
        <f t="shared" si="2"/>
        <v>3</v>
      </c>
      <c r="K28" s="7">
        <f t="shared" si="3"/>
        <v>2022</v>
      </c>
      <c r="L28" s="7">
        <f t="shared" si="4"/>
        <v>114.24</v>
      </c>
      <c r="M28" s="6" t="str">
        <f t="shared" si="5"/>
        <v>Expensive</v>
      </c>
    </row>
    <row r="29" ht="15.75" customHeight="1">
      <c r="A29" s="4" t="s">
        <v>191</v>
      </c>
      <c r="B29" s="5">
        <v>44643.0</v>
      </c>
      <c r="C29" s="6" t="s">
        <v>182</v>
      </c>
      <c r="D29" s="6" t="s">
        <v>189</v>
      </c>
      <c r="E29" s="6" t="s">
        <v>24</v>
      </c>
      <c r="F29" s="6" t="s">
        <v>25</v>
      </c>
      <c r="G29" s="6">
        <v>39.0</v>
      </c>
      <c r="H29" s="6">
        <v>1.87</v>
      </c>
      <c r="I29" s="7">
        <f t="shared" si="1"/>
        <v>23</v>
      </c>
      <c r="J29" s="7">
        <f t="shared" si="2"/>
        <v>3</v>
      </c>
      <c r="K29" s="7">
        <f t="shared" si="3"/>
        <v>2022</v>
      </c>
      <c r="L29" s="7">
        <f t="shared" si="4"/>
        <v>72.93</v>
      </c>
      <c r="M29" s="6" t="str">
        <f t="shared" si="5"/>
        <v>Cheap</v>
      </c>
    </row>
    <row r="30" ht="15.75" customHeight="1">
      <c r="A30" s="4" t="s">
        <v>48</v>
      </c>
      <c r="B30" s="5">
        <v>44646.0</v>
      </c>
      <c r="C30" s="6" t="s">
        <v>14</v>
      </c>
      <c r="D30" s="6" t="s">
        <v>15</v>
      </c>
      <c r="E30" s="6" t="s">
        <v>16</v>
      </c>
      <c r="F30" s="6" t="s">
        <v>49</v>
      </c>
      <c r="G30" s="6">
        <v>103.0</v>
      </c>
      <c r="H30" s="6">
        <v>1.87</v>
      </c>
      <c r="I30" s="7">
        <f t="shared" si="1"/>
        <v>26</v>
      </c>
      <c r="J30" s="7">
        <f t="shared" si="2"/>
        <v>3</v>
      </c>
      <c r="K30" s="7">
        <f t="shared" si="3"/>
        <v>2022</v>
      </c>
      <c r="L30" s="7">
        <f t="shared" si="4"/>
        <v>192.61</v>
      </c>
      <c r="M30" s="6" t="str">
        <f t="shared" si="5"/>
        <v>Expensive</v>
      </c>
    </row>
    <row r="31" ht="15.75" customHeight="1">
      <c r="A31" s="4" t="s">
        <v>50</v>
      </c>
      <c r="B31" s="5">
        <v>44649.0</v>
      </c>
      <c r="C31" s="6" t="s">
        <v>14</v>
      </c>
      <c r="D31" s="6" t="s">
        <v>15</v>
      </c>
      <c r="E31" s="6" t="s">
        <v>24</v>
      </c>
      <c r="F31" s="6" t="s">
        <v>42</v>
      </c>
      <c r="G31" s="6">
        <v>193.0</v>
      </c>
      <c r="H31" s="6">
        <v>2.84</v>
      </c>
      <c r="I31" s="7">
        <f t="shared" si="1"/>
        <v>29</v>
      </c>
      <c r="J31" s="7">
        <f t="shared" si="2"/>
        <v>3</v>
      </c>
      <c r="K31" s="7">
        <f t="shared" si="3"/>
        <v>2022</v>
      </c>
      <c r="L31" s="7">
        <f t="shared" si="4"/>
        <v>548.12</v>
      </c>
      <c r="M31" s="6" t="str">
        <f t="shared" si="5"/>
        <v>Expensive</v>
      </c>
    </row>
    <row r="32" ht="15.75" customHeight="1">
      <c r="A32" s="4" t="s">
        <v>192</v>
      </c>
      <c r="B32" s="5">
        <v>44652.0</v>
      </c>
      <c r="C32" s="6" t="s">
        <v>182</v>
      </c>
      <c r="D32" s="6" t="s">
        <v>183</v>
      </c>
      <c r="E32" s="6" t="s">
        <v>16</v>
      </c>
      <c r="F32" s="6" t="s">
        <v>17</v>
      </c>
      <c r="G32" s="6">
        <v>58.0</v>
      </c>
      <c r="H32" s="6">
        <v>1.77</v>
      </c>
      <c r="I32" s="7">
        <f t="shared" si="1"/>
        <v>1</v>
      </c>
      <c r="J32" s="7">
        <f t="shared" si="2"/>
        <v>4</v>
      </c>
      <c r="K32" s="7">
        <f t="shared" si="3"/>
        <v>2022</v>
      </c>
      <c r="L32" s="7">
        <f t="shared" si="4"/>
        <v>102.66</v>
      </c>
      <c r="M32" s="6" t="str">
        <f t="shared" si="5"/>
        <v>Expensive</v>
      </c>
    </row>
    <row r="33" ht="15.75" customHeight="1">
      <c r="A33" s="4" t="s">
        <v>193</v>
      </c>
      <c r="B33" s="5">
        <v>44655.0</v>
      </c>
      <c r="C33" s="6" t="s">
        <v>182</v>
      </c>
      <c r="D33" s="6" t="s">
        <v>183</v>
      </c>
      <c r="E33" s="6" t="s">
        <v>33</v>
      </c>
      <c r="F33" s="6" t="s">
        <v>34</v>
      </c>
      <c r="G33" s="6">
        <v>68.0</v>
      </c>
      <c r="H33" s="6">
        <v>1.68</v>
      </c>
      <c r="I33" s="7">
        <f t="shared" si="1"/>
        <v>4</v>
      </c>
      <c r="J33" s="7">
        <f t="shared" si="2"/>
        <v>4</v>
      </c>
      <c r="K33" s="7">
        <f t="shared" si="3"/>
        <v>2022</v>
      </c>
      <c r="L33" s="7">
        <f t="shared" si="4"/>
        <v>114.24</v>
      </c>
      <c r="M33" s="6" t="str">
        <f t="shared" si="5"/>
        <v>Expensive</v>
      </c>
    </row>
    <row r="34" ht="15.75" customHeight="1">
      <c r="A34" s="4" t="s">
        <v>51</v>
      </c>
      <c r="B34" s="5">
        <v>44658.0</v>
      </c>
      <c r="C34" s="6" t="s">
        <v>14</v>
      </c>
      <c r="D34" s="6" t="s">
        <v>23</v>
      </c>
      <c r="E34" s="6" t="s">
        <v>16</v>
      </c>
      <c r="F34" s="6" t="s">
        <v>17</v>
      </c>
      <c r="G34" s="6">
        <v>91.0</v>
      </c>
      <c r="H34" s="6">
        <v>1.77</v>
      </c>
      <c r="I34" s="7">
        <f t="shared" si="1"/>
        <v>7</v>
      </c>
      <c r="J34" s="7">
        <f t="shared" si="2"/>
        <v>4</v>
      </c>
      <c r="K34" s="7">
        <f t="shared" si="3"/>
        <v>2022</v>
      </c>
      <c r="L34" s="7">
        <f t="shared" si="4"/>
        <v>161.07</v>
      </c>
      <c r="M34" s="6" t="str">
        <f t="shared" si="5"/>
        <v>Expensive</v>
      </c>
    </row>
    <row r="35" ht="15.75" customHeight="1">
      <c r="A35" s="4" t="s">
        <v>52</v>
      </c>
      <c r="B35" s="5">
        <v>44661.0</v>
      </c>
      <c r="C35" s="6" t="s">
        <v>14</v>
      </c>
      <c r="D35" s="6" t="s">
        <v>23</v>
      </c>
      <c r="E35" s="6" t="s">
        <v>19</v>
      </c>
      <c r="F35" s="6" t="s">
        <v>20</v>
      </c>
      <c r="G35" s="6">
        <v>23.0</v>
      </c>
      <c r="H35" s="6">
        <v>3.4899999999999998</v>
      </c>
      <c r="I35" s="7">
        <f t="shared" si="1"/>
        <v>10</v>
      </c>
      <c r="J35" s="7">
        <f t="shared" si="2"/>
        <v>4</v>
      </c>
      <c r="K35" s="7">
        <f t="shared" si="3"/>
        <v>2022</v>
      </c>
      <c r="L35" s="7">
        <f t="shared" si="4"/>
        <v>80.27</v>
      </c>
      <c r="M35" s="6" t="str">
        <f t="shared" si="5"/>
        <v>Cheap</v>
      </c>
    </row>
    <row r="36" ht="15.75" customHeight="1">
      <c r="A36" s="4" t="s">
        <v>194</v>
      </c>
      <c r="B36" s="5">
        <v>44664.0</v>
      </c>
      <c r="C36" s="6" t="s">
        <v>182</v>
      </c>
      <c r="D36" s="6" t="s">
        <v>189</v>
      </c>
      <c r="E36" s="6" t="s">
        <v>33</v>
      </c>
      <c r="F36" s="6" t="s">
        <v>34</v>
      </c>
      <c r="G36" s="6">
        <v>28.0</v>
      </c>
      <c r="H36" s="6">
        <v>1.68</v>
      </c>
      <c r="I36" s="7">
        <f t="shared" si="1"/>
        <v>13</v>
      </c>
      <c r="J36" s="7">
        <f t="shared" si="2"/>
        <v>4</v>
      </c>
      <c r="K36" s="7">
        <f t="shared" si="3"/>
        <v>2022</v>
      </c>
      <c r="L36" s="7">
        <f t="shared" si="4"/>
        <v>47.04</v>
      </c>
      <c r="M36" s="6" t="str">
        <f t="shared" si="5"/>
        <v>Cheap</v>
      </c>
    </row>
    <row r="37" ht="15.75" customHeight="1">
      <c r="A37" s="4" t="s">
        <v>53</v>
      </c>
      <c r="B37" s="5">
        <v>44667.0</v>
      </c>
      <c r="C37" s="6" t="s">
        <v>14</v>
      </c>
      <c r="D37" s="6" t="s">
        <v>15</v>
      </c>
      <c r="E37" s="6" t="s">
        <v>16</v>
      </c>
      <c r="F37" s="6" t="s">
        <v>17</v>
      </c>
      <c r="G37" s="6">
        <v>48.0</v>
      </c>
      <c r="H37" s="6">
        <v>1.7699999999999998</v>
      </c>
      <c r="I37" s="7">
        <f t="shared" si="1"/>
        <v>16</v>
      </c>
      <c r="J37" s="7">
        <f t="shared" si="2"/>
        <v>4</v>
      </c>
      <c r="K37" s="7">
        <f t="shared" si="3"/>
        <v>2022</v>
      </c>
      <c r="L37" s="7">
        <f t="shared" si="4"/>
        <v>84.96</v>
      </c>
      <c r="M37" s="6" t="str">
        <f t="shared" si="5"/>
        <v>Cheap</v>
      </c>
    </row>
    <row r="38" ht="15.75" customHeight="1">
      <c r="A38" s="4" t="s">
        <v>54</v>
      </c>
      <c r="B38" s="5">
        <v>44670.0</v>
      </c>
      <c r="C38" s="6" t="s">
        <v>14</v>
      </c>
      <c r="D38" s="6" t="s">
        <v>15</v>
      </c>
      <c r="E38" s="6" t="s">
        <v>33</v>
      </c>
      <c r="F38" s="6" t="s">
        <v>34</v>
      </c>
      <c r="G38" s="6">
        <v>134.0</v>
      </c>
      <c r="H38" s="6">
        <v>1.68</v>
      </c>
      <c r="I38" s="7">
        <f t="shared" si="1"/>
        <v>19</v>
      </c>
      <c r="J38" s="7">
        <f t="shared" si="2"/>
        <v>4</v>
      </c>
      <c r="K38" s="7">
        <f t="shared" si="3"/>
        <v>2022</v>
      </c>
      <c r="L38" s="7">
        <f t="shared" si="4"/>
        <v>225.12</v>
      </c>
      <c r="M38" s="6" t="str">
        <f t="shared" si="5"/>
        <v>Expensive</v>
      </c>
    </row>
    <row r="39" ht="15.75" customHeight="1">
      <c r="A39" s="4" t="s">
        <v>195</v>
      </c>
      <c r="B39" s="5">
        <v>44673.0</v>
      </c>
      <c r="C39" s="6" t="s">
        <v>182</v>
      </c>
      <c r="D39" s="6" t="s">
        <v>183</v>
      </c>
      <c r="E39" s="6" t="s">
        <v>16</v>
      </c>
      <c r="F39" s="6" t="s">
        <v>17</v>
      </c>
      <c r="G39" s="6">
        <v>20.0</v>
      </c>
      <c r="H39" s="6">
        <v>1.77</v>
      </c>
      <c r="I39" s="7">
        <f t="shared" si="1"/>
        <v>22</v>
      </c>
      <c r="J39" s="7">
        <f t="shared" si="2"/>
        <v>4</v>
      </c>
      <c r="K39" s="7">
        <f t="shared" si="3"/>
        <v>2022</v>
      </c>
      <c r="L39" s="7">
        <f t="shared" si="4"/>
        <v>35.4</v>
      </c>
      <c r="M39" s="6" t="str">
        <f t="shared" si="5"/>
        <v>Cheap</v>
      </c>
    </row>
    <row r="40" ht="15.75" customHeight="1">
      <c r="A40" s="4" t="s">
        <v>55</v>
      </c>
      <c r="B40" s="5">
        <v>44676.0</v>
      </c>
      <c r="C40" s="6" t="s">
        <v>14</v>
      </c>
      <c r="D40" s="6" t="s">
        <v>23</v>
      </c>
      <c r="E40" s="6" t="s">
        <v>16</v>
      </c>
      <c r="F40" s="6" t="s">
        <v>17</v>
      </c>
      <c r="G40" s="6">
        <v>53.0</v>
      </c>
      <c r="H40" s="6">
        <v>1.77</v>
      </c>
      <c r="I40" s="7">
        <f t="shared" si="1"/>
        <v>25</v>
      </c>
      <c r="J40" s="7">
        <f t="shared" si="2"/>
        <v>4</v>
      </c>
      <c r="K40" s="7">
        <f t="shared" si="3"/>
        <v>2022</v>
      </c>
      <c r="L40" s="7">
        <f t="shared" si="4"/>
        <v>93.81</v>
      </c>
      <c r="M40" s="6" t="str">
        <f t="shared" si="5"/>
        <v>Cheap</v>
      </c>
    </row>
    <row r="41" ht="15.75" customHeight="1">
      <c r="A41" s="4" t="s">
        <v>56</v>
      </c>
      <c r="B41" s="5">
        <v>44679.0</v>
      </c>
      <c r="C41" s="6" t="s">
        <v>14</v>
      </c>
      <c r="D41" s="6" t="s">
        <v>23</v>
      </c>
      <c r="E41" s="6" t="s">
        <v>33</v>
      </c>
      <c r="F41" s="6" t="s">
        <v>34</v>
      </c>
      <c r="G41" s="6">
        <v>64.0</v>
      </c>
      <c r="H41" s="6">
        <v>1.68</v>
      </c>
      <c r="I41" s="7">
        <f t="shared" si="1"/>
        <v>28</v>
      </c>
      <c r="J41" s="7">
        <f t="shared" si="2"/>
        <v>4</v>
      </c>
      <c r="K41" s="7">
        <f t="shared" si="3"/>
        <v>2022</v>
      </c>
      <c r="L41" s="7">
        <f t="shared" si="4"/>
        <v>107.52</v>
      </c>
      <c r="M41" s="6" t="str">
        <f t="shared" si="5"/>
        <v>Expensive</v>
      </c>
    </row>
    <row r="42" ht="15.75" customHeight="1">
      <c r="A42" s="4" t="s">
        <v>196</v>
      </c>
      <c r="B42" s="5">
        <v>44682.0</v>
      </c>
      <c r="C42" s="6" t="s">
        <v>182</v>
      </c>
      <c r="D42" s="6" t="s">
        <v>189</v>
      </c>
      <c r="E42" s="6" t="s">
        <v>24</v>
      </c>
      <c r="F42" s="6" t="s">
        <v>25</v>
      </c>
      <c r="G42" s="6">
        <v>63.0</v>
      </c>
      <c r="H42" s="6">
        <v>1.87</v>
      </c>
      <c r="I42" s="7">
        <f t="shared" si="1"/>
        <v>1</v>
      </c>
      <c r="J42" s="7">
        <f t="shared" si="2"/>
        <v>5</v>
      </c>
      <c r="K42" s="7">
        <f t="shared" si="3"/>
        <v>2022</v>
      </c>
      <c r="L42" s="7">
        <f t="shared" si="4"/>
        <v>117.81</v>
      </c>
      <c r="M42" s="6" t="str">
        <f t="shared" si="5"/>
        <v>Expensive</v>
      </c>
    </row>
    <row r="43" ht="15.75" customHeight="1">
      <c r="A43" s="4" t="s">
        <v>57</v>
      </c>
      <c r="B43" s="5">
        <v>44685.0</v>
      </c>
      <c r="C43" s="6" t="s">
        <v>14</v>
      </c>
      <c r="D43" s="6" t="s">
        <v>15</v>
      </c>
      <c r="E43" s="6" t="s">
        <v>16</v>
      </c>
      <c r="F43" s="6" t="s">
        <v>49</v>
      </c>
      <c r="G43" s="6">
        <v>105.0</v>
      </c>
      <c r="H43" s="6">
        <v>1.8699999999999999</v>
      </c>
      <c r="I43" s="7">
        <f t="shared" si="1"/>
        <v>4</v>
      </c>
      <c r="J43" s="7">
        <f t="shared" si="2"/>
        <v>5</v>
      </c>
      <c r="K43" s="7">
        <f t="shared" si="3"/>
        <v>2022</v>
      </c>
      <c r="L43" s="7">
        <f t="shared" si="4"/>
        <v>196.35</v>
      </c>
      <c r="M43" s="6" t="str">
        <f t="shared" si="5"/>
        <v>Expensive</v>
      </c>
    </row>
    <row r="44" ht="15.75" customHeight="1">
      <c r="A44" s="4" t="s">
        <v>58</v>
      </c>
      <c r="B44" s="5">
        <v>44688.0</v>
      </c>
      <c r="C44" s="6" t="s">
        <v>14</v>
      </c>
      <c r="D44" s="6" t="s">
        <v>15</v>
      </c>
      <c r="E44" s="6" t="s">
        <v>24</v>
      </c>
      <c r="F44" s="6" t="s">
        <v>42</v>
      </c>
      <c r="G44" s="6">
        <v>138.0</v>
      </c>
      <c r="H44" s="6">
        <v>2.8400000000000003</v>
      </c>
      <c r="I44" s="7">
        <f t="shared" si="1"/>
        <v>7</v>
      </c>
      <c r="J44" s="7">
        <f t="shared" si="2"/>
        <v>5</v>
      </c>
      <c r="K44" s="7">
        <f t="shared" si="3"/>
        <v>2022</v>
      </c>
      <c r="L44" s="7">
        <f t="shared" si="4"/>
        <v>391.92</v>
      </c>
      <c r="M44" s="6" t="str">
        <f t="shared" si="5"/>
        <v>Expensive</v>
      </c>
    </row>
    <row r="45" ht="15.75" customHeight="1">
      <c r="A45" s="4" t="s">
        <v>197</v>
      </c>
      <c r="B45" s="5">
        <v>44691.0</v>
      </c>
      <c r="C45" s="6" t="s">
        <v>182</v>
      </c>
      <c r="D45" s="6" t="s">
        <v>183</v>
      </c>
      <c r="E45" s="6" t="s">
        <v>16</v>
      </c>
      <c r="F45" s="6" t="s">
        <v>17</v>
      </c>
      <c r="G45" s="6">
        <v>25.0</v>
      </c>
      <c r="H45" s="6">
        <v>1.77</v>
      </c>
      <c r="I45" s="7">
        <f t="shared" si="1"/>
        <v>10</v>
      </c>
      <c r="J45" s="7">
        <f t="shared" si="2"/>
        <v>5</v>
      </c>
      <c r="K45" s="7">
        <f t="shared" si="3"/>
        <v>2022</v>
      </c>
      <c r="L45" s="7">
        <f t="shared" si="4"/>
        <v>44.25</v>
      </c>
      <c r="M45" s="6" t="str">
        <f t="shared" si="5"/>
        <v>Cheap</v>
      </c>
    </row>
    <row r="46" ht="15.75" customHeight="1">
      <c r="A46" s="4" t="s">
        <v>198</v>
      </c>
      <c r="B46" s="5">
        <v>44694.0</v>
      </c>
      <c r="C46" s="6" t="s">
        <v>182</v>
      </c>
      <c r="D46" s="6" t="s">
        <v>183</v>
      </c>
      <c r="E46" s="6" t="s">
        <v>19</v>
      </c>
      <c r="F46" s="6" t="s">
        <v>20</v>
      </c>
      <c r="G46" s="6">
        <v>21.0</v>
      </c>
      <c r="H46" s="6">
        <v>3.49</v>
      </c>
      <c r="I46" s="7">
        <f t="shared" si="1"/>
        <v>13</v>
      </c>
      <c r="J46" s="7">
        <f t="shared" si="2"/>
        <v>5</v>
      </c>
      <c r="K46" s="7">
        <f t="shared" si="3"/>
        <v>2022</v>
      </c>
      <c r="L46" s="7">
        <f t="shared" si="4"/>
        <v>73.29</v>
      </c>
      <c r="M46" s="6" t="str">
        <f t="shared" si="5"/>
        <v>Cheap</v>
      </c>
    </row>
    <row r="47" ht="15.75" customHeight="1">
      <c r="A47" s="4" t="s">
        <v>59</v>
      </c>
      <c r="B47" s="5">
        <v>44697.0</v>
      </c>
      <c r="C47" s="6" t="s">
        <v>14</v>
      </c>
      <c r="D47" s="6" t="s">
        <v>23</v>
      </c>
      <c r="E47" s="6" t="s">
        <v>16</v>
      </c>
      <c r="F47" s="6" t="s">
        <v>17</v>
      </c>
      <c r="G47" s="6">
        <v>61.0</v>
      </c>
      <c r="H47" s="6">
        <v>1.77</v>
      </c>
      <c r="I47" s="7">
        <f t="shared" si="1"/>
        <v>16</v>
      </c>
      <c r="J47" s="7">
        <f t="shared" si="2"/>
        <v>5</v>
      </c>
      <c r="K47" s="7">
        <f t="shared" si="3"/>
        <v>2022</v>
      </c>
      <c r="L47" s="7">
        <f t="shared" si="4"/>
        <v>107.97</v>
      </c>
      <c r="M47" s="6" t="str">
        <f t="shared" si="5"/>
        <v>Expensive</v>
      </c>
    </row>
    <row r="48" ht="15.75" customHeight="1">
      <c r="A48" s="4" t="s">
        <v>60</v>
      </c>
      <c r="B48" s="5">
        <v>44700.0</v>
      </c>
      <c r="C48" s="6" t="s">
        <v>14</v>
      </c>
      <c r="D48" s="6" t="s">
        <v>23</v>
      </c>
      <c r="E48" s="6" t="s">
        <v>33</v>
      </c>
      <c r="F48" s="6" t="s">
        <v>34</v>
      </c>
      <c r="G48" s="6">
        <v>49.0</v>
      </c>
      <c r="H48" s="6">
        <v>1.68</v>
      </c>
      <c r="I48" s="7">
        <f t="shared" si="1"/>
        <v>19</v>
      </c>
      <c r="J48" s="7">
        <f t="shared" si="2"/>
        <v>5</v>
      </c>
      <c r="K48" s="7">
        <f t="shared" si="3"/>
        <v>2022</v>
      </c>
      <c r="L48" s="7">
        <f t="shared" si="4"/>
        <v>82.32</v>
      </c>
      <c r="M48" s="6" t="str">
        <f t="shared" si="5"/>
        <v>Cheap</v>
      </c>
    </row>
    <row r="49" ht="15.75" customHeight="1">
      <c r="A49" s="4" t="s">
        <v>199</v>
      </c>
      <c r="B49" s="5">
        <v>44703.0</v>
      </c>
      <c r="C49" s="6" t="s">
        <v>182</v>
      </c>
      <c r="D49" s="6" t="s">
        <v>189</v>
      </c>
      <c r="E49" s="6" t="s">
        <v>24</v>
      </c>
      <c r="F49" s="6" t="s">
        <v>25</v>
      </c>
      <c r="G49" s="6">
        <v>55.0</v>
      </c>
      <c r="H49" s="6">
        <v>1.8699999999999999</v>
      </c>
      <c r="I49" s="7">
        <f t="shared" si="1"/>
        <v>22</v>
      </c>
      <c r="J49" s="7">
        <f t="shared" si="2"/>
        <v>5</v>
      </c>
      <c r="K49" s="7">
        <f t="shared" si="3"/>
        <v>2022</v>
      </c>
      <c r="L49" s="7">
        <f t="shared" si="4"/>
        <v>102.85</v>
      </c>
      <c r="M49" s="6" t="str">
        <f t="shared" si="5"/>
        <v>Expensive</v>
      </c>
    </row>
    <row r="50" ht="15.75" customHeight="1">
      <c r="A50" s="4" t="s">
        <v>61</v>
      </c>
      <c r="B50" s="5">
        <v>44706.0</v>
      </c>
      <c r="C50" s="6" t="s">
        <v>14</v>
      </c>
      <c r="D50" s="6" t="s">
        <v>15</v>
      </c>
      <c r="E50" s="6" t="s">
        <v>24</v>
      </c>
      <c r="F50" s="6" t="s">
        <v>28</v>
      </c>
      <c r="G50" s="6">
        <v>27.0</v>
      </c>
      <c r="H50" s="6">
        <v>2.18</v>
      </c>
      <c r="I50" s="7">
        <f t="shared" si="1"/>
        <v>25</v>
      </c>
      <c r="J50" s="7">
        <f t="shared" si="2"/>
        <v>5</v>
      </c>
      <c r="K50" s="7">
        <f t="shared" si="3"/>
        <v>2022</v>
      </c>
      <c r="L50" s="7">
        <f t="shared" si="4"/>
        <v>58.86</v>
      </c>
      <c r="M50" s="6" t="str">
        <f t="shared" si="5"/>
        <v>Cheap</v>
      </c>
    </row>
    <row r="51" ht="15.75" customHeight="1">
      <c r="A51" s="4" t="s">
        <v>62</v>
      </c>
      <c r="B51" s="5">
        <v>44709.0</v>
      </c>
      <c r="C51" s="6" t="s">
        <v>14</v>
      </c>
      <c r="D51" s="6" t="s">
        <v>15</v>
      </c>
      <c r="E51" s="6" t="s">
        <v>16</v>
      </c>
      <c r="F51" s="6" t="s">
        <v>17</v>
      </c>
      <c r="G51" s="6">
        <v>58.0</v>
      </c>
      <c r="H51" s="6">
        <v>1.77</v>
      </c>
      <c r="I51" s="7">
        <f t="shared" si="1"/>
        <v>28</v>
      </c>
      <c r="J51" s="7">
        <f t="shared" si="2"/>
        <v>5</v>
      </c>
      <c r="K51" s="7">
        <f t="shared" si="3"/>
        <v>2022</v>
      </c>
      <c r="L51" s="7">
        <f t="shared" si="4"/>
        <v>102.66</v>
      </c>
      <c r="M51" s="6" t="str">
        <f t="shared" si="5"/>
        <v>Expensive</v>
      </c>
    </row>
    <row r="52" ht="15.75" customHeight="1">
      <c r="A52" s="4" t="s">
        <v>63</v>
      </c>
      <c r="B52" s="5">
        <v>44712.0</v>
      </c>
      <c r="C52" s="6" t="s">
        <v>14</v>
      </c>
      <c r="D52" s="6" t="s">
        <v>15</v>
      </c>
      <c r="E52" s="6" t="s">
        <v>19</v>
      </c>
      <c r="F52" s="6" t="s">
        <v>20</v>
      </c>
      <c r="G52" s="6">
        <v>33.0</v>
      </c>
      <c r="H52" s="6">
        <v>3.49</v>
      </c>
      <c r="I52" s="7">
        <f t="shared" si="1"/>
        <v>31</v>
      </c>
      <c r="J52" s="7">
        <f t="shared" si="2"/>
        <v>5</v>
      </c>
      <c r="K52" s="7">
        <f t="shared" si="3"/>
        <v>2022</v>
      </c>
      <c r="L52" s="7">
        <f t="shared" si="4"/>
        <v>115.17</v>
      </c>
      <c r="M52" s="6" t="str">
        <f t="shared" si="5"/>
        <v>Expensive</v>
      </c>
    </row>
    <row r="53" ht="15.75" customHeight="1">
      <c r="A53" s="4" t="s">
        <v>200</v>
      </c>
      <c r="B53" s="5">
        <v>44715.0</v>
      </c>
      <c r="C53" s="6" t="s">
        <v>182</v>
      </c>
      <c r="D53" s="6" t="s">
        <v>183</v>
      </c>
      <c r="E53" s="6" t="s">
        <v>24</v>
      </c>
      <c r="F53" s="6" t="s">
        <v>42</v>
      </c>
      <c r="G53" s="6">
        <v>288.0</v>
      </c>
      <c r="H53" s="6">
        <v>2.84</v>
      </c>
      <c r="I53" s="7">
        <f t="shared" si="1"/>
        <v>3</v>
      </c>
      <c r="J53" s="7">
        <f t="shared" si="2"/>
        <v>6</v>
      </c>
      <c r="K53" s="7">
        <f t="shared" si="3"/>
        <v>2022</v>
      </c>
      <c r="L53" s="7">
        <f t="shared" si="4"/>
        <v>817.92</v>
      </c>
      <c r="M53" s="6" t="str">
        <f t="shared" si="5"/>
        <v>Expensive</v>
      </c>
    </row>
    <row r="54" ht="15.75" customHeight="1">
      <c r="A54" s="4" t="s">
        <v>64</v>
      </c>
      <c r="B54" s="5">
        <v>44718.0</v>
      </c>
      <c r="C54" s="6" t="s">
        <v>14</v>
      </c>
      <c r="D54" s="6" t="s">
        <v>23</v>
      </c>
      <c r="E54" s="6" t="s">
        <v>24</v>
      </c>
      <c r="F54" s="6" t="s">
        <v>25</v>
      </c>
      <c r="G54" s="6">
        <v>76.0</v>
      </c>
      <c r="H54" s="6">
        <v>1.87</v>
      </c>
      <c r="I54" s="7">
        <f t="shared" si="1"/>
        <v>6</v>
      </c>
      <c r="J54" s="7">
        <f t="shared" si="2"/>
        <v>6</v>
      </c>
      <c r="K54" s="7">
        <f t="shared" si="3"/>
        <v>2022</v>
      </c>
      <c r="L54" s="7">
        <f t="shared" si="4"/>
        <v>142.12</v>
      </c>
      <c r="M54" s="6" t="str">
        <f t="shared" si="5"/>
        <v>Expensive</v>
      </c>
    </row>
    <row r="55" ht="15.75" customHeight="1">
      <c r="A55" s="4" t="s">
        <v>201</v>
      </c>
      <c r="B55" s="5">
        <v>44721.0</v>
      </c>
      <c r="C55" s="6" t="s">
        <v>182</v>
      </c>
      <c r="D55" s="6" t="s">
        <v>189</v>
      </c>
      <c r="E55" s="6" t="s">
        <v>16</v>
      </c>
      <c r="F55" s="6" t="s">
        <v>17</v>
      </c>
      <c r="G55" s="6">
        <v>42.0</v>
      </c>
      <c r="H55" s="6">
        <v>1.77</v>
      </c>
      <c r="I55" s="7">
        <f t="shared" si="1"/>
        <v>9</v>
      </c>
      <c r="J55" s="7">
        <f t="shared" si="2"/>
        <v>6</v>
      </c>
      <c r="K55" s="7">
        <f t="shared" si="3"/>
        <v>2022</v>
      </c>
      <c r="L55" s="7">
        <f t="shared" si="4"/>
        <v>74.34</v>
      </c>
      <c r="M55" s="6" t="str">
        <f t="shared" si="5"/>
        <v>Cheap</v>
      </c>
    </row>
    <row r="56" ht="15.75" customHeight="1">
      <c r="A56" s="4" t="s">
        <v>202</v>
      </c>
      <c r="B56" s="5">
        <v>44724.0</v>
      </c>
      <c r="C56" s="6" t="s">
        <v>182</v>
      </c>
      <c r="D56" s="6" t="s">
        <v>189</v>
      </c>
      <c r="E56" s="6" t="s">
        <v>19</v>
      </c>
      <c r="F56" s="6" t="s">
        <v>20</v>
      </c>
      <c r="G56" s="6">
        <v>20.0</v>
      </c>
      <c r="H56" s="6">
        <v>3.4899999999999998</v>
      </c>
      <c r="I56" s="7">
        <f t="shared" si="1"/>
        <v>12</v>
      </c>
      <c r="J56" s="7">
        <f t="shared" si="2"/>
        <v>6</v>
      </c>
      <c r="K56" s="7">
        <f t="shared" si="3"/>
        <v>2022</v>
      </c>
      <c r="L56" s="7">
        <f t="shared" si="4"/>
        <v>69.8</v>
      </c>
      <c r="M56" s="6" t="str">
        <f t="shared" si="5"/>
        <v>Cheap</v>
      </c>
    </row>
    <row r="57" ht="15.75" customHeight="1">
      <c r="A57" s="4" t="s">
        <v>65</v>
      </c>
      <c r="B57" s="5">
        <v>44727.0</v>
      </c>
      <c r="C57" s="6" t="s">
        <v>14</v>
      </c>
      <c r="D57" s="6" t="s">
        <v>15</v>
      </c>
      <c r="E57" s="6" t="s">
        <v>16</v>
      </c>
      <c r="F57" s="6" t="s">
        <v>17</v>
      </c>
      <c r="G57" s="6">
        <v>75.0</v>
      </c>
      <c r="H57" s="6">
        <v>1.77</v>
      </c>
      <c r="I57" s="7">
        <f t="shared" si="1"/>
        <v>15</v>
      </c>
      <c r="J57" s="7">
        <f t="shared" si="2"/>
        <v>6</v>
      </c>
      <c r="K57" s="7">
        <f t="shared" si="3"/>
        <v>2022</v>
      </c>
      <c r="L57" s="7">
        <f t="shared" si="4"/>
        <v>132.75</v>
      </c>
      <c r="M57" s="6" t="str">
        <f t="shared" si="5"/>
        <v>Expensive</v>
      </c>
    </row>
    <row r="58" ht="15.75" customHeight="1">
      <c r="A58" s="4" t="s">
        <v>66</v>
      </c>
      <c r="B58" s="5">
        <v>44730.0</v>
      </c>
      <c r="C58" s="6" t="s">
        <v>14</v>
      </c>
      <c r="D58" s="6" t="s">
        <v>15</v>
      </c>
      <c r="E58" s="6" t="s">
        <v>19</v>
      </c>
      <c r="F58" s="6" t="s">
        <v>20</v>
      </c>
      <c r="G58" s="6">
        <v>38.0</v>
      </c>
      <c r="H58" s="6">
        <v>3.49</v>
      </c>
      <c r="I58" s="7">
        <f t="shared" si="1"/>
        <v>18</v>
      </c>
      <c r="J58" s="7">
        <f t="shared" si="2"/>
        <v>6</v>
      </c>
      <c r="K58" s="7">
        <f t="shared" si="3"/>
        <v>2022</v>
      </c>
      <c r="L58" s="7">
        <f t="shared" si="4"/>
        <v>132.62</v>
      </c>
      <c r="M58" s="6" t="str">
        <f t="shared" si="5"/>
        <v>Expensive</v>
      </c>
    </row>
    <row r="59" ht="15.75" customHeight="1">
      <c r="A59" s="4" t="s">
        <v>203</v>
      </c>
      <c r="B59" s="5">
        <v>44733.0</v>
      </c>
      <c r="C59" s="6" t="s">
        <v>182</v>
      </c>
      <c r="D59" s="6" t="s">
        <v>183</v>
      </c>
      <c r="E59" s="6" t="s">
        <v>16</v>
      </c>
      <c r="F59" s="6" t="s">
        <v>17</v>
      </c>
      <c r="G59" s="6">
        <v>306.0</v>
      </c>
      <c r="H59" s="6">
        <v>1.77</v>
      </c>
      <c r="I59" s="7">
        <f t="shared" si="1"/>
        <v>21</v>
      </c>
      <c r="J59" s="7">
        <f t="shared" si="2"/>
        <v>6</v>
      </c>
      <c r="K59" s="7">
        <f t="shared" si="3"/>
        <v>2022</v>
      </c>
      <c r="L59" s="7">
        <f t="shared" si="4"/>
        <v>541.62</v>
      </c>
      <c r="M59" s="6" t="str">
        <f t="shared" si="5"/>
        <v>Expensive</v>
      </c>
    </row>
    <row r="60" ht="15.75" customHeight="1">
      <c r="A60" s="4" t="s">
        <v>204</v>
      </c>
      <c r="B60" s="5">
        <v>44736.0</v>
      </c>
      <c r="C60" s="6" t="s">
        <v>182</v>
      </c>
      <c r="D60" s="6" t="s">
        <v>183</v>
      </c>
      <c r="E60" s="6" t="s">
        <v>33</v>
      </c>
      <c r="F60" s="6" t="s">
        <v>34</v>
      </c>
      <c r="G60" s="6">
        <v>28.0</v>
      </c>
      <c r="H60" s="6">
        <v>1.68</v>
      </c>
      <c r="I60" s="7">
        <f t="shared" si="1"/>
        <v>24</v>
      </c>
      <c r="J60" s="7">
        <f t="shared" si="2"/>
        <v>6</v>
      </c>
      <c r="K60" s="7">
        <f t="shared" si="3"/>
        <v>2022</v>
      </c>
      <c r="L60" s="7">
        <f t="shared" si="4"/>
        <v>47.04</v>
      </c>
      <c r="M60" s="6" t="str">
        <f t="shared" si="5"/>
        <v>Cheap</v>
      </c>
    </row>
    <row r="61" ht="15.75" customHeight="1">
      <c r="A61" s="4" t="s">
        <v>67</v>
      </c>
      <c r="B61" s="5">
        <v>44739.0</v>
      </c>
      <c r="C61" s="6" t="s">
        <v>14</v>
      </c>
      <c r="D61" s="6" t="s">
        <v>23</v>
      </c>
      <c r="E61" s="6" t="s">
        <v>16</v>
      </c>
      <c r="F61" s="6" t="s">
        <v>49</v>
      </c>
      <c r="G61" s="6">
        <v>110.0</v>
      </c>
      <c r="H61" s="6">
        <v>1.8699999999999999</v>
      </c>
      <c r="I61" s="7">
        <f t="shared" si="1"/>
        <v>27</v>
      </c>
      <c r="J61" s="7">
        <f t="shared" si="2"/>
        <v>6</v>
      </c>
      <c r="K61" s="7">
        <f t="shared" si="3"/>
        <v>2022</v>
      </c>
      <c r="L61" s="7">
        <f t="shared" si="4"/>
        <v>205.7</v>
      </c>
      <c r="M61" s="6" t="str">
        <f t="shared" si="5"/>
        <v>Expensive</v>
      </c>
    </row>
    <row r="62" ht="15.75" customHeight="1">
      <c r="A62" s="4" t="s">
        <v>68</v>
      </c>
      <c r="B62" s="5">
        <v>44742.0</v>
      </c>
      <c r="C62" s="6" t="s">
        <v>14</v>
      </c>
      <c r="D62" s="6" t="s">
        <v>23</v>
      </c>
      <c r="E62" s="6" t="s">
        <v>24</v>
      </c>
      <c r="F62" s="6" t="s">
        <v>42</v>
      </c>
      <c r="G62" s="6">
        <v>51.0</v>
      </c>
      <c r="H62" s="6">
        <v>2.84</v>
      </c>
      <c r="I62" s="7">
        <f t="shared" si="1"/>
        <v>30</v>
      </c>
      <c r="J62" s="7">
        <f t="shared" si="2"/>
        <v>6</v>
      </c>
      <c r="K62" s="7">
        <f t="shared" si="3"/>
        <v>2022</v>
      </c>
      <c r="L62" s="7">
        <f t="shared" si="4"/>
        <v>144.84</v>
      </c>
      <c r="M62" s="6" t="str">
        <f t="shared" si="5"/>
        <v>Expensive</v>
      </c>
    </row>
    <row r="63" ht="15.75" customHeight="1">
      <c r="A63" s="4" t="s">
        <v>205</v>
      </c>
      <c r="B63" s="5">
        <v>44745.0</v>
      </c>
      <c r="C63" s="6" t="s">
        <v>182</v>
      </c>
      <c r="D63" s="6" t="s">
        <v>189</v>
      </c>
      <c r="E63" s="6" t="s">
        <v>16</v>
      </c>
      <c r="F63" s="6" t="s">
        <v>17</v>
      </c>
      <c r="G63" s="6">
        <v>52.0</v>
      </c>
      <c r="H63" s="6">
        <v>1.77</v>
      </c>
      <c r="I63" s="7">
        <f t="shared" si="1"/>
        <v>3</v>
      </c>
      <c r="J63" s="7">
        <f t="shared" si="2"/>
        <v>7</v>
      </c>
      <c r="K63" s="7">
        <f t="shared" si="3"/>
        <v>2022</v>
      </c>
      <c r="L63" s="7">
        <f t="shared" si="4"/>
        <v>92.04</v>
      </c>
      <c r="M63" s="6" t="str">
        <f t="shared" si="5"/>
        <v>Cheap</v>
      </c>
    </row>
    <row r="64" ht="15.75" customHeight="1">
      <c r="A64" s="4" t="s">
        <v>206</v>
      </c>
      <c r="B64" s="5">
        <v>44748.0</v>
      </c>
      <c r="C64" s="6" t="s">
        <v>182</v>
      </c>
      <c r="D64" s="6" t="s">
        <v>189</v>
      </c>
      <c r="E64" s="6" t="s">
        <v>19</v>
      </c>
      <c r="F64" s="6" t="s">
        <v>20</v>
      </c>
      <c r="G64" s="6">
        <v>28.0</v>
      </c>
      <c r="H64" s="6">
        <v>3.4899999999999998</v>
      </c>
      <c r="I64" s="7">
        <f t="shared" si="1"/>
        <v>6</v>
      </c>
      <c r="J64" s="7">
        <f t="shared" si="2"/>
        <v>7</v>
      </c>
      <c r="K64" s="7">
        <f t="shared" si="3"/>
        <v>2022</v>
      </c>
      <c r="L64" s="7">
        <f t="shared" si="4"/>
        <v>97.72</v>
      </c>
      <c r="M64" s="6" t="str">
        <f t="shared" si="5"/>
        <v>Cheap</v>
      </c>
    </row>
    <row r="65" ht="15.75" customHeight="1">
      <c r="A65" s="4" t="s">
        <v>69</v>
      </c>
      <c r="B65" s="5">
        <v>44751.0</v>
      </c>
      <c r="C65" s="6" t="s">
        <v>14</v>
      </c>
      <c r="D65" s="6" t="s">
        <v>15</v>
      </c>
      <c r="E65" s="6" t="s">
        <v>16</v>
      </c>
      <c r="F65" s="6" t="s">
        <v>17</v>
      </c>
      <c r="G65" s="6">
        <v>136.0</v>
      </c>
      <c r="H65" s="6">
        <v>1.77</v>
      </c>
      <c r="I65" s="7">
        <f t="shared" si="1"/>
        <v>9</v>
      </c>
      <c r="J65" s="7">
        <f t="shared" si="2"/>
        <v>7</v>
      </c>
      <c r="K65" s="7">
        <f t="shared" si="3"/>
        <v>2022</v>
      </c>
      <c r="L65" s="7">
        <f t="shared" si="4"/>
        <v>240.72</v>
      </c>
      <c r="M65" s="6" t="str">
        <f t="shared" si="5"/>
        <v>Expensive</v>
      </c>
    </row>
    <row r="66" ht="15.75" customHeight="1">
      <c r="A66" s="4" t="s">
        <v>70</v>
      </c>
      <c r="B66" s="5">
        <v>44754.0</v>
      </c>
      <c r="C66" s="6" t="s">
        <v>14</v>
      </c>
      <c r="D66" s="6" t="s">
        <v>15</v>
      </c>
      <c r="E66" s="6" t="s">
        <v>19</v>
      </c>
      <c r="F66" s="6" t="s">
        <v>20</v>
      </c>
      <c r="G66" s="6">
        <v>42.0</v>
      </c>
      <c r="H66" s="6">
        <v>3.49</v>
      </c>
      <c r="I66" s="7">
        <f t="shared" si="1"/>
        <v>12</v>
      </c>
      <c r="J66" s="7">
        <f t="shared" si="2"/>
        <v>7</v>
      </c>
      <c r="K66" s="7">
        <f t="shared" si="3"/>
        <v>2022</v>
      </c>
      <c r="L66" s="7">
        <f t="shared" si="4"/>
        <v>146.58</v>
      </c>
      <c r="M66" s="6" t="str">
        <f t="shared" si="5"/>
        <v>Expensive</v>
      </c>
    </row>
    <row r="67" ht="15.75" customHeight="1">
      <c r="A67" s="4" t="s">
        <v>207</v>
      </c>
      <c r="B67" s="5">
        <v>44757.0</v>
      </c>
      <c r="C67" s="6" t="s">
        <v>182</v>
      </c>
      <c r="D67" s="6" t="s">
        <v>183</v>
      </c>
      <c r="E67" s="6" t="s">
        <v>24</v>
      </c>
      <c r="F67" s="6" t="s">
        <v>25</v>
      </c>
      <c r="G67" s="6">
        <v>75.0</v>
      </c>
      <c r="H67" s="6">
        <v>1.87</v>
      </c>
      <c r="I67" s="7">
        <f t="shared" si="1"/>
        <v>15</v>
      </c>
      <c r="J67" s="7">
        <f t="shared" si="2"/>
        <v>7</v>
      </c>
      <c r="K67" s="7">
        <f t="shared" si="3"/>
        <v>2022</v>
      </c>
      <c r="L67" s="7">
        <f t="shared" si="4"/>
        <v>140.25</v>
      </c>
      <c r="M67" s="6" t="str">
        <f t="shared" si="5"/>
        <v>Expensive</v>
      </c>
    </row>
    <row r="68" ht="15.75" customHeight="1">
      <c r="A68" s="4" t="s">
        <v>71</v>
      </c>
      <c r="B68" s="5">
        <v>44760.0</v>
      </c>
      <c r="C68" s="6" t="s">
        <v>14</v>
      </c>
      <c r="D68" s="6" t="s">
        <v>23</v>
      </c>
      <c r="E68" s="6" t="s">
        <v>16</v>
      </c>
      <c r="F68" s="6" t="s">
        <v>49</v>
      </c>
      <c r="G68" s="6">
        <v>72.0</v>
      </c>
      <c r="H68" s="6">
        <v>1.8699999999999999</v>
      </c>
      <c r="I68" s="7">
        <f t="shared" si="1"/>
        <v>18</v>
      </c>
      <c r="J68" s="7">
        <f t="shared" si="2"/>
        <v>7</v>
      </c>
      <c r="K68" s="7">
        <f t="shared" si="3"/>
        <v>2022</v>
      </c>
      <c r="L68" s="7">
        <f t="shared" si="4"/>
        <v>134.64</v>
      </c>
      <c r="M68" s="6" t="str">
        <f t="shared" si="5"/>
        <v>Expensive</v>
      </c>
    </row>
    <row r="69" ht="15.75" customHeight="1">
      <c r="A69" s="4" t="s">
        <v>72</v>
      </c>
      <c r="B69" s="5">
        <v>44763.0</v>
      </c>
      <c r="C69" s="6" t="s">
        <v>14</v>
      </c>
      <c r="D69" s="6" t="s">
        <v>23</v>
      </c>
      <c r="E69" s="6" t="s">
        <v>24</v>
      </c>
      <c r="F69" s="6" t="s">
        <v>42</v>
      </c>
      <c r="G69" s="6">
        <v>56.0</v>
      </c>
      <c r="H69" s="6">
        <v>2.84</v>
      </c>
      <c r="I69" s="7">
        <f t="shared" si="1"/>
        <v>21</v>
      </c>
      <c r="J69" s="7">
        <f t="shared" si="2"/>
        <v>7</v>
      </c>
      <c r="K69" s="7">
        <f t="shared" si="3"/>
        <v>2022</v>
      </c>
      <c r="L69" s="7">
        <f t="shared" si="4"/>
        <v>159.04</v>
      </c>
      <c r="M69" s="6" t="str">
        <f t="shared" si="5"/>
        <v>Expensive</v>
      </c>
    </row>
    <row r="70" ht="15.75" customHeight="1">
      <c r="A70" s="4" t="s">
        <v>208</v>
      </c>
      <c r="B70" s="5">
        <v>44766.0</v>
      </c>
      <c r="C70" s="6" t="s">
        <v>182</v>
      </c>
      <c r="D70" s="6" t="s">
        <v>189</v>
      </c>
      <c r="E70" s="6" t="s">
        <v>16</v>
      </c>
      <c r="F70" s="6" t="s">
        <v>49</v>
      </c>
      <c r="G70" s="6">
        <v>51.0</v>
      </c>
      <c r="H70" s="6">
        <v>1.87</v>
      </c>
      <c r="I70" s="7">
        <f t="shared" si="1"/>
        <v>24</v>
      </c>
      <c r="J70" s="7">
        <f t="shared" si="2"/>
        <v>7</v>
      </c>
      <c r="K70" s="7">
        <f t="shared" si="3"/>
        <v>2022</v>
      </c>
      <c r="L70" s="7">
        <f t="shared" si="4"/>
        <v>95.37</v>
      </c>
      <c r="M70" s="6" t="str">
        <f t="shared" si="5"/>
        <v>Cheap</v>
      </c>
    </row>
    <row r="71" ht="15.75" customHeight="1">
      <c r="A71" s="4" t="s">
        <v>209</v>
      </c>
      <c r="B71" s="5">
        <v>44769.0</v>
      </c>
      <c r="C71" s="6" t="s">
        <v>182</v>
      </c>
      <c r="D71" s="6" t="s">
        <v>189</v>
      </c>
      <c r="E71" s="6" t="s">
        <v>33</v>
      </c>
      <c r="F71" s="6" t="s">
        <v>34</v>
      </c>
      <c r="G71" s="6">
        <v>31.0</v>
      </c>
      <c r="H71" s="6">
        <v>1.68</v>
      </c>
      <c r="I71" s="7">
        <f t="shared" si="1"/>
        <v>27</v>
      </c>
      <c r="J71" s="7">
        <f t="shared" si="2"/>
        <v>7</v>
      </c>
      <c r="K71" s="7">
        <f t="shared" si="3"/>
        <v>2022</v>
      </c>
      <c r="L71" s="7">
        <f t="shared" si="4"/>
        <v>52.08</v>
      </c>
      <c r="M71" s="6" t="str">
        <f t="shared" si="5"/>
        <v>Cheap</v>
      </c>
    </row>
    <row r="72" ht="15.75" customHeight="1">
      <c r="A72" s="4" t="s">
        <v>73</v>
      </c>
      <c r="B72" s="5">
        <v>44772.0</v>
      </c>
      <c r="C72" s="6" t="s">
        <v>14</v>
      </c>
      <c r="D72" s="6" t="s">
        <v>15</v>
      </c>
      <c r="E72" s="6" t="s">
        <v>16</v>
      </c>
      <c r="F72" s="6" t="s">
        <v>49</v>
      </c>
      <c r="G72" s="6">
        <v>56.0</v>
      </c>
      <c r="H72" s="6">
        <v>1.8699999999999999</v>
      </c>
      <c r="I72" s="7">
        <f t="shared" si="1"/>
        <v>30</v>
      </c>
      <c r="J72" s="7">
        <f t="shared" si="2"/>
        <v>7</v>
      </c>
      <c r="K72" s="7">
        <f t="shared" si="3"/>
        <v>2022</v>
      </c>
      <c r="L72" s="7">
        <f t="shared" si="4"/>
        <v>104.72</v>
      </c>
      <c r="M72" s="6" t="str">
        <f t="shared" si="5"/>
        <v>Expensive</v>
      </c>
    </row>
    <row r="73" ht="15.75" customHeight="1">
      <c r="A73" s="4" t="s">
        <v>74</v>
      </c>
      <c r="B73" s="5">
        <v>44775.0</v>
      </c>
      <c r="C73" s="6" t="s">
        <v>14</v>
      </c>
      <c r="D73" s="6" t="s">
        <v>15</v>
      </c>
      <c r="E73" s="6" t="s">
        <v>24</v>
      </c>
      <c r="F73" s="6" t="s">
        <v>42</v>
      </c>
      <c r="G73" s="6">
        <v>137.0</v>
      </c>
      <c r="H73" s="6">
        <v>2.84</v>
      </c>
      <c r="I73" s="7">
        <f t="shared" si="1"/>
        <v>2</v>
      </c>
      <c r="J73" s="7">
        <f t="shared" si="2"/>
        <v>8</v>
      </c>
      <c r="K73" s="7">
        <f t="shared" si="3"/>
        <v>2022</v>
      </c>
      <c r="L73" s="7">
        <f t="shared" si="4"/>
        <v>389.08</v>
      </c>
      <c r="M73" s="6" t="str">
        <f t="shared" si="5"/>
        <v>Expensive</v>
      </c>
    </row>
    <row r="74" ht="15.75" customHeight="1">
      <c r="A74" s="4" t="s">
        <v>210</v>
      </c>
      <c r="B74" s="5">
        <v>44778.0</v>
      </c>
      <c r="C74" s="6" t="s">
        <v>182</v>
      </c>
      <c r="D74" s="6" t="s">
        <v>183</v>
      </c>
      <c r="E74" s="6" t="s">
        <v>24</v>
      </c>
      <c r="F74" s="6" t="s">
        <v>25</v>
      </c>
      <c r="G74" s="6">
        <v>107.0</v>
      </c>
      <c r="H74" s="6">
        <v>1.87</v>
      </c>
      <c r="I74" s="7">
        <f t="shared" si="1"/>
        <v>5</v>
      </c>
      <c r="J74" s="7">
        <f t="shared" si="2"/>
        <v>8</v>
      </c>
      <c r="K74" s="7">
        <f t="shared" si="3"/>
        <v>2022</v>
      </c>
      <c r="L74" s="7">
        <f t="shared" si="4"/>
        <v>200.09</v>
      </c>
      <c r="M74" s="6" t="str">
        <f t="shared" si="5"/>
        <v>Expensive</v>
      </c>
    </row>
    <row r="75" ht="15.75" customHeight="1">
      <c r="A75" s="4" t="s">
        <v>75</v>
      </c>
      <c r="B75" s="5">
        <v>44781.0</v>
      </c>
      <c r="C75" s="6" t="s">
        <v>14</v>
      </c>
      <c r="D75" s="6" t="s">
        <v>23</v>
      </c>
      <c r="E75" s="6" t="s">
        <v>16</v>
      </c>
      <c r="F75" s="6" t="s">
        <v>17</v>
      </c>
      <c r="G75" s="6">
        <v>24.0</v>
      </c>
      <c r="H75" s="6">
        <v>1.7699999999999998</v>
      </c>
      <c r="I75" s="7">
        <f t="shared" si="1"/>
        <v>8</v>
      </c>
      <c r="J75" s="7">
        <f t="shared" si="2"/>
        <v>8</v>
      </c>
      <c r="K75" s="7">
        <f t="shared" si="3"/>
        <v>2022</v>
      </c>
      <c r="L75" s="7">
        <f t="shared" si="4"/>
        <v>42.48</v>
      </c>
      <c r="M75" s="6" t="str">
        <f t="shared" si="5"/>
        <v>Cheap</v>
      </c>
    </row>
    <row r="76" ht="15.75" customHeight="1">
      <c r="A76" s="4" t="s">
        <v>76</v>
      </c>
      <c r="B76" s="5">
        <v>44784.0</v>
      </c>
      <c r="C76" s="6" t="s">
        <v>14</v>
      </c>
      <c r="D76" s="6" t="s">
        <v>23</v>
      </c>
      <c r="E76" s="6" t="s">
        <v>19</v>
      </c>
      <c r="F76" s="6" t="s">
        <v>20</v>
      </c>
      <c r="G76" s="6">
        <v>30.0</v>
      </c>
      <c r="H76" s="6">
        <v>3.49</v>
      </c>
      <c r="I76" s="7">
        <f t="shared" si="1"/>
        <v>11</v>
      </c>
      <c r="J76" s="7">
        <f t="shared" si="2"/>
        <v>8</v>
      </c>
      <c r="K76" s="7">
        <f t="shared" si="3"/>
        <v>2022</v>
      </c>
      <c r="L76" s="7">
        <f t="shared" si="4"/>
        <v>104.7</v>
      </c>
      <c r="M76" s="6" t="str">
        <f t="shared" si="5"/>
        <v>Expensive</v>
      </c>
    </row>
    <row r="77" ht="15.75" customHeight="1">
      <c r="A77" s="4" t="s">
        <v>211</v>
      </c>
      <c r="B77" s="5">
        <v>44787.0</v>
      </c>
      <c r="C77" s="6" t="s">
        <v>182</v>
      </c>
      <c r="D77" s="6" t="s">
        <v>189</v>
      </c>
      <c r="E77" s="6" t="s">
        <v>24</v>
      </c>
      <c r="F77" s="6" t="s">
        <v>25</v>
      </c>
      <c r="G77" s="6">
        <v>70.0</v>
      </c>
      <c r="H77" s="6">
        <v>1.87</v>
      </c>
      <c r="I77" s="7">
        <f t="shared" si="1"/>
        <v>14</v>
      </c>
      <c r="J77" s="7">
        <f t="shared" si="2"/>
        <v>8</v>
      </c>
      <c r="K77" s="7">
        <f t="shared" si="3"/>
        <v>2022</v>
      </c>
      <c r="L77" s="7">
        <f t="shared" si="4"/>
        <v>130.9</v>
      </c>
      <c r="M77" s="6" t="str">
        <f t="shared" si="5"/>
        <v>Expensive</v>
      </c>
    </row>
    <row r="78" ht="15.75" customHeight="1">
      <c r="A78" s="4" t="s">
        <v>77</v>
      </c>
      <c r="B78" s="5">
        <v>44790.0</v>
      </c>
      <c r="C78" s="6" t="s">
        <v>14</v>
      </c>
      <c r="D78" s="6" t="s">
        <v>15</v>
      </c>
      <c r="E78" s="6" t="s">
        <v>24</v>
      </c>
      <c r="F78" s="6" t="s">
        <v>28</v>
      </c>
      <c r="G78" s="6">
        <v>31.0</v>
      </c>
      <c r="H78" s="6">
        <v>2.18</v>
      </c>
      <c r="I78" s="7">
        <f t="shared" si="1"/>
        <v>17</v>
      </c>
      <c r="J78" s="7">
        <f t="shared" si="2"/>
        <v>8</v>
      </c>
      <c r="K78" s="7">
        <f t="shared" si="3"/>
        <v>2022</v>
      </c>
      <c r="L78" s="7">
        <f t="shared" si="4"/>
        <v>67.58</v>
      </c>
      <c r="M78" s="6" t="str">
        <f t="shared" si="5"/>
        <v>Cheap</v>
      </c>
    </row>
    <row r="79" ht="15.75" customHeight="1">
      <c r="A79" s="4" t="s">
        <v>78</v>
      </c>
      <c r="B79" s="5">
        <v>44793.0</v>
      </c>
      <c r="C79" s="6" t="s">
        <v>14</v>
      </c>
      <c r="D79" s="6" t="s">
        <v>15</v>
      </c>
      <c r="E79" s="6" t="s">
        <v>16</v>
      </c>
      <c r="F79" s="6" t="s">
        <v>17</v>
      </c>
      <c r="G79" s="6">
        <v>109.0</v>
      </c>
      <c r="H79" s="6">
        <v>1.77</v>
      </c>
      <c r="I79" s="7">
        <f t="shared" si="1"/>
        <v>20</v>
      </c>
      <c r="J79" s="7">
        <f t="shared" si="2"/>
        <v>8</v>
      </c>
      <c r="K79" s="7">
        <f t="shared" si="3"/>
        <v>2022</v>
      </c>
      <c r="L79" s="7">
        <f t="shared" si="4"/>
        <v>192.93</v>
      </c>
      <c r="M79" s="6" t="str">
        <f t="shared" si="5"/>
        <v>Expensive</v>
      </c>
    </row>
    <row r="80" ht="15.75" customHeight="1">
      <c r="A80" s="4" t="s">
        <v>79</v>
      </c>
      <c r="B80" s="5">
        <v>44796.0</v>
      </c>
      <c r="C80" s="6" t="s">
        <v>14</v>
      </c>
      <c r="D80" s="6" t="s">
        <v>15</v>
      </c>
      <c r="E80" s="6" t="s">
        <v>19</v>
      </c>
      <c r="F80" s="6" t="s">
        <v>20</v>
      </c>
      <c r="G80" s="6">
        <v>21.0</v>
      </c>
      <c r="H80" s="6">
        <v>3.49</v>
      </c>
      <c r="I80" s="7">
        <f t="shared" si="1"/>
        <v>23</v>
      </c>
      <c r="J80" s="7">
        <f t="shared" si="2"/>
        <v>8</v>
      </c>
      <c r="K80" s="7">
        <f t="shared" si="3"/>
        <v>2022</v>
      </c>
      <c r="L80" s="7">
        <f t="shared" si="4"/>
        <v>73.29</v>
      </c>
      <c r="M80" s="6" t="str">
        <f t="shared" si="5"/>
        <v>Cheap</v>
      </c>
    </row>
    <row r="81" ht="15.75" customHeight="1">
      <c r="A81" s="4" t="s">
        <v>212</v>
      </c>
      <c r="B81" s="5">
        <v>44799.0</v>
      </c>
      <c r="C81" s="6" t="s">
        <v>182</v>
      </c>
      <c r="D81" s="6" t="s">
        <v>183</v>
      </c>
      <c r="E81" s="6" t="s">
        <v>24</v>
      </c>
      <c r="F81" s="6" t="s">
        <v>25</v>
      </c>
      <c r="G81" s="6">
        <v>80.0</v>
      </c>
      <c r="H81" s="6">
        <v>1.8699999999999999</v>
      </c>
      <c r="I81" s="7">
        <f t="shared" si="1"/>
        <v>26</v>
      </c>
      <c r="J81" s="7">
        <f t="shared" si="2"/>
        <v>8</v>
      </c>
      <c r="K81" s="7">
        <f t="shared" si="3"/>
        <v>2022</v>
      </c>
      <c r="L81" s="7">
        <f t="shared" si="4"/>
        <v>149.6</v>
      </c>
      <c r="M81" s="6" t="str">
        <f t="shared" si="5"/>
        <v>Expensive</v>
      </c>
    </row>
    <row r="82" ht="15.75" customHeight="1">
      <c r="A82" s="4" t="s">
        <v>80</v>
      </c>
      <c r="B82" s="5">
        <v>44802.0</v>
      </c>
      <c r="C82" s="6" t="s">
        <v>14</v>
      </c>
      <c r="D82" s="6" t="s">
        <v>23</v>
      </c>
      <c r="E82" s="6" t="s">
        <v>16</v>
      </c>
      <c r="F82" s="6" t="s">
        <v>49</v>
      </c>
      <c r="G82" s="6">
        <v>75.0</v>
      </c>
      <c r="H82" s="6">
        <v>1.87</v>
      </c>
      <c r="I82" s="7">
        <f t="shared" si="1"/>
        <v>29</v>
      </c>
      <c r="J82" s="7">
        <f t="shared" si="2"/>
        <v>8</v>
      </c>
      <c r="K82" s="7">
        <f t="shared" si="3"/>
        <v>2022</v>
      </c>
      <c r="L82" s="7">
        <f t="shared" si="4"/>
        <v>140.25</v>
      </c>
      <c r="M82" s="6" t="str">
        <f t="shared" si="5"/>
        <v>Expensive</v>
      </c>
    </row>
    <row r="83" ht="15.75" customHeight="1">
      <c r="A83" s="4" t="s">
        <v>81</v>
      </c>
      <c r="B83" s="5">
        <v>44805.0</v>
      </c>
      <c r="C83" s="6" t="s">
        <v>14</v>
      </c>
      <c r="D83" s="6" t="s">
        <v>23</v>
      </c>
      <c r="E83" s="6" t="s">
        <v>24</v>
      </c>
      <c r="F83" s="6" t="s">
        <v>42</v>
      </c>
      <c r="G83" s="6">
        <v>74.0</v>
      </c>
      <c r="H83" s="6">
        <v>2.84</v>
      </c>
      <c r="I83" s="7">
        <f t="shared" si="1"/>
        <v>1</v>
      </c>
      <c r="J83" s="7">
        <f t="shared" si="2"/>
        <v>9</v>
      </c>
      <c r="K83" s="7">
        <f t="shared" si="3"/>
        <v>2022</v>
      </c>
      <c r="L83" s="7">
        <f t="shared" si="4"/>
        <v>210.16</v>
      </c>
      <c r="M83" s="6" t="str">
        <f t="shared" si="5"/>
        <v>Expensive</v>
      </c>
    </row>
    <row r="84" ht="15.75" customHeight="1">
      <c r="A84" s="4" t="s">
        <v>213</v>
      </c>
      <c r="B84" s="5">
        <v>44808.0</v>
      </c>
      <c r="C84" s="6" t="s">
        <v>182</v>
      </c>
      <c r="D84" s="6" t="s">
        <v>189</v>
      </c>
      <c r="E84" s="6" t="s">
        <v>16</v>
      </c>
      <c r="F84" s="6" t="s">
        <v>17</v>
      </c>
      <c r="G84" s="6">
        <v>45.0</v>
      </c>
      <c r="H84" s="6">
        <v>1.77</v>
      </c>
      <c r="I84" s="7">
        <f t="shared" si="1"/>
        <v>4</v>
      </c>
      <c r="J84" s="7">
        <f t="shared" si="2"/>
        <v>9</v>
      </c>
      <c r="K84" s="7">
        <f t="shared" si="3"/>
        <v>2022</v>
      </c>
      <c r="L84" s="7">
        <f t="shared" si="4"/>
        <v>79.65</v>
      </c>
      <c r="M84" s="6" t="str">
        <f t="shared" si="5"/>
        <v>Cheap</v>
      </c>
    </row>
    <row r="85" ht="15.75" customHeight="1">
      <c r="A85" s="4" t="s">
        <v>82</v>
      </c>
      <c r="B85" s="5">
        <v>44811.0</v>
      </c>
      <c r="C85" s="6" t="s">
        <v>14</v>
      </c>
      <c r="D85" s="6" t="s">
        <v>15</v>
      </c>
      <c r="E85" s="6" t="s">
        <v>24</v>
      </c>
      <c r="F85" s="6" t="s">
        <v>28</v>
      </c>
      <c r="G85" s="6">
        <v>28.0</v>
      </c>
      <c r="H85" s="6">
        <v>2.18</v>
      </c>
      <c r="I85" s="7">
        <f t="shared" si="1"/>
        <v>7</v>
      </c>
      <c r="J85" s="7">
        <f t="shared" si="2"/>
        <v>9</v>
      </c>
      <c r="K85" s="7">
        <f t="shared" si="3"/>
        <v>2022</v>
      </c>
      <c r="L85" s="7">
        <f t="shared" si="4"/>
        <v>61.04</v>
      </c>
      <c r="M85" s="6" t="str">
        <f t="shared" si="5"/>
        <v>Cheap</v>
      </c>
    </row>
    <row r="86" ht="15.75" customHeight="1">
      <c r="A86" s="4" t="s">
        <v>83</v>
      </c>
      <c r="B86" s="5">
        <v>44814.0</v>
      </c>
      <c r="C86" s="6" t="s">
        <v>14</v>
      </c>
      <c r="D86" s="6" t="s">
        <v>15</v>
      </c>
      <c r="E86" s="6" t="s">
        <v>16</v>
      </c>
      <c r="F86" s="6" t="s">
        <v>17</v>
      </c>
      <c r="G86" s="6">
        <v>143.0</v>
      </c>
      <c r="H86" s="6">
        <v>1.77</v>
      </c>
      <c r="I86" s="7">
        <f t="shared" si="1"/>
        <v>10</v>
      </c>
      <c r="J86" s="7">
        <f t="shared" si="2"/>
        <v>9</v>
      </c>
      <c r="K86" s="7">
        <f t="shared" si="3"/>
        <v>2022</v>
      </c>
      <c r="L86" s="7">
        <f t="shared" si="4"/>
        <v>253.11</v>
      </c>
      <c r="M86" s="6" t="str">
        <f t="shared" si="5"/>
        <v>Expensive</v>
      </c>
    </row>
    <row r="87" ht="15.75" customHeight="1">
      <c r="A87" s="4" t="s">
        <v>84</v>
      </c>
      <c r="B87" s="5">
        <v>44817.0</v>
      </c>
      <c r="C87" s="6" t="s">
        <v>14</v>
      </c>
      <c r="D87" s="6" t="s">
        <v>15</v>
      </c>
      <c r="E87" s="6" t="s">
        <v>33</v>
      </c>
      <c r="F87" s="6" t="s">
        <v>85</v>
      </c>
      <c r="G87" s="6">
        <v>27.0</v>
      </c>
      <c r="H87" s="6">
        <v>3.15</v>
      </c>
      <c r="I87" s="7">
        <f t="shared" si="1"/>
        <v>13</v>
      </c>
      <c r="J87" s="7">
        <f t="shared" si="2"/>
        <v>9</v>
      </c>
      <c r="K87" s="7">
        <f t="shared" si="3"/>
        <v>2022</v>
      </c>
      <c r="L87" s="7">
        <f t="shared" si="4"/>
        <v>85.05</v>
      </c>
      <c r="M87" s="6" t="str">
        <f t="shared" si="5"/>
        <v>Cheap</v>
      </c>
    </row>
    <row r="88" ht="15.75" customHeight="1">
      <c r="A88" s="4" t="s">
        <v>214</v>
      </c>
      <c r="B88" s="5">
        <v>44820.0</v>
      </c>
      <c r="C88" s="6" t="s">
        <v>182</v>
      </c>
      <c r="D88" s="6" t="s">
        <v>183</v>
      </c>
      <c r="E88" s="6" t="s">
        <v>16</v>
      </c>
      <c r="F88" s="6" t="s">
        <v>17</v>
      </c>
      <c r="G88" s="6">
        <v>133.0</v>
      </c>
      <c r="H88" s="6">
        <v>1.77</v>
      </c>
      <c r="I88" s="7">
        <f t="shared" si="1"/>
        <v>16</v>
      </c>
      <c r="J88" s="7">
        <f t="shared" si="2"/>
        <v>9</v>
      </c>
      <c r="K88" s="7">
        <f t="shared" si="3"/>
        <v>2022</v>
      </c>
      <c r="L88" s="7">
        <f t="shared" si="4"/>
        <v>235.41</v>
      </c>
      <c r="M88" s="6" t="str">
        <f t="shared" si="5"/>
        <v>Expensive</v>
      </c>
    </row>
    <row r="89" ht="15.75" customHeight="1">
      <c r="A89" s="4" t="s">
        <v>86</v>
      </c>
      <c r="B89" s="5">
        <v>44823.0</v>
      </c>
      <c r="C89" s="6" t="s">
        <v>14</v>
      </c>
      <c r="D89" s="6" t="s">
        <v>23</v>
      </c>
      <c r="E89" s="6" t="s">
        <v>24</v>
      </c>
      <c r="F89" s="6" t="s">
        <v>28</v>
      </c>
      <c r="G89" s="6">
        <v>110.0</v>
      </c>
      <c r="H89" s="6">
        <v>2.18</v>
      </c>
      <c r="I89" s="7">
        <f t="shared" si="1"/>
        <v>19</v>
      </c>
      <c r="J89" s="7">
        <f t="shared" si="2"/>
        <v>9</v>
      </c>
      <c r="K89" s="7">
        <f t="shared" si="3"/>
        <v>2022</v>
      </c>
      <c r="L89" s="7">
        <f t="shared" si="4"/>
        <v>239.8</v>
      </c>
      <c r="M89" s="6" t="str">
        <f t="shared" si="5"/>
        <v>Expensive</v>
      </c>
    </row>
    <row r="90" ht="15.75" customHeight="1">
      <c r="A90" s="4" t="s">
        <v>87</v>
      </c>
      <c r="B90" s="5">
        <v>44826.0</v>
      </c>
      <c r="C90" s="6" t="s">
        <v>14</v>
      </c>
      <c r="D90" s="6" t="s">
        <v>23</v>
      </c>
      <c r="E90" s="6" t="s">
        <v>24</v>
      </c>
      <c r="F90" s="6" t="s">
        <v>25</v>
      </c>
      <c r="G90" s="6">
        <v>65.0</v>
      </c>
      <c r="H90" s="6">
        <v>1.8699999999999999</v>
      </c>
      <c r="I90" s="7">
        <f t="shared" si="1"/>
        <v>22</v>
      </c>
      <c r="J90" s="7">
        <f t="shared" si="2"/>
        <v>9</v>
      </c>
      <c r="K90" s="7">
        <f t="shared" si="3"/>
        <v>2022</v>
      </c>
      <c r="L90" s="7">
        <f t="shared" si="4"/>
        <v>121.55</v>
      </c>
      <c r="M90" s="6" t="str">
        <f t="shared" si="5"/>
        <v>Expensive</v>
      </c>
    </row>
    <row r="91" ht="15.75" customHeight="1">
      <c r="A91" s="4" t="s">
        <v>215</v>
      </c>
      <c r="B91" s="5">
        <v>44829.0</v>
      </c>
      <c r="C91" s="6" t="s">
        <v>182</v>
      </c>
      <c r="D91" s="6" t="s">
        <v>189</v>
      </c>
      <c r="E91" s="6" t="s">
        <v>16</v>
      </c>
      <c r="F91" s="6" t="s">
        <v>49</v>
      </c>
      <c r="G91" s="6">
        <v>33.0</v>
      </c>
      <c r="H91" s="6">
        <v>1.87</v>
      </c>
      <c r="I91" s="7">
        <f t="shared" si="1"/>
        <v>25</v>
      </c>
      <c r="J91" s="7">
        <f t="shared" si="2"/>
        <v>9</v>
      </c>
      <c r="K91" s="7">
        <f t="shared" si="3"/>
        <v>2022</v>
      </c>
      <c r="L91" s="7">
        <f t="shared" si="4"/>
        <v>61.71</v>
      </c>
      <c r="M91" s="6" t="str">
        <f t="shared" si="5"/>
        <v>Cheap</v>
      </c>
    </row>
    <row r="92" ht="15.75" customHeight="1">
      <c r="A92" s="4" t="s">
        <v>88</v>
      </c>
      <c r="B92" s="5">
        <v>44832.0</v>
      </c>
      <c r="C92" s="6" t="s">
        <v>14</v>
      </c>
      <c r="D92" s="6" t="s">
        <v>15</v>
      </c>
      <c r="E92" s="6" t="s">
        <v>24</v>
      </c>
      <c r="F92" s="6" t="s">
        <v>28</v>
      </c>
      <c r="G92" s="6">
        <v>81.0</v>
      </c>
      <c r="H92" s="6">
        <v>2.18</v>
      </c>
      <c r="I92" s="7">
        <f t="shared" si="1"/>
        <v>28</v>
      </c>
      <c r="J92" s="7">
        <f t="shared" si="2"/>
        <v>9</v>
      </c>
      <c r="K92" s="7">
        <f t="shared" si="3"/>
        <v>2022</v>
      </c>
      <c r="L92" s="7">
        <f t="shared" si="4"/>
        <v>176.58</v>
      </c>
      <c r="M92" s="6" t="str">
        <f t="shared" si="5"/>
        <v>Expensive</v>
      </c>
    </row>
    <row r="93" ht="15.75" customHeight="1">
      <c r="A93" s="4" t="s">
        <v>89</v>
      </c>
      <c r="B93" s="5">
        <v>44835.0</v>
      </c>
      <c r="C93" s="6" t="s">
        <v>14</v>
      </c>
      <c r="D93" s="6" t="s">
        <v>15</v>
      </c>
      <c r="E93" s="6" t="s">
        <v>16</v>
      </c>
      <c r="F93" s="6" t="s">
        <v>17</v>
      </c>
      <c r="G93" s="6">
        <v>77.0</v>
      </c>
      <c r="H93" s="6">
        <v>1.7699999999999998</v>
      </c>
      <c r="I93" s="7">
        <f t="shared" si="1"/>
        <v>1</v>
      </c>
      <c r="J93" s="7">
        <f t="shared" si="2"/>
        <v>10</v>
      </c>
      <c r="K93" s="7">
        <f t="shared" si="3"/>
        <v>2022</v>
      </c>
      <c r="L93" s="7">
        <f t="shared" si="4"/>
        <v>136.29</v>
      </c>
      <c r="M93" s="6" t="str">
        <f t="shared" si="5"/>
        <v>Expensive</v>
      </c>
    </row>
    <row r="94" ht="15.75" customHeight="1">
      <c r="A94" s="4" t="s">
        <v>90</v>
      </c>
      <c r="B94" s="5">
        <v>44838.0</v>
      </c>
      <c r="C94" s="6" t="s">
        <v>14</v>
      </c>
      <c r="D94" s="6" t="s">
        <v>15</v>
      </c>
      <c r="E94" s="6" t="s">
        <v>19</v>
      </c>
      <c r="F94" s="6" t="s">
        <v>20</v>
      </c>
      <c r="G94" s="6">
        <v>38.0</v>
      </c>
      <c r="H94" s="6">
        <v>3.49</v>
      </c>
      <c r="I94" s="7">
        <f t="shared" si="1"/>
        <v>4</v>
      </c>
      <c r="J94" s="7">
        <f t="shared" si="2"/>
        <v>10</v>
      </c>
      <c r="K94" s="7">
        <f t="shared" si="3"/>
        <v>2022</v>
      </c>
      <c r="L94" s="7">
        <f t="shared" si="4"/>
        <v>132.62</v>
      </c>
      <c r="M94" s="6" t="str">
        <f t="shared" si="5"/>
        <v>Expensive</v>
      </c>
    </row>
    <row r="95" ht="15.75" customHeight="1">
      <c r="A95" s="4" t="s">
        <v>216</v>
      </c>
      <c r="B95" s="5">
        <v>44841.0</v>
      </c>
      <c r="C95" s="6" t="s">
        <v>182</v>
      </c>
      <c r="D95" s="6" t="s">
        <v>183</v>
      </c>
      <c r="E95" s="6" t="s">
        <v>16</v>
      </c>
      <c r="F95" s="6" t="s">
        <v>17</v>
      </c>
      <c r="G95" s="6">
        <v>40.0</v>
      </c>
      <c r="H95" s="6">
        <v>1.77</v>
      </c>
      <c r="I95" s="7">
        <f t="shared" si="1"/>
        <v>7</v>
      </c>
      <c r="J95" s="7">
        <f t="shared" si="2"/>
        <v>10</v>
      </c>
      <c r="K95" s="7">
        <f t="shared" si="3"/>
        <v>2022</v>
      </c>
      <c r="L95" s="7">
        <f t="shared" si="4"/>
        <v>70.8</v>
      </c>
      <c r="M95" s="6" t="str">
        <f t="shared" si="5"/>
        <v>Cheap</v>
      </c>
    </row>
    <row r="96" ht="15.75" customHeight="1">
      <c r="A96" s="4" t="s">
        <v>217</v>
      </c>
      <c r="B96" s="5">
        <v>44844.0</v>
      </c>
      <c r="C96" s="6" t="s">
        <v>182</v>
      </c>
      <c r="D96" s="6" t="s">
        <v>183</v>
      </c>
      <c r="E96" s="6" t="s">
        <v>33</v>
      </c>
      <c r="F96" s="6" t="s">
        <v>34</v>
      </c>
      <c r="G96" s="6">
        <v>114.0</v>
      </c>
      <c r="H96" s="6">
        <v>1.6800000000000002</v>
      </c>
      <c r="I96" s="7">
        <f t="shared" si="1"/>
        <v>10</v>
      </c>
      <c r="J96" s="7">
        <f t="shared" si="2"/>
        <v>10</v>
      </c>
      <c r="K96" s="7">
        <f t="shared" si="3"/>
        <v>2022</v>
      </c>
      <c r="L96" s="7">
        <f t="shared" si="4"/>
        <v>191.52</v>
      </c>
      <c r="M96" s="6" t="str">
        <f t="shared" si="5"/>
        <v>Expensive</v>
      </c>
    </row>
    <row r="97" ht="15.75" customHeight="1">
      <c r="A97" s="4" t="s">
        <v>91</v>
      </c>
      <c r="B97" s="5">
        <v>44847.0</v>
      </c>
      <c r="C97" s="6" t="s">
        <v>14</v>
      </c>
      <c r="D97" s="6" t="s">
        <v>23</v>
      </c>
      <c r="E97" s="6" t="s">
        <v>24</v>
      </c>
      <c r="F97" s="6" t="s">
        <v>28</v>
      </c>
      <c r="G97" s="6">
        <v>224.0</v>
      </c>
      <c r="H97" s="6">
        <v>2.18</v>
      </c>
      <c r="I97" s="7">
        <f t="shared" si="1"/>
        <v>13</v>
      </c>
      <c r="J97" s="7">
        <f t="shared" si="2"/>
        <v>10</v>
      </c>
      <c r="K97" s="7">
        <f t="shared" si="3"/>
        <v>2022</v>
      </c>
      <c r="L97" s="7">
        <f t="shared" si="4"/>
        <v>488.32</v>
      </c>
      <c r="M97" s="6" t="str">
        <f t="shared" si="5"/>
        <v>Expensive</v>
      </c>
    </row>
    <row r="98" ht="15.75" customHeight="1">
      <c r="A98" s="4" t="s">
        <v>92</v>
      </c>
      <c r="B98" s="5">
        <v>44850.0</v>
      </c>
      <c r="C98" s="6" t="s">
        <v>14</v>
      </c>
      <c r="D98" s="6" t="s">
        <v>23</v>
      </c>
      <c r="E98" s="6" t="s">
        <v>16</v>
      </c>
      <c r="F98" s="6" t="s">
        <v>17</v>
      </c>
      <c r="G98" s="6">
        <v>141.0</v>
      </c>
      <c r="H98" s="6">
        <v>1.77</v>
      </c>
      <c r="I98" s="7">
        <f t="shared" si="1"/>
        <v>16</v>
      </c>
      <c r="J98" s="7">
        <f t="shared" si="2"/>
        <v>10</v>
      </c>
      <c r="K98" s="7">
        <f t="shared" si="3"/>
        <v>2022</v>
      </c>
      <c r="L98" s="7">
        <f t="shared" si="4"/>
        <v>249.57</v>
      </c>
      <c r="M98" s="6" t="str">
        <f t="shared" si="5"/>
        <v>Expensive</v>
      </c>
    </row>
    <row r="99" ht="15.75" customHeight="1">
      <c r="A99" s="4" t="s">
        <v>93</v>
      </c>
      <c r="B99" s="5">
        <v>44853.0</v>
      </c>
      <c r="C99" s="6" t="s">
        <v>14</v>
      </c>
      <c r="D99" s="6" t="s">
        <v>23</v>
      </c>
      <c r="E99" s="6" t="s">
        <v>19</v>
      </c>
      <c r="F99" s="6" t="s">
        <v>20</v>
      </c>
      <c r="G99" s="6">
        <v>32.0</v>
      </c>
      <c r="H99" s="6">
        <v>3.49</v>
      </c>
      <c r="I99" s="7">
        <f t="shared" si="1"/>
        <v>19</v>
      </c>
      <c r="J99" s="7">
        <f t="shared" si="2"/>
        <v>10</v>
      </c>
      <c r="K99" s="7">
        <f t="shared" si="3"/>
        <v>2022</v>
      </c>
      <c r="L99" s="7">
        <f t="shared" si="4"/>
        <v>111.68</v>
      </c>
      <c r="M99" s="6" t="str">
        <f t="shared" si="5"/>
        <v>Expensive</v>
      </c>
    </row>
    <row r="100" ht="15.75" customHeight="1">
      <c r="A100" s="4" t="s">
        <v>218</v>
      </c>
      <c r="B100" s="5">
        <v>44856.0</v>
      </c>
      <c r="C100" s="6" t="s">
        <v>182</v>
      </c>
      <c r="D100" s="6" t="s">
        <v>189</v>
      </c>
      <c r="E100" s="6" t="s">
        <v>16</v>
      </c>
      <c r="F100" s="6" t="s">
        <v>17</v>
      </c>
      <c r="G100" s="6">
        <v>20.0</v>
      </c>
      <c r="H100" s="6">
        <v>1.77</v>
      </c>
      <c r="I100" s="7">
        <f t="shared" si="1"/>
        <v>22</v>
      </c>
      <c r="J100" s="7">
        <f t="shared" si="2"/>
        <v>10</v>
      </c>
      <c r="K100" s="7">
        <f t="shared" si="3"/>
        <v>2022</v>
      </c>
      <c r="L100" s="7">
        <f t="shared" si="4"/>
        <v>35.4</v>
      </c>
      <c r="M100" s="6" t="str">
        <f t="shared" si="5"/>
        <v>Cheap</v>
      </c>
    </row>
    <row r="101" ht="15.75" customHeight="1">
      <c r="A101" s="4" t="s">
        <v>94</v>
      </c>
      <c r="B101" s="5">
        <v>44859.0</v>
      </c>
      <c r="C101" s="6" t="s">
        <v>14</v>
      </c>
      <c r="D101" s="6" t="s">
        <v>15</v>
      </c>
      <c r="E101" s="6" t="s">
        <v>24</v>
      </c>
      <c r="F101" s="6" t="s">
        <v>28</v>
      </c>
      <c r="G101" s="6">
        <v>40.0</v>
      </c>
      <c r="H101" s="6">
        <v>2.18</v>
      </c>
      <c r="I101" s="7">
        <f t="shared" si="1"/>
        <v>25</v>
      </c>
      <c r="J101" s="7">
        <f t="shared" si="2"/>
        <v>10</v>
      </c>
      <c r="K101" s="7">
        <f t="shared" si="3"/>
        <v>2022</v>
      </c>
      <c r="L101" s="7">
        <f t="shared" si="4"/>
        <v>87.2</v>
      </c>
      <c r="M101" s="6" t="str">
        <f t="shared" si="5"/>
        <v>Cheap</v>
      </c>
    </row>
    <row r="102" ht="15.75" customHeight="1">
      <c r="A102" s="4" t="s">
        <v>95</v>
      </c>
      <c r="B102" s="5">
        <v>44862.0</v>
      </c>
      <c r="C102" s="6" t="s">
        <v>14</v>
      </c>
      <c r="D102" s="6" t="s">
        <v>15</v>
      </c>
      <c r="E102" s="6" t="s">
        <v>24</v>
      </c>
      <c r="F102" s="6" t="s">
        <v>25</v>
      </c>
      <c r="G102" s="6">
        <v>49.0</v>
      </c>
      <c r="H102" s="6">
        <v>1.8699999999999999</v>
      </c>
      <c r="I102" s="7">
        <f t="shared" si="1"/>
        <v>28</v>
      </c>
      <c r="J102" s="7">
        <f t="shared" si="2"/>
        <v>10</v>
      </c>
      <c r="K102" s="7">
        <f t="shared" si="3"/>
        <v>2022</v>
      </c>
      <c r="L102" s="7">
        <f t="shared" si="4"/>
        <v>91.63</v>
      </c>
      <c r="M102" s="6" t="str">
        <f t="shared" si="5"/>
        <v>Cheap</v>
      </c>
    </row>
    <row r="103" ht="15.75" customHeight="1">
      <c r="A103" s="4" t="s">
        <v>96</v>
      </c>
      <c r="B103" s="5">
        <v>44865.0</v>
      </c>
      <c r="C103" s="6" t="s">
        <v>14</v>
      </c>
      <c r="D103" s="6" t="s">
        <v>15</v>
      </c>
      <c r="E103" s="6" t="s">
        <v>19</v>
      </c>
      <c r="F103" s="6" t="s">
        <v>20</v>
      </c>
      <c r="G103" s="6">
        <v>46.0</v>
      </c>
      <c r="H103" s="6">
        <v>3.4899999999999998</v>
      </c>
      <c r="I103" s="7">
        <f t="shared" si="1"/>
        <v>31</v>
      </c>
      <c r="J103" s="7">
        <f t="shared" si="2"/>
        <v>10</v>
      </c>
      <c r="K103" s="7">
        <f t="shared" si="3"/>
        <v>2022</v>
      </c>
      <c r="L103" s="7">
        <f t="shared" si="4"/>
        <v>160.54</v>
      </c>
      <c r="M103" s="6" t="str">
        <f t="shared" si="5"/>
        <v>Expensive</v>
      </c>
    </row>
    <row r="104" ht="15.75" customHeight="1">
      <c r="A104" s="4" t="s">
        <v>219</v>
      </c>
      <c r="B104" s="5">
        <v>44868.0</v>
      </c>
      <c r="C104" s="6" t="s">
        <v>182</v>
      </c>
      <c r="D104" s="6" t="s">
        <v>183</v>
      </c>
      <c r="E104" s="6" t="s">
        <v>16</v>
      </c>
      <c r="F104" s="6" t="s">
        <v>17</v>
      </c>
      <c r="G104" s="6">
        <v>39.0</v>
      </c>
      <c r="H104" s="6">
        <v>1.77</v>
      </c>
      <c r="I104" s="7">
        <f t="shared" si="1"/>
        <v>3</v>
      </c>
      <c r="J104" s="7">
        <f t="shared" si="2"/>
        <v>11</v>
      </c>
      <c r="K104" s="7">
        <f t="shared" si="3"/>
        <v>2022</v>
      </c>
      <c r="L104" s="7">
        <f t="shared" si="4"/>
        <v>69.03</v>
      </c>
      <c r="M104" s="6" t="str">
        <f t="shared" si="5"/>
        <v>Cheap</v>
      </c>
    </row>
    <row r="105" ht="15.75" customHeight="1">
      <c r="A105" s="4" t="s">
        <v>220</v>
      </c>
      <c r="B105" s="5">
        <v>44871.0</v>
      </c>
      <c r="C105" s="6" t="s">
        <v>182</v>
      </c>
      <c r="D105" s="6" t="s">
        <v>183</v>
      </c>
      <c r="E105" s="6" t="s">
        <v>33</v>
      </c>
      <c r="F105" s="6" t="s">
        <v>34</v>
      </c>
      <c r="G105" s="6">
        <v>62.0</v>
      </c>
      <c r="H105" s="6">
        <v>1.68</v>
      </c>
      <c r="I105" s="7">
        <f t="shared" si="1"/>
        <v>6</v>
      </c>
      <c r="J105" s="7">
        <f t="shared" si="2"/>
        <v>11</v>
      </c>
      <c r="K105" s="7">
        <f t="shared" si="3"/>
        <v>2022</v>
      </c>
      <c r="L105" s="7">
        <f t="shared" si="4"/>
        <v>104.16</v>
      </c>
      <c r="M105" s="6" t="str">
        <f t="shared" si="5"/>
        <v>Expensive</v>
      </c>
    </row>
    <row r="106" ht="15.75" customHeight="1">
      <c r="A106" s="4" t="s">
        <v>97</v>
      </c>
      <c r="B106" s="5">
        <v>44874.0</v>
      </c>
      <c r="C106" s="6" t="s">
        <v>14</v>
      </c>
      <c r="D106" s="6" t="s">
        <v>23</v>
      </c>
      <c r="E106" s="6" t="s">
        <v>16</v>
      </c>
      <c r="F106" s="6" t="s">
        <v>17</v>
      </c>
      <c r="G106" s="6">
        <v>90.0</v>
      </c>
      <c r="H106" s="6">
        <v>1.77</v>
      </c>
      <c r="I106" s="7">
        <f t="shared" si="1"/>
        <v>9</v>
      </c>
      <c r="J106" s="7">
        <f t="shared" si="2"/>
        <v>11</v>
      </c>
      <c r="K106" s="7">
        <f t="shared" si="3"/>
        <v>2022</v>
      </c>
      <c r="L106" s="7">
        <f t="shared" si="4"/>
        <v>159.3</v>
      </c>
      <c r="M106" s="6" t="str">
        <f t="shared" si="5"/>
        <v>Expensive</v>
      </c>
    </row>
    <row r="107" ht="15.75" customHeight="1">
      <c r="A107" s="4" t="s">
        <v>221</v>
      </c>
      <c r="B107" s="5">
        <v>44877.0</v>
      </c>
      <c r="C107" s="6" t="s">
        <v>182</v>
      </c>
      <c r="D107" s="6" t="s">
        <v>189</v>
      </c>
      <c r="E107" s="6" t="s">
        <v>24</v>
      </c>
      <c r="F107" s="6" t="s">
        <v>28</v>
      </c>
      <c r="G107" s="6">
        <v>103.0</v>
      </c>
      <c r="H107" s="6">
        <v>2.1799999999999997</v>
      </c>
      <c r="I107" s="7">
        <f t="shared" si="1"/>
        <v>12</v>
      </c>
      <c r="J107" s="7">
        <f t="shared" si="2"/>
        <v>11</v>
      </c>
      <c r="K107" s="7">
        <f t="shared" si="3"/>
        <v>2022</v>
      </c>
      <c r="L107" s="7">
        <f t="shared" si="4"/>
        <v>224.54</v>
      </c>
      <c r="M107" s="6" t="str">
        <f t="shared" si="5"/>
        <v>Expensive</v>
      </c>
    </row>
    <row r="108" ht="15.75" customHeight="1">
      <c r="A108" s="4" t="s">
        <v>222</v>
      </c>
      <c r="B108" s="5">
        <v>44880.0</v>
      </c>
      <c r="C108" s="6" t="s">
        <v>182</v>
      </c>
      <c r="D108" s="6" t="s">
        <v>189</v>
      </c>
      <c r="E108" s="6" t="s">
        <v>24</v>
      </c>
      <c r="F108" s="6" t="s">
        <v>42</v>
      </c>
      <c r="G108" s="6">
        <v>32.0</v>
      </c>
      <c r="H108" s="6">
        <v>2.84</v>
      </c>
      <c r="I108" s="7">
        <f t="shared" si="1"/>
        <v>15</v>
      </c>
      <c r="J108" s="7">
        <f t="shared" si="2"/>
        <v>11</v>
      </c>
      <c r="K108" s="7">
        <f t="shared" si="3"/>
        <v>2022</v>
      </c>
      <c r="L108" s="7">
        <f t="shared" si="4"/>
        <v>90.88</v>
      </c>
      <c r="M108" s="6" t="str">
        <f t="shared" si="5"/>
        <v>Cheap</v>
      </c>
    </row>
    <row r="109" ht="15.75" customHeight="1">
      <c r="A109" s="4" t="s">
        <v>98</v>
      </c>
      <c r="B109" s="5">
        <v>44883.0</v>
      </c>
      <c r="C109" s="6" t="s">
        <v>14</v>
      </c>
      <c r="D109" s="6" t="s">
        <v>15</v>
      </c>
      <c r="E109" s="6" t="s">
        <v>16</v>
      </c>
      <c r="F109" s="6" t="s">
        <v>49</v>
      </c>
      <c r="G109" s="6">
        <v>66.0</v>
      </c>
      <c r="H109" s="6">
        <v>1.87</v>
      </c>
      <c r="I109" s="7">
        <f t="shared" si="1"/>
        <v>18</v>
      </c>
      <c r="J109" s="7">
        <f t="shared" si="2"/>
        <v>11</v>
      </c>
      <c r="K109" s="7">
        <f t="shared" si="3"/>
        <v>2022</v>
      </c>
      <c r="L109" s="7">
        <f t="shared" si="4"/>
        <v>123.42</v>
      </c>
      <c r="M109" s="6" t="str">
        <f t="shared" si="5"/>
        <v>Expensive</v>
      </c>
    </row>
    <row r="110" ht="15.75" customHeight="1">
      <c r="A110" s="4" t="s">
        <v>99</v>
      </c>
      <c r="B110" s="5">
        <v>44886.0</v>
      </c>
      <c r="C110" s="6" t="s">
        <v>14</v>
      </c>
      <c r="D110" s="6" t="s">
        <v>15</v>
      </c>
      <c r="E110" s="6" t="s">
        <v>24</v>
      </c>
      <c r="F110" s="6" t="s">
        <v>42</v>
      </c>
      <c r="G110" s="6">
        <v>97.0</v>
      </c>
      <c r="H110" s="6">
        <v>2.8400000000000003</v>
      </c>
      <c r="I110" s="7">
        <f t="shared" si="1"/>
        <v>21</v>
      </c>
      <c r="J110" s="7">
        <f t="shared" si="2"/>
        <v>11</v>
      </c>
      <c r="K110" s="7">
        <f t="shared" si="3"/>
        <v>2022</v>
      </c>
      <c r="L110" s="7">
        <f t="shared" si="4"/>
        <v>275.48</v>
      </c>
      <c r="M110" s="6" t="str">
        <f t="shared" si="5"/>
        <v>Expensive</v>
      </c>
    </row>
    <row r="111" ht="15.75" customHeight="1">
      <c r="A111" s="4" t="s">
        <v>223</v>
      </c>
      <c r="B111" s="5">
        <v>44889.0</v>
      </c>
      <c r="C111" s="6" t="s">
        <v>182</v>
      </c>
      <c r="D111" s="6" t="s">
        <v>183</v>
      </c>
      <c r="E111" s="6" t="s">
        <v>16</v>
      </c>
      <c r="F111" s="6" t="s">
        <v>17</v>
      </c>
      <c r="G111" s="6">
        <v>30.0</v>
      </c>
      <c r="H111" s="6">
        <v>1.77</v>
      </c>
      <c r="I111" s="7">
        <f t="shared" si="1"/>
        <v>24</v>
      </c>
      <c r="J111" s="7">
        <f t="shared" si="2"/>
        <v>11</v>
      </c>
      <c r="K111" s="7">
        <f t="shared" si="3"/>
        <v>2022</v>
      </c>
      <c r="L111" s="7">
        <f t="shared" si="4"/>
        <v>53.1</v>
      </c>
      <c r="M111" s="6" t="str">
        <f t="shared" si="5"/>
        <v>Cheap</v>
      </c>
    </row>
    <row r="112" ht="15.75" customHeight="1">
      <c r="A112" s="4" t="s">
        <v>224</v>
      </c>
      <c r="B112" s="5">
        <v>44892.0</v>
      </c>
      <c r="C112" s="6" t="s">
        <v>182</v>
      </c>
      <c r="D112" s="6" t="s">
        <v>183</v>
      </c>
      <c r="E112" s="6" t="s">
        <v>33</v>
      </c>
      <c r="F112" s="6" t="s">
        <v>34</v>
      </c>
      <c r="G112" s="6">
        <v>29.0</v>
      </c>
      <c r="H112" s="6">
        <v>1.68</v>
      </c>
      <c r="I112" s="7">
        <f t="shared" si="1"/>
        <v>27</v>
      </c>
      <c r="J112" s="7">
        <f t="shared" si="2"/>
        <v>11</v>
      </c>
      <c r="K112" s="7">
        <f t="shared" si="3"/>
        <v>2022</v>
      </c>
      <c r="L112" s="7">
        <f t="shared" si="4"/>
        <v>48.72</v>
      </c>
      <c r="M112" s="6" t="str">
        <f t="shared" si="5"/>
        <v>Cheap</v>
      </c>
    </row>
    <row r="113" ht="15.75" customHeight="1">
      <c r="A113" s="4" t="s">
        <v>100</v>
      </c>
      <c r="B113" s="5">
        <v>44895.0</v>
      </c>
      <c r="C113" s="6" t="s">
        <v>14</v>
      </c>
      <c r="D113" s="6" t="s">
        <v>23</v>
      </c>
      <c r="E113" s="6" t="s">
        <v>16</v>
      </c>
      <c r="F113" s="6" t="s">
        <v>17</v>
      </c>
      <c r="G113" s="6">
        <v>92.0</v>
      </c>
      <c r="H113" s="6">
        <v>1.77</v>
      </c>
      <c r="I113" s="7">
        <f t="shared" si="1"/>
        <v>30</v>
      </c>
      <c r="J113" s="7">
        <f t="shared" si="2"/>
        <v>11</v>
      </c>
      <c r="K113" s="7">
        <f t="shared" si="3"/>
        <v>2022</v>
      </c>
      <c r="L113" s="7">
        <f t="shared" si="4"/>
        <v>162.84</v>
      </c>
      <c r="M113" s="6" t="str">
        <f t="shared" si="5"/>
        <v>Expensive</v>
      </c>
    </row>
    <row r="114" ht="15.75" customHeight="1">
      <c r="A114" s="4" t="s">
        <v>225</v>
      </c>
      <c r="B114" s="5">
        <v>44898.0</v>
      </c>
      <c r="C114" s="6" t="s">
        <v>182</v>
      </c>
      <c r="D114" s="6" t="s">
        <v>189</v>
      </c>
      <c r="E114" s="6" t="s">
        <v>24</v>
      </c>
      <c r="F114" s="6" t="s">
        <v>28</v>
      </c>
      <c r="G114" s="6">
        <v>139.0</v>
      </c>
      <c r="H114" s="6">
        <v>2.1799999999999997</v>
      </c>
      <c r="I114" s="7">
        <f t="shared" si="1"/>
        <v>3</v>
      </c>
      <c r="J114" s="7">
        <f t="shared" si="2"/>
        <v>12</v>
      </c>
      <c r="K114" s="7">
        <f t="shared" si="3"/>
        <v>2022</v>
      </c>
      <c r="L114" s="7">
        <f t="shared" si="4"/>
        <v>303.02</v>
      </c>
      <c r="M114" s="6" t="str">
        <f t="shared" si="5"/>
        <v>Expensive</v>
      </c>
    </row>
    <row r="115" ht="15.75" customHeight="1">
      <c r="A115" s="4" t="s">
        <v>226</v>
      </c>
      <c r="B115" s="5">
        <v>44901.0</v>
      </c>
      <c r="C115" s="6" t="s">
        <v>182</v>
      </c>
      <c r="D115" s="6" t="s">
        <v>189</v>
      </c>
      <c r="E115" s="6" t="s">
        <v>24</v>
      </c>
      <c r="F115" s="6" t="s">
        <v>42</v>
      </c>
      <c r="G115" s="6">
        <v>29.0</v>
      </c>
      <c r="H115" s="6">
        <v>2.84</v>
      </c>
      <c r="I115" s="7">
        <f t="shared" si="1"/>
        <v>6</v>
      </c>
      <c r="J115" s="7">
        <f t="shared" si="2"/>
        <v>12</v>
      </c>
      <c r="K115" s="7">
        <f t="shared" si="3"/>
        <v>2022</v>
      </c>
      <c r="L115" s="7">
        <f t="shared" si="4"/>
        <v>82.36</v>
      </c>
      <c r="M115" s="6" t="str">
        <f t="shared" si="5"/>
        <v>Cheap</v>
      </c>
    </row>
    <row r="116" ht="15.75" customHeight="1">
      <c r="A116" s="4" t="s">
        <v>101</v>
      </c>
      <c r="B116" s="5">
        <v>44904.0</v>
      </c>
      <c r="C116" s="6" t="s">
        <v>14</v>
      </c>
      <c r="D116" s="6" t="s">
        <v>15</v>
      </c>
      <c r="E116" s="6" t="s">
        <v>16</v>
      </c>
      <c r="F116" s="6" t="s">
        <v>102</v>
      </c>
      <c r="G116" s="6">
        <v>30.0</v>
      </c>
      <c r="H116" s="6">
        <v>2.27</v>
      </c>
      <c r="I116" s="7">
        <f t="shared" si="1"/>
        <v>9</v>
      </c>
      <c r="J116" s="7">
        <f t="shared" si="2"/>
        <v>12</v>
      </c>
      <c r="K116" s="7">
        <f t="shared" si="3"/>
        <v>2022</v>
      </c>
      <c r="L116" s="7">
        <f t="shared" si="4"/>
        <v>68.1</v>
      </c>
      <c r="M116" s="6" t="str">
        <f t="shared" si="5"/>
        <v>Cheap</v>
      </c>
    </row>
    <row r="117" ht="15.75" customHeight="1">
      <c r="A117" s="4" t="s">
        <v>103</v>
      </c>
      <c r="B117" s="5">
        <v>44907.0</v>
      </c>
      <c r="C117" s="6" t="s">
        <v>14</v>
      </c>
      <c r="D117" s="6" t="s">
        <v>15</v>
      </c>
      <c r="E117" s="6" t="s">
        <v>24</v>
      </c>
      <c r="F117" s="6" t="s">
        <v>25</v>
      </c>
      <c r="G117" s="6">
        <v>36.0</v>
      </c>
      <c r="H117" s="6">
        <v>1.8699999999999999</v>
      </c>
      <c r="I117" s="7">
        <f t="shared" si="1"/>
        <v>12</v>
      </c>
      <c r="J117" s="7">
        <f t="shared" si="2"/>
        <v>12</v>
      </c>
      <c r="K117" s="7">
        <f t="shared" si="3"/>
        <v>2022</v>
      </c>
      <c r="L117" s="7">
        <f t="shared" si="4"/>
        <v>67.32</v>
      </c>
      <c r="M117" s="6" t="str">
        <f t="shared" si="5"/>
        <v>Cheap</v>
      </c>
    </row>
    <row r="118" ht="15.75" customHeight="1">
      <c r="A118" s="4" t="s">
        <v>104</v>
      </c>
      <c r="B118" s="5">
        <v>44910.0</v>
      </c>
      <c r="C118" s="6" t="s">
        <v>14</v>
      </c>
      <c r="D118" s="6" t="s">
        <v>15</v>
      </c>
      <c r="E118" s="6" t="s">
        <v>19</v>
      </c>
      <c r="F118" s="6" t="s">
        <v>20</v>
      </c>
      <c r="G118" s="6">
        <v>41.0</v>
      </c>
      <c r="H118" s="6">
        <v>3.49</v>
      </c>
      <c r="I118" s="7">
        <f t="shared" si="1"/>
        <v>15</v>
      </c>
      <c r="J118" s="7">
        <f t="shared" si="2"/>
        <v>12</v>
      </c>
      <c r="K118" s="7">
        <f t="shared" si="3"/>
        <v>2022</v>
      </c>
      <c r="L118" s="7">
        <f t="shared" si="4"/>
        <v>143.09</v>
      </c>
      <c r="M118" s="6" t="str">
        <f t="shared" si="5"/>
        <v>Expensive</v>
      </c>
    </row>
    <row r="119" ht="15.75" customHeight="1">
      <c r="A119" s="4" t="s">
        <v>227</v>
      </c>
      <c r="B119" s="5">
        <v>44913.0</v>
      </c>
      <c r="C119" s="6" t="s">
        <v>182</v>
      </c>
      <c r="D119" s="6" t="s">
        <v>183</v>
      </c>
      <c r="E119" s="6" t="s">
        <v>16</v>
      </c>
      <c r="F119" s="6" t="s">
        <v>17</v>
      </c>
      <c r="G119" s="6">
        <v>44.0</v>
      </c>
      <c r="H119" s="6">
        <v>1.7699999999999998</v>
      </c>
      <c r="I119" s="7">
        <f t="shared" si="1"/>
        <v>18</v>
      </c>
      <c r="J119" s="7">
        <f t="shared" si="2"/>
        <v>12</v>
      </c>
      <c r="K119" s="7">
        <f t="shared" si="3"/>
        <v>2022</v>
      </c>
      <c r="L119" s="7">
        <f t="shared" si="4"/>
        <v>77.88</v>
      </c>
      <c r="M119" s="6" t="str">
        <f t="shared" si="5"/>
        <v>Cheap</v>
      </c>
    </row>
    <row r="120" ht="15.75" customHeight="1">
      <c r="A120" s="4" t="s">
        <v>228</v>
      </c>
      <c r="B120" s="5">
        <v>44916.0</v>
      </c>
      <c r="C120" s="6" t="s">
        <v>182</v>
      </c>
      <c r="D120" s="6" t="s">
        <v>183</v>
      </c>
      <c r="E120" s="6" t="s">
        <v>33</v>
      </c>
      <c r="F120" s="6" t="s">
        <v>34</v>
      </c>
      <c r="G120" s="6">
        <v>29.0</v>
      </c>
      <c r="H120" s="6">
        <v>1.68</v>
      </c>
      <c r="I120" s="7">
        <f t="shared" si="1"/>
        <v>21</v>
      </c>
      <c r="J120" s="7">
        <f t="shared" si="2"/>
        <v>12</v>
      </c>
      <c r="K120" s="7">
        <f t="shared" si="3"/>
        <v>2022</v>
      </c>
      <c r="L120" s="7">
        <f t="shared" si="4"/>
        <v>48.72</v>
      </c>
      <c r="M120" s="6" t="str">
        <f t="shared" si="5"/>
        <v>Cheap</v>
      </c>
    </row>
    <row r="121" ht="15.75" customHeight="1">
      <c r="A121" s="4" t="s">
        <v>105</v>
      </c>
      <c r="B121" s="5">
        <v>44919.0</v>
      </c>
      <c r="C121" s="6" t="s">
        <v>14</v>
      </c>
      <c r="D121" s="6" t="s">
        <v>23</v>
      </c>
      <c r="E121" s="6" t="s">
        <v>24</v>
      </c>
      <c r="F121" s="6" t="s">
        <v>28</v>
      </c>
      <c r="G121" s="6">
        <v>237.0</v>
      </c>
      <c r="H121" s="6">
        <v>2.1799999999999997</v>
      </c>
      <c r="I121" s="7">
        <f t="shared" si="1"/>
        <v>24</v>
      </c>
      <c r="J121" s="7">
        <f t="shared" si="2"/>
        <v>12</v>
      </c>
      <c r="K121" s="7">
        <f t="shared" si="3"/>
        <v>2022</v>
      </c>
      <c r="L121" s="7">
        <f t="shared" si="4"/>
        <v>516.66</v>
      </c>
      <c r="M121" s="6" t="str">
        <f t="shared" si="5"/>
        <v>Expensive</v>
      </c>
    </row>
    <row r="122" ht="15.75" customHeight="1">
      <c r="A122" s="4" t="s">
        <v>106</v>
      </c>
      <c r="B122" s="5">
        <v>44922.0</v>
      </c>
      <c r="C122" s="6" t="s">
        <v>14</v>
      </c>
      <c r="D122" s="6" t="s">
        <v>23</v>
      </c>
      <c r="E122" s="6" t="s">
        <v>24</v>
      </c>
      <c r="F122" s="6" t="s">
        <v>25</v>
      </c>
      <c r="G122" s="6">
        <v>65.0</v>
      </c>
      <c r="H122" s="6">
        <v>1.8699999999999999</v>
      </c>
      <c r="I122" s="7">
        <f t="shared" si="1"/>
        <v>27</v>
      </c>
      <c r="J122" s="7">
        <f t="shared" si="2"/>
        <v>12</v>
      </c>
      <c r="K122" s="7">
        <f t="shared" si="3"/>
        <v>2022</v>
      </c>
      <c r="L122" s="7">
        <f t="shared" si="4"/>
        <v>121.55</v>
      </c>
      <c r="M122" s="6" t="str">
        <f t="shared" si="5"/>
        <v>Expensive</v>
      </c>
    </row>
    <row r="123" ht="15.75" customHeight="1">
      <c r="A123" s="4" t="s">
        <v>229</v>
      </c>
      <c r="B123" s="5">
        <v>44925.0</v>
      </c>
      <c r="C123" s="6" t="s">
        <v>182</v>
      </c>
      <c r="D123" s="6" t="s">
        <v>189</v>
      </c>
      <c r="E123" s="6" t="s">
        <v>24</v>
      </c>
      <c r="F123" s="6" t="s">
        <v>28</v>
      </c>
      <c r="G123" s="6">
        <v>83.0</v>
      </c>
      <c r="H123" s="6">
        <v>2.18</v>
      </c>
      <c r="I123" s="7">
        <f t="shared" si="1"/>
        <v>30</v>
      </c>
      <c r="J123" s="7">
        <f t="shared" si="2"/>
        <v>12</v>
      </c>
      <c r="K123" s="7">
        <f t="shared" si="3"/>
        <v>2022</v>
      </c>
      <c r="L123" s="7">
        <f t="shared" si="4"/>
        <v>180.94</v>
      </c>
      <c r="M123" s="6" t="str">
        <f t="shared" si="5"/>
        <v>Expensive</v>
      </c>
    </row>
    <row r="124" ht="15.75" hidden="1" customHeight="1">
      <c r="A124" s="4" t="s">
        <v>107</v>
      </c>
      <c r="B124" s="5">
        <v>44928.0</v>
      </c>
      <c r="C124" s="6" t="s">
        <v>14</v>
      </c>
      <c r="D124" s="6" t="s">
        <v>15</v>
      </c>
      <c r="E124" s="6" t="s">
        <v>24</v>
      </c>
      <c r="F124" s="6" t="s">
        <v>28</v>
      </c>
      <c r="G124" s="6">
        <v>32.0</v>
      </c>
      <c r="H124" s="6">
        <v>2.18</v>
      </c>
      <c r="I124" s="7">
        <f t="shared" si="1"/>
        <v>2</v>
      </c>
      <c r="J124" s="7">
        <f t="shared" si="2"/>
        <v>1</v>
      </c>
      <c r="K124" s="7">
        <f t="shared" si="3"/>
        <v>2023</v>
      </c>
      <c r="L124" s="7">
        <f t="shared" si="4"/>
        <v>69.76</v>
      </c>
      <c r="M124" s="6" t="str">
        <f t="shared" si="5"/>
        <v>Cheap</v>
      </c>
    </row>
    <row r="125" ht="15.75" hidden="1" customHeight="1">
      <c r="A125" s="4" t="s">
        <v>108</v>
      </c>
      <c r="B125" s="5">
        <v>44931.0</v>
      </c>
      <c r="C125" s="6" t="s">
        <v>14</v>
      </c>
      <c r="D125" s="6" t="s">
        <v>15</v>
      </c>
      <c r="E125" s="6" t="s">
        <v>16</v>
      </c>
      <c r="F125" s="6" t="s">
        <v>17</v>
      </c>
      <c r="G125" s="6">
        <v>63.0</v>
      </c>
      <c r="H125" s="6">
        <v>1.77</v>
      </c>
      <c r="I125" s="7">
        <f t="shared" si="1"/>
        <v>5</v>
      </c>
      <c r="J125" s="7">
        <f t="shared" si="2"/>
        <v>1</v>
      </c>
      <c r="K125" s="7">
        <f t="shared" si="3"/>
        <v>2023</v>
      </c>
      <c r="L125" s="7">
        <f t="shared" si="4"/>
        <v>111.51</v>
      </c>
      <c r="M125" s="6" t="str">
        <f t="shared" si="5"/>
        <v>Expensive</v>
      </c>
    </row>
    <row r="126" ht="15.75" hidden="1" customHeight="1">
      <c r="A126" s="4" t="s">
        <v>109</v>
      </c>
      <c r="B126" s="5">
        <v>44934.0</v>
      </c>
      <c r="C126" s="6" t="s">
        <v>14</v>
      </c>
      <c r="D126" s="6" t="s">
        <v>15</v>
      </c>
      <c r="E126" s="6" t="s">
        <v>33</v>
      </c>
      <c r="F126" s="6" t="s">
        <v>85</v>
      </c>
      <c r="G126" s="6">
        <v>29.0</v>
      </c>
      <c r="H126" s="6">
        <v>3.15</v>
      </c>
      <c r="I126" s="7">
        <f t="shared" si="1"/>
        <v>8</v>
      </c>
      <c r="J126" s="7">
        <f t="shared" si="2"/>
        <v>1</v>
      </c>
      <c r="K126" s="7">
        <f t="shared" si="3"/>
        <v>2023</v>
      </c>
      <c r="L126" s="7">
        <f t="shared" si="4"/>
        <v>91.35</v>
      </c>
      <c r="M126" s="6" t="str">
        <f t="shared" si="5"/>
        <v>Cheap</v>
      </c>
    </row>
    <row r="127" ht="15.75" hidden="1" customHeight="1">
      <c r="A127" s="4" t="s">
        <v>230</v>
      </c>
      <c r="B127" s="5">
        <v>44937.0</v>
      </c>
      <c r="C127" s="6" t="s">
        <v>182</v>
      </c>
      <c r="D127" s="6" t="s">
        <v>183</v>
      </c>
      <c r="E127" s="6" t="s">
        <v>16</v>
      </c>
      <c r="F127" s="6" t="s">
        <v>49</v>
      </c>
      <c r="G127" s="6">
        <v>77.0</v>
      </c>
      <c r="H127" s="6">
        <v>1.87</v>
      </c>
      <c r="I127" s="7">
        <f t="shared" si="1"/>
        <v>11</v>
      </c>
      <c r="J127" s="7">
        <f t="shared" si="2"/>
        <v>1</v>
      </c>
      <c r="K127" s="7">
        <f t="shared" si="3"/>
        <v>2023</v>
      </c>
      <c r="L127" s="7">
        <f t="shared" si="4"/>
        <v>143.99</v>
      </c>
      <c r="M127" s="6" t="str">
        <f t="shared" si="5"/>
        <v>Expensive</v>
      </c>
    </row>
    <row r="128" ht="15.75" hidden="1" customHeight="1">
      <c r="A128" s="4" t="s">
        <v>231</v>
      </c>
      <c r="B128" s="5">
        <v>44940.0</v>
      </c>
      <c r="C128" s="6" t="s">
        <v>182</v>
      </c>
      <c r="D128" s="6" t="s">
        <v>183</v>
      </c>
      <c r="E128" s="6" t="s">
        <v>24</v>
      </c>
      <c r="F128" s="6" t="s">
        <v>42</v>
      </c>
      <c r="G128" s="6">
        <v>80.0</v>
      </c>
      <c r="H128" s="6">
        <v>2.84</v>
      </c>
      <c r="I128" s="7">
        <f t="shared" si="1"/>
        <v>14</v>
      </c>
      <c r="J128" s="7">
        <f t="shared" si="2"/>
        <v>1</v>
      </c>
      <c r="K128" s="7">
        <f t="shared" si="3"/>
        <v>2023</v>
      </c>
      <c r="L128" s="7">
        <f t="shared" si="4"/>
        <v>227.2</v>
      </c>
      <c r="M128" s="6" t="str">
        <f t="shared" si="5"/>
        <v>Expensive</v>
      </c>
    </row>
    <row r="129" ht="15.75" hidden="1" customHeight="1">
      <c r="A129" s="4" t="s">
        <v>110</v>
      </c>
      <c r="B129" s="5">
        <v>44943.0</v>
      </c>
      <c r="C129" s="6" t="s">
        <v>14</v>
      </c>
      <c r="D129" s="6" t="s">
        <v>23</v>
      </c>
      <c r="E129" s="6" t="s">
        <v>16</v>
      </c>
      <c r="F129" s="6" t="s">
        <v>17</v>
      </c>
      <c r="G129" s="6">
        <v>102.0</v>
      </c>
      <c r="H129" s="6">
        <v>1.77</v>
      </c>
      <c r="I129" s="7">
        <f t="shared" si="1"/>
        <v>17</v>
      </c>
      <c r="J129" s="7">
        <f t="shared" si="2"/>
        <v>1</v>
      </c>
      <c r="K129" s="7">
        <f t="shared" si="3"/>
        <v>2023</v>
      </c>
      <c r="L129" s="7">
        <f t="shared" si="4"/>
        <v>180.54</v>
      </c>
      <c r="M129" s="6" t="str">
        <f t="shared" si="5"/>
        <v>Expensive</v>
      </c>
    </row>
    <row r="130" ht="15.75" hidden="1" customHeight="1">
      <c r="A130" s="4" t="s">
        <v>111</v>
      </c>
      <c r="B130" s="5">
        <v>44946.0</v>
      </c>
      <c r="C130" s="6" t="s">
        <v>14</v>
      </c>
      <c r="D130" s="6" t="s">
        <v>23</v>
      </c>
      <c r="E130" s="6" t="s">
        <v>19</v>
      </c>
      <c r="F130" s="6" t="s">
        <v>20</v>
      </c>
      <c r="G130" s="6">
        <v>31.0</v>
      </c>
      <c r="H130" s="6">
        <v>3.4899999999999998</v>
      </c>
      <c r="I130" s="7">
        <f t="shared" si="1"/>
        <v>20</v>
      </c>
      <c r="J130" s="7">
        <f t="shared" si="2"/>
        <v>1</v>
      </c>
      <c r="K130" s="7">
        <f t="shared" si="3"/>
        <v>2023</v>
      </c>
      <c r="L130" s="7">
        <f t="shared" si="4"/>
        <v>108.19</v>
      </c>
      <c r="M130" s="6" t="str">
        <f t="shared" si="5"/>
        <v>Expensive</v>
      </c>
    </row>
    <row r="131" ht="15.75" hidden="1" customHeight="1">
      <c r="A131" s="4" t="s">
        <v>232</v>
      </c>
      <c r="B131" s="5">
        <v>44949.0</v>
      </c>
      <c r="C131" s="6" t="s">
        <v>182</v>
      </c>
      <c r="D131" s="6" t="s">
        <v>189</v>
      </c>
      <c r="E131" s="6" t="s">
        <v>16</v>
      </c>
      <c r="F131" s="6" t="s">
        <v>17</v>
      </c>
      <c r="G131" s="6">
        <v>56.0</v>
      </c>
      <c r="H131" s="6">
        <v>1.77</v>
      </c>
      <c r="I131" s="7">
        <f t="shared" si="1"/>
        <v>23</v>
      </c>
      <c r="J131" s="7">
        <f t="shared" si="2"/>
        <v>1</v>
      </c>
      <c r="K131" s="7">
        <f t="shared" si="3"/>
        <v>2023</v>
      </c>
      <c r="L131" s="7">
        <f t="shared" si="4"/>
        <v>99.12</v>
      </c>
      <c r="M131" s="6" t="str">
        <f t="shared" si="5"/>
        <v>Cheap</v>
      </c>
    </row>
    <row r="132" ht="15.75" hidden="1" customHeight="1">
      <c r="A132" s="4" t="s">
        <v>112</v>
      </c>
      <c r="B132" s="5">
        <v>44952.0</v>
      </c>
      <c r="C132" s="6" t="s">
        <v>14</v>
      </c>
      <c r="D132" s="6" t="s">
        <v>15</v>
      </c>
      <c r="E132" s="6" t="s">
        <v>24</v>
      </c>
      <c r="F132" s="6" t="s">
        <v>28</v>
      </c>
      <c r="G132" s="6">
        <v>52.0</v>
      </c>
      <c r="H132" s="6">
        <v>2.18</v>
      </c>
      <c r="I132" s="7">
        <f t="shared" si="1"/>
        <v>26</v>
      </c>
      <c r="J132" s="7">
        <f t="shared" si="2"/>
        <v>1</v>
      </c>
      <c r="K132" s="7">
        <f t="shared" si="3"/>
        <v>2023</v>
      </c>
      <c r="L132" s="7">
        <f t="shared" si="4"/>
        <v>113.36</v>
      </c>
      <c r="M132" s="6" t="str">
        <f t="shared" si="5"/>
        <v>Expensive</v>
      </c>
    </row>
    <row r="133" ht="15.75" hidden="1" customHeight="1">
      <c r="A133" s="4" t="s">
        <v>113</v>
      </c>
      <c r="B133" s="5">
        <v>44955.0</v>
      </c>
      <c r="C133" s="6" t="s">
        <v>14</v>
      </c>
      <c r="D133" s="6" t="s">
        <v>15</v>
      </c>
      <c r="E133" s="6" t="s">
        <v>16</v>
      </c>
      <c r="F133" s="6" t="s">
        <v>17</v>
      </c>
      <c r="G133" s="6">
        <v>51.0</v>
      </c>
      <c r="H133" s="6">
        <v>1.77</v>
      </c>
      <c r="I133" s="7">
        <f t="shared" si="1"/>
        <v>29</v>
      </c>
      <c r="J133" s="7">
        <f t="shared" si="2"/>
        <v>1</v>
      </c>
      <c r="K133" s="7">
        <f t="shared" si="3"/>
        <v>2023</v>
      </c>
      <c r="L133" s="7">
        <f t="shared" si="4"/>
        <v>90.27</v>
      </c>
      <c r="M133" s="6" t="str">
        <f t="shared" si="5"/>
        <v>Cheap</v>
      </c>
    </row>
    <row r="134" ht="15.75" hidden="1" customHeight="1">
      <c r="A134" s="4" t="s">
        <v>114</v>
      </c>
      <c r="B134" s="5">
        <v>44958.0</v>
      </c>
      <c r="C134" s="6" t="s">
        <v>14</v>
      </c>
      <c r="D134" s="6" t="s">
        <v>15</v>
      </c>
      <c r="E134" s="6" t="s">
        <v>33</v>
      </c>
      <c r="F134" s="6" t="s">
        <v>34</v>
      </c>
      <c r="G134" s="6">
        <v>24.0</v>
      </c>
      <c r="H134" s="6">
        <v>1.68</v>
      </c>
      <c r="I134" s="7">
        <f t="shared" si="1"/>
        <v>1</v>
      </c>
      <c r="J134" s="7">
        <f t="shared" si="2"/>
        <v>2</v>
      </c>
      <c r="K134" s="7">
        <f t="shared" si="3"/>
        <v>2023</v>
      </c>
      <c r="L134" s="7">
        <f t="shared" si="4"/>
        <v>40.32</v>
      </c>
      <c r="M134" s="6" t="str">
        <f t="shared" si="5"/>
        <v>Cheap</v>
      </c>
    </row>
    <row r="135" ht="15.75" hidden="1" customHeight="1">
      <c r="A135" s="4" t="s">
        <v>233</v>
      </c>
      <c r="B135" s="5">
        <v>44961.0</v>
      </c>
      <c r="C135" s="6" t="s">
        <v>182</v>
      </c>
      <c r="D135" s="6" t="s">
        <v>183</v>
      </c>
      <c r="E135" s="6" t="s">
        <v>24</v>
      </c>
      <c r="F135" s="6" t="s">
        <v>28</v>
      </c>
      <c r="G135" s="6">
        <v>58.0</v>
      </c>
      <c r="H135" s="6">
        <v>2.18</v>
      </c>
      <c r="I135" s="7">
        <f t="shared" si="1"/>
        <v>4</v>
      </c>
      <c r="J135" s="7">
        <f t="shared" si="2"/>
        <v>2</v>
      </c>
      <c r="K135" s="7">
        <f t="shared" si="3"/>
        <v>2023</v>
      </c>
      <c r="L135" s="7">
        <f t="shared" si="4"/>
        <v>126.44</v>
      </c>
      <c r="M135" s="6" t="str">
        <f t="shared" si="5"/>
        <v>Expensive</v>
      </c>
    </row>
    <row r="136" ht="15.75" hidden="1" customHeight="1">
      <c r="A136" s="4" t="s">
        <v>234</v>
      </c>
      <c r="B136" s="5">
        <v>44964.0</v>
      </c>
      <c r="C136" s="6" t="s">
        <v>182</v>
      </c>
      <c r="D136" s="6" t="s">
        <v>183</v>
      </c>
      <c r="E136" s="6" t="s">
        <v>24</v>
      </c>
      <c r="F136" s="6" t="s">
        <v>25</v>
      </c>
      <c r="G136" s="6">
        <v>34.0</v>
      </c>
      <c r="H136" s="6">
        <v>1.8699999999999999</v>
      </c>
      <c r="I136" s="7">
        <f t="shared" si="1"/>
        <v>7</v>
      </c>
      <c r="J136" s="7">
        <f t="shared" si="2"/>
        <v>2</v>
      </c>
      <c r="K136" s="7">
        <f t="shared" si="3"/>
        <v>2023</v>
      </c>
      <c r="L136" s="7">
        <f t="shared" si="4"/>
        <v>63.58</v>
      </c>
      <c r="M136" s="6" t="str">
        <f t="shared" si="5"/>
        <v>Cheap</v>
      </c>
    </row>
    <row r="137" ht="15.75" hidden="1" customHeight="1">
      <c r="A137" s="4" t="s">
        <v>115</v>
      </c>
      <c r="B137" s="5">
        <v>44967.0</v>
      </c>
      <c r="C137" s="6" t="s">
        <v>14</v>
      </c>
      <c r="D137" s="6" t="s">
        <v>23</v>
      </c>
      <c r="E137" s="6" t="s">
        <v>16</v>
      </c>
      <c r="F137" s="6" t="s">
        <v>17</v>
      </c>
      <c r="G137" s="6">
        <v>34.0</v>
      </c>
      <c r="H137" s="6">
        <v>1.77</v>
      </c>
      <c r="I137" s="7">
        <f t="shared" si="1"/>
        <v>10</v>
      </c>
      <c r="J137" s="7">
        <f t="shared" si="2"/>
        <v>2</v>
      </c>
      <c r="K137" s="7">
        <f t="shared" si="3"/>
        <v>2023</v>
      </c>
      <c r="L137" s="7">
        <f t="shared" si="4"/>
        <v>60.18</v>
      </c>
      <c r="M137" s="6" t="str">
        <f t="shared" si="5"/>
        <v>Cheap</v>
      </c>
    </row>
    <row r="138" ht="15.75" hidden="1" customHeight="1">
      <c r="A138" s="4" t="s">
        <v>116</v>
      </c>
      <c r="B138" s="5">
        <v>44970.0</v>
      </c>
      <c r="C138" s="6" t="s">
        <v>14</v>
      </c>
      <c r="D138" s="6" t="s">
        <v>23</v>
      </c>
      <c r="E138" s="6" t="s">
        <v>33</v>
      </c>
      <c r="F138" s="6" t="s">
        <v>34</v>
      </c>
      <c r="G138" s="6">
        <v>21.0</v>
      </c>
      <c r="H138" s="6">
        <v>1.6800000000000002</v>
      </c>
      <c r="I138" s="7">
        <f t="shared" si="1"/>
        <v>13</v>
      </c>
      <c r="J138" s="7">
        <f t="shared" si="2"/>
        <v>2</v>
      </c>
      <c r="K138" s="7">
        <f t="shared" si="3"/>
        <v>2023</v>
      </c>
      <c r="L138" s="7">
        <f t="shared" si="4"/>
        <v>35.28</v>
      </c>
      <c r="M138" s="6" t="str">
        <f t="shared" si="5"/>
        <v>Cheap</v>
      </c>
    </row>
    <row r="139" ht="15.75" hidden="1" customHeight="1">
      <c r="A139" s="4" t="s">
        <v>235</v>
      </c>
      <c r="B139" s="5">
        <v>44973.0</v>
      </c>
      <c r="C139" s="6" t="s">
        <v>182</v>
      </c>
      <c r="D139" s="6" t="s">
        <v>189</v>
      </c>
      <c r="E139" s="6" t="s">
        <v>24</v>
      </c>
      <c r="F139" s="6" t="s">
        <v>42</v>
      </c>
      <c r="G139" s="6">
        <v>29.0</v>
      </c>
      <c r="H139" s="6">
        <v>2.84</v>
      </c>
      <c r="I139" s="7">
        <f t="shared" si="1"/>
        <v>16</v>
      </c>
      <c r="J139" s="7">
        <f t="shared" si="2"/>
        <v>2</v>
      </c>
      <c r="K139" s="7">
        <f t="shared" si="3"/>
        <v>2023</v>
      </c>
      <c r="L139" s="7">
        <f t="shared" si="4"/>
        <v>82.36</v>
      </c>
      <c r="M139" s="6" t="str">
        <f t="shared" si="5"/>
        <v>Cheap</v>
      </c>
    </row>
    <row r="140" ht="15.75" hidden="1" customHeight="1">
      <c r="A140" s="4" t="s">
        <v>117</v>
      </c>
      <c r="B140" s="5">
        <v>44976.0</v>
      </c>
      <c r="C140" s="6" t="s">
        <v>14</v>
      </c>
      <c r="D140" s="6" t="s">
        <v>15</v>
      </c>
      <c r="E140" s="6" t="s">
        <v>16</v>
      </c>
      <c r="F140" s="6" t="s">
        <v>17</v>
      </c>
      <c r="G140" s="6">
        <v>68.0</v>
      </c>
      <c r="H140" s="6">
        <v>1.77</v>
      </c>
      <c r="I140" s="7">
        <f t="shared" si="1"/>
        <v>19</v>
      </c>
      <c r="J140" s="7">
        <f t="shared" si="2"/>
        <v>2</v>
      </c>
      <c r="K140" s="7">
        <f t="shared" si="3"/>
        <v>2023</v>
      </c>
      <c r="L140" s="7">
        <f t="shared" si="4"/>
        <v>120.36</v>
      </c>
      <c r="M140" s="6" t="str">
        <f t="shared" si="5"/>
        <v>Expensive</v>
      </c>
    </row>
    <row r="141" ht="15.75" hidden="1" customHeight="1">
      <c r="A141" s="4" t="s">
        <v>118</v>
      </c>
      <c r="B141" s="5">
        <v>44979.0</v>
      </c>
      <c r="C141" s="6" t="s">
        <v>14</v>
      </c>
      <c r="D141" s="6" t="s">
        <v>15</v>
      </c>
      <c r="E141" s="6" t="s">
        <v>33</v>
      </c>
      <c r="F141" s="6" t="s">
        <v>85</v>
      </c>
      <c r="G141" s="6">
        <v>31.0</v>
      </c>
      <c r="H141" s="6">
        <v>3.1500000000000004</v>
      </c>
      <c r="I141" s="7">
        <f t="shared" si="1"/>
        <v>22</v>
      </c>
      <c r="J141" s="7">
        <f t="shared" si="2"/>
        <v>2</v>
      </c>
      <c r="K141" s="7">
        <f t="shared" si="3"/>
        <v>2023</v>
      </c>
      <c r="L141" s="7">
        <f t="shared" si="4"/>
        <v>97.65</v>
      </c>
      <c r="M141" s="6" t="str">
        <f t="shared" si="5"/>
        <v>Cheap</v>
      </c>
    </row>
    <row r="142" ht="15.75" hidden="1" customHeight="1">
      <c r="A142" s="4" t="s">
        <v>236</v>
      </c>
      <c r="B142" s="5">
        <v>44982.0</v>
      </c>
      <c r="C142" s="6" t="s">
        <v>182</v>
      </c>
      <c r="D142" s="6" t="s">
        <v>183</v>
      </c>
      <c r="E142" s="6" t="s">
        <v>24</v>
      </c>
      <c r="F142" s="6" t="s">
        <v>28</v>
      </c>
      <c r="G142" s="6">
        <v>30.0</v>
      </c>
      <c r="H142" s="6">
        <v>2.18</v>
      </c>
      <c r="I142" s="7">
        <f t="shared" si="1"/>
        <v>25</v>
      </c>
      <c r="J142" s="7">
        <f t="shared" si="2"/>
        <v>2</v>
      </c>
      <c r="K142" s="7">
        <f t="shared" si="3"/>
        <v>2023</v>
      </c>
      <c r="L142" s="7">
        <f t="shared" si="4"/>
        <v>65.4</v>
      </c>
      <c r="M142" s="6" t="str">
        <f t="shared" si="5"/>
        <v>Cheap</v>
      </c>
    </row>
    <row r="143" ht="15.75" hidden="1" customHeight="1">
      <c r="A143" s="4" t="s">
        <v>237</v>
      </c>
      <c r="B143" s="5">
        <v>44985.0</v>
      </c>
      <c r="C143" s="6" t="s">
        <v>182</v>
      </c>
      <c r="D143" s="6" t="s">
        <v>183</v>
      </c>
      <c r="E143" s="6" t="s">
        <v>24</v>
      </c>
      <c r="F143" s="6" t="s">
        <v>25</v>
      </c>
      <c r="G143" s="6">
        <v>232.0</v>
      </c>
      <c r="H143" s="6">
        <v>1.8699999999999999</v>
      </c>
      <c r="I143" s="7">
        <f t="shared" si="1"/>
        <v>28</v>
      </c>
      <c r="J143" s="7">
        <f t="shared" si="2"/>
        <v>2</v>
      </c>
      <c r="K143" s="7">
        <f t="shared" si="3"/>
        <v>2023</v>
      </c>
      <c r="L143" s="7">
        <f t="shared" si="4"/>
        <v>433.84</v>
      </c>
      <c r="M143" s="6" t="str">
        <f t="shared" si="5"/>
        <v>Expensive</v>
      </c>
    </row>
    <row r="144" ht="15.75" customHeight="1">
      <c r="A144" s="4" t="s">
        <v>119</v>
      </c>
      <c r="B144" s="5">
        <v>44987.0</v>
      </c>
      <c r="C144" s="6" t="s">
        <v>14</v>
      </c>
      <c r="D144" s="6" t="s">
        <v>23</v>
      </c>
      <c r="E144" s="6" t="s">
        <v>16</v>
      </c>
      <c r="F144" s="6" t="s">
        <v>49</v>
      </c>
      <c r="G144" s="6">
        <v>68.0</v>
      </c>
      <c r="H144" s="6">
        <v>1.8699999999999999</v>
      </c>
      <c r="I144" s="7">
        <f t="shared" si="1"/>
        <v>2</v>
      </c>
      <c r="J144" s="7">
        <f t="shared" si="2"/>
        <v>3</v>
      </c>
      <c r="K144" s="7">
        <f t="shared" si="3"/>
        <v>2023</v>
      </c>
      <c r="L144" s="7">
        <f t="shared" si="4"/>
        <v>127.16</v>
      </c>
      <c r="M144" s="6" t="str">
        <f t="shared" si="5"/>
        <v>Expensive</v>
      </c>
    </row>
    <row r="145" ht="15.75" customHeight="1">
      <c r="A145" s="4" t="s">
        <v>120</v>
      </c>
      <c r="B145" s="5">
        <v>44990.0</v>
      </c>
      <c r="C145" s="6" t="s">
        <v>14</v>
      </c>
      <c r="D145" s="6" t="s">
        <v>23</v>
      </c>
      <c r="E145" s="6" t="s">
        <v>24</v>
      </c>
      <c r="F145" s="6" t="s">
        <v>42</v>
      </c>
      <c r="G145" s="6">
        <v>97.0</v>
      </c>
      <c r="H145" s="6">
        <v>2.8400000000000003</v>
      </c>
      <c r="I145" s="7">
        <f t="shared" si="1"/>
        <v>5</v>
      </c>
      <c r="J145" s="7">
        <f t="shared" si="2"/>
        <v>3</v>
      </c>
      <c r="K145" s="7">
        <f t="shared" si="3"/>
        <v>2023</v>
      </c>
      <c r="L145" s="7">
        <f t="shared" si="4"/>
        <v>275.48</v>
      </c>
      <c r="M145" s="6" t="str">
        <f t="shared" si="5"/>
        <v>Expensive</v>
      </c>
    </row>
    <row r="146" ht="15.75" customHeight="1">
      <c r="A146" s="4" t="s">
        <v>238</v>
      </c>
      <c r="B146" s="5">
        <v>44993.0</v>
      </c>
      <c r="C146" s="6" t="s">
        <v>182</v>
      </c>
      <c r="D146" s="6" t="s">
        <v>189</v>
      </c>
      <c r="E146" s="6" t="s">
        <v>16</v>
      </c>
      <c r="F146" s="6" t="s">
        <v>49</v>
      </c>
      <c r="G146" s="6">
        <v>86.0</v>
      </c>
      <c r="H146" s="6">
        <v>1.8699999999999999</v>
      </c>
      <c r="I146" s="7">
        <f t="shared" si="1"/>
        <v>8</v>
      </c>
      <c r="J146" s="7">
        <f t="shared" si="2"/>
        <v>3</v>
      </c>
      <c r="K146" s="7">
        <f t="shared" si="3"/>
        <v>2023</v>
      </c>
      <c r="L146" s="7">
        <f t="shared" si="4"/>
        <v>160.82</v>
      </c>
      <c r="M146" s="6" t="str">
        <f t="shared" si="5"/>
        <v>Expensive</v>
      </c>
    </row>
    <row r="147" ht="15.75" customHeight="1">
      <c r="A147" s="4" t="s">
        <v>239</v>
      </c>
      <c r="B147" s="5">
        <v>44996.0</v>
      </c>
      <c r="C147" s="6" t="s">
        <v>182</v>
      </c>
      <c r="D147" s="6" t="s">
        <v>189</v>
      </c>
      <c r="E147" s="6" t="s">
        <v>33</v>
      </c>
      <c r="F147" s="6" t="s">
        <v>34</v>
      </c>
      <c r="G147" s="6">
        <v>41.0</v>
      </c>
      <c r="H147" s="6">
        <v>1.68</v>
      </c>
      <c r="I147" s="7">
        <f t="shared" si="1"/>
        <v>11</v>
      </c>
      <c r="J147" s="7">
        <f t="shared" si="2"/>
        <v>3</v>
      </c>
      <c r="K147" s="7">
        <f t="shared" si="3"/>
        <v>2023</v>
      </c>
      <c r="L147" s="7">
        <f t="shared" si="4"/>
        <v>68.88</v>
      </c>
      <c r="M147" s="6" t="str">
        <f t="shared" si="5"/>
        <v>Cheap</v>
      </c>
    </row>
    <row r="148" ht="15.75" customHeight="1">
      <c r="A148" s="4" t="s">
        <v>121</v>
      </c>
      <c r="B148" s="5">
        <v>44999.0</v>
      </c>
      <c r="C148" s="6" t="s">
        <v>14</v>
      </c>
      <c r="D148" s="6" t="s">
        <v>15</v>
      </c>
      <c r="E148" s="6" t="s">
        <v>16</v>
      </c>
      <c r="F148" s="6" t="s">
        <v>17</v>
      </c>
      <c r="G148" s="6">
        <v>93.0</v>
      </c>
      <c r="H148" s="6">
        <v>1.7700000000000002</v>
      </c>
      <c r="I148" s="7">
        <f t="shared" si="1"/>
        <v>14</v>
      </c>
      <c r="J148" s="7">
        <f t="shared" si="2"/>
        <v>3</v>
      </c>
      <c r="K148" s="7">
        <f t="shared" si="3"/>
        <v>2023</v>
      </c>
      <c r="L148" s="7">
        <f t="shared" si="4"/>
        <v>164.61</v>
      </c>
      <c r="M148" s="6" t="str">
        <f t="shared" si="5"/>
        <v>Expensive</v>
      </c>
    </row>
    <row r="149" ht="15.75" customHeight="1">
      <c r="A149" s="4" t="s">
        <v>122</v>
      </c>
      <c r="B149" s="5">
        <v>45002.0</v>
      </c>
      <c r="C149" s="6" t="s">
        <v>14</v>
      </c>
      <c r="D149" s="6" t="s">
        <v>15</v>
      </c>
      <c r="E149" s="6" t="s">
        <v>33</v>
      </c>
      <c r="F149" s="6" t="s">
        <v>34</v>
      </c>
      <c r="G149" s="6">
        <v>47.0</v>
      </c>
      <c r="H149" s="6">
        <v>1.68</v>
      </c>
      <c r="I149" s="7">
        <f t="shared" si="1"/>
        <v>17</v>
      </c>
      <c r="J149" s="7">
        <f t="shared" si="2"/>
        <v>3</v>
      </c>
      <c r="K149" s="7">
        <f t="shared" si="3"/>
        <v>2023</v>
      </c>
      <c r="L149" s="7">
        <f t="shared" si="4"/>
        <v>78.96</v>
      </c>
      <c r="M149" s="6" t="str">
        <f t="shared" si="5"/>
        <v>Cheap</v>
      </c>
    </row>
    <row r="150" ht="15.75" customHeight="1">
      <c r="A150" s="4" t="s">
        <v>240</v>
      </c>
      <c r="B150" s="5">
        <v>45005.0</v>
      </c>
      <c r="C150" s="6" t="s">
        <v>182</v>
      </c>
      <c r="D150" s="6" t="s">
        <v>183</v>
      </c>
      <c r="E150" s="6" t="s">
        <v>16</v>
      </c>
      <c r="F150" s="6" t="s">
        <v>17</v>
      </c>
      <c r="G150" s="6">
        <v>103.0</v>
      </c>
      <c r="H150" s="6">
        <v>1.77</v>
      </c>
      <c r="I150" s="7">
        <f t="shared" si="1"/>
        <v>20</v>
      </c>
      <c r="J150" s="7">
        <f t="shared" si="2"/>
        <v>3</v>
      </c>
      <c r="K150" s="7">
        <f t="shared" si="3"/>
        <v>2023</v>
      </c>
      <c r="L150" s="7">
        <f t="shared" si="4"/>
        <v>182.31</v>
      </c>
      <c r="M150" s="6" t="str">
        <f t="shared" si="5"/>
        <v>Expensive</v>
      </c>
    </row>
    <row r="151" ht="15.75" customHeight="1">
      <c r="A151" s="4" t="s">
        <v>241</v>
      </c>
      <c r="B151" s="5">
        <v>45008.0</v>
      </c>
      <c r="C151" s="6" t="s">
        <v>182</v>
      </c>
      <c r="D151" s="6" t="s">
        <v>183</v>
      </c>
      <c r="E151" s="6" t="s">
        <v>33</v>
      </c>
      <c r="F151" s="6" t="s">
        <v>34</v>
      </c>
      <c r="G151" s="6">
        <v>33.0</v>
      </c>
      <c r="H151" s="6">
        <v>1.68</v>
      </c>
      <c r="I151" s="7">
        <f t="shared" si="1"/>
        <v>23</v>
      </c>
      <c r="J151" s="7">
        <f t="shared" si="2"/>
        <v>3</v>
      </c>
      <c r="K151" s="7">
        <f t="shared" si="3"/>
        <v>2023</v>
      </c>
      <c r="L151" s="7">
        <f t="shared" si="4"/>
        <v>55.44</v>
      </c>
      <c r="M151" s="6" t="str">
        <f t="shared" si="5"/>
        <v>Cheap</v>
      </c>
    </row>
    <row r="152" ht="15.75" customHeight="1">
      <c r="A152" s="4" t="s">
        <v>123</v>
      </c>
      <c r="B152" s="5">
        <v>45011.0</v>
      </c>
      <c r="C152" s="6" t="s">
        <v>14</v>
      </c>
      <c r="D152" s="6" t="s">
        <v>23</v>
      </c>
      <c r="E152" s="6" t="s">
        <v>16</v>
      </c>
      <c r="F152" s="6" t="s">
        <v>49</v>
      </c>
      <c r="G152" s="6">
        <v>57.0</v>
      </c>
      <c r="H152" s="6">
        <v>1.87</v>
      </c>
      <c r="I152" s="7">
        <f t="shared" si="1"/>
        <v>26</v>
      </c>
      <c r="J152" s="7">
        <f t="shared" si="2"/>
        <v>3</v>
      </c>
      <c r="K152" s="7">
        <f t="shared" si="3"/>
        <v>2023</v>
      </c>
      <c r="L152" s="7">
        <f t="shared" si="4"/>
        <v>106.59</v>
      </c>
      <c r="M152" s="6" t="str">
        <f t="shared" si="5"/>
        <v>Expensive</v>
      </c>
      <c r="P152" s="10"/>
      <c r="Q152" s="11"/>
      <c r="R152" s="11"/>
      <c r="S152" s="11"/>
      <c r="T152" s="11"/>
      <c r="U152" s="11"/>
      <c r="V152" s="11"/>
    </row>
    <row r="153" ht="15.75" customHeight="1">
      <c r="A153" s="4" t="s">
        <v>124</v>
      </c>
      <c r="B153" s="5">
        <v>45014.0</v>
      </c>
      <c r="C153" s="6" t="s">
        <v>14</v>
      </c>
      <c r="D153" s="6" t="s">
        <v>23</v>
      </c>
      <c r="E153" s="6" t="s">
        <v>24</v>
      </c>
      <c r="F153" s="6" t="s">
        <v>42</v>
      </c>
      <c r="G153" s="6">
        <v>65.0</v>
      </c>
      <c r="H153" s="6">
        <v>2.84</v>
      </c>
      <c r="I153" s="7">
        <f t="shared" si="1"/>
        <v>29</v>
      </c>
      <c r="J153" s="7">
        <f t="shared" si="2"/>
        <v>3</v>
      </c>
      <c r="K153" s="7">
        <f t="shared" si="3"/>
        <v>2023</v>
      </c>
      <c r="L153" s="7">
        <f t="shared" si="4"/>
        <v>184.6</v>
      </c>
      <c r="M153" s="6" t="str">
        <f t="shared" si="5"/>
        <v>Expensive</v>
      </c>
    </row>
    <row r="154" ht="15.75" customHeight="1">
      <c r="A154" s="4" t="s">
        <v>242</v>
      </c>
      <c r="B154" s="5">
        <v>45017.0</v>
      </c>
      <c r="C154" s="6" t="s">
        <v>182</v>
      </c>
      <c r="D154" s="6" t="s">
        <v>189</v>
      </c>
      <c r="E154" s="6" t="s">
        <v>16</v>
      </c>
      <c r="F154" s="6" t="s">
        <v>17</v>
      </c>
      <c r="G154" s="6">
        <v>118.0</v>
      </c>
      <c r="H154" s="6">
        <v>1.77</v>
      </c>
      <c r="I154" s="7">
        <f t="shared" si="1"/>
        <v>1</v>
      </c>
      <c r="J154" s="7">
        <f t="shared" si="2"/>
        <v>4</v>
      </c>
      <c r="K154" s="7">
        <f t="shared" si="3"/>
        <v>2023</v>
      </c>
      <c r="L154" s="7">
        <f t="shared" si="4"/>
        <v>208.86</v>
      </c>
      <c r="M154" s="6" t="str">
        <f t="shared" si="5"/>
        <v>Expensive</v>
      </c>
    </row>
    <row r="155" ht="15.75" customHeight="1">
      <c r="A155" s="4" t="s">
        <v>125</v>
      </c>
      <c r="B155" s="5">
        <v>45020.0</v>
      </c>
      <c r="C155" s="6" t="s">
        <v>14</v>
      </c>
      <c r="D155" s="6" t="s">
        <v>15</v>
      </c>
      <c r="E155" s="6" t="s">
        <v>24</v>
      </c>
      <c r="F155" s="6" t="s">
        <v>28</v>
      </c>
      <c r="G155" s="6">
        <v>36.0</v>
      </c>
      <c r="H155" s="6">
        <v>2.18</v>
      </c>
      <c r="I155" s="7">
        <f t="shared" si="1"/>
        <v>4</v>
      </c>
      <c r="J155" s="7">
        <f t="shared" si="2"/>
        <v>4</v>
      </c>
      <c r="K155" s="7">
        <f t="shared" si="3"/>
        <v>2023</v>
      </c>
      <c r="L155" s="7">
        <f t="shared" si="4"/>
        <v>78.48</v>
      </c>
      <c r="M155" s="6" t="str">
        <f t="shared" si="5"/>
        <v>Cheap</v>
      </c>
    </row>
    <row r="156" ht="15.75" customHeight="1">
      <c r="A156" s="4" t="s">
        <v>126</v>
      </c>
      <c r="B156" s="5">
        <v>45023.0</v>
      </c>
      <c r="C156" s="6" t="s">
        <v>14</v>
      </c>
      <c r="D156" s="6" t="s">
        <v>15</v>
      </c>
      <c r="E156" s="6" t="s">
        <v>24</v>
      </c>
      <c r="F156" s="6" t="s">
        <v>42</v>
      </c>
      <c r="G156" s="6">
        <v>123.0</v>
      </c>
      <c r="H156" s="6">
        <v>2.84</v>
      </c>
      <c r="I156" s="7">
        <f t="shared" si="1"/>
        <v>7</v>
      </c>
      <c r="J156" s="7">
        <f t="shared" si="2"/>
        <v>4</v>
      </c>
      <c r="K156" s="7">
        <f t="shared" si="3"/>
        <v>2023</v>
      </c>
      <c r="L156" s="7">
        <f t="shared" si="4"/>
        <v>349.32</v>
      </c>
      <c r="M156" s="6" t="str">
        <f t="shared" si="5"/>
        <v>Expensive</v>
      </c>
    </row>
    <row r="157" ht="15.75" customHeight="1">
      <c r="A157" s="4" t="s">
        <v>243</v>
      </c>
      <c r="B157" s="5">
        <v>45026.0</v>
      </c>
      <c r="C157" s="6" t="s">
        <v>182</v>
      </c>
      <c r="D157" s="6" t="s">
        <v>183</v>
      </c>
      <c r="E157" s="6" t="s">
        <v>16</v>
      </c>
      <c r="F157" s="6" t="s">
        <v>17</v>
      </c>
      <c r="G157" s="6">
        <v>90.0</v>
      </c>
      <c r="H157" s="6">
        <v>1.77</v>
      </c>
      <c r="I157" s="7">
        <f t="shared" si="1"/>
        <v>10</v>
      </c>
      <c r="J157" s="7">
        <f t="shared" si="2"/>
        <v>4</v>
      </c>
      <c r="K157" s="7">
        <f t="shared" si="3"/>
        <v>2023</v>
      </c>
      <c r="L157" s="7">
        <f t="shared" si="4"/>
        <v>159.3</v>
      </c>
      <c r="M157" s="6" t="str">
        <f t="shared" si="5"/>
        <v>Expensive</v>
      </c>
    </row>
    <row r="158" ht="15.75" customHeight="1">
      <c r="A158" s="4" t="s">
        <v>244</v>
      </c>
      <c r="B158" s="5">
        <v>45029.0</v>
      </c>
      <c r="C158" s="6" t="s">
        <v>182</v>
      </c>
      <c r="D158" s="6" t="s">
        <v>183</v>
      </c>
      <c r="E158" s="6" t="s">
        <v>19</v>
      </c>
      <c r="F158" s="6" t="s">
        <v>20</v>
      </c>
      <c r="G158" s="6">
        <v>21.0</v>
      </c>
      <c r="H158" s="6">
        <v>3.49</v>
      </c>
      <c r="I158" s="7">
        <f t="shared" si="1"/>
        <v>13</v>
      </c>
      <c r="J158" s="7">
        <f t="shared" si="2"/>
        <v>4</v>
      </c>
      <c r="K158" s="7">
        <f t="shared" si="3"/>
        <v>2023</v>
      </c>
      <c r="L158" s="7">
        <f t="shared" si="4"/>
        <v>73.29</v>
      </c>
      <c r="M158" s="6" t="str">
        <f t="shared" si="5"/>
        <v>Cheap</v>
      </c>
    </row>
    <row r="159" ht="15.75" customHeight="1">
      <c r="A159" s="4" t="s">
        <v>127</v>
      </c>
      <c r="B159" s="5">
        <v>45032.0</v>
      </c>
      <c r="C159" s="6" t="s">
        <v>14</v>
      </c>
      <c r="D159" s="6" t="s">
        <v>23</v>
      </c>
      <c r="E159" s="6" t="s">
        <v>16</v>
      </c>
      <c r="F159" s="6" t="s">
        <v>17</v>
      </c>
      <c r="G159" s="6">
        <v>48.0</v>
      </c>
      <c r="H159" s="6">
        <v>1.7699999999999998</v>
      </c>
      <c r="I159" s="7">
        <f t="shared" si="1"/>
        <v>16</v>
      </c>
      <c r="J159" s="7">
        <f t="shared" si="2"/>
        <v>4</v>
      </c>
      <c r="K159" s="7">
        <f t="shared" si="3"/>
        <v>2023</v>
      </c>
      <c r="L159" s="7">
        <f t="shared" si="4"/>
        <v>84.96</v>
      </c>
      <c r="M159" s="6" t="str">
        <f t="shared" si="5"/>
        <v>Cheap</v>
      </c>
    </row>
    <row r="160" ht="15.75" customHeight="1">
      <c r="A160" s="4" t="s">
        <v>128</v>
      </c>
      <c r="B160" s="5">
        <v>45035.0</v>
      </c>
      <c r="C160" s="6" t="s">
        <v>14</v>
      </c>
      <c r="D160" s="6" t="s">
        <v>23</v>
      </c>
      <c r="E160" s="6" t="s">
        <v>33</v>
      </c>
      <c r="F160" s="6" t="s">
        <v>34</v>
      </c>
      <c r="G160" s="6">
        <v>24.0</v>
      </c>
      <c r="H160" s="6">
        <v>1.68</v>
      </c>
      <c r="I160" s="7">
        <f t="shared" si="1"/>
        <v>19</v>
      </c>
      <c r="J160" s="7">
        <f t="shared" si="2"/>
        <v>4</v>
      </c>
      <c r="K160" s="7">
        <f t="shared" si="3"/>
        <v>2023</v>
      </c>
      <c r="L160" s="7">
        <f t="shared" si="4"/>
        <v>40.32</v>
      </c>
      <c r="M160" s="6" t="str">
        <f t="shared" si="5"/>
        <v>Cheap</v>
      </c>
    </row>
    <row r="161" ht="15.75" customHeight="1">
      <c r="A161" s="4" t="s">
        <v>245</v>
      </c>
      <c r="B161" s="5">
        <v>45038.0</v>
      </c>
      <c r="C161" s="6" t="s">
        <v>182</v>
      </c>
      <c r="D161" s="6" t="s">
        <v>189</v>
      </c>
      <c r="E161" s="6" t="s">
        <v>24</v>
      </c>
      <c r="F161" s="6" t="s">
        <v>25</v>
      </c>
      <c r="G161" s="6">
        <v>67.0</v>
      </c>
      <c r="H161" s="6">
        <v>1.87</v>
      </c>
      <c r="I161" s="7">
        <f t="shared" si="1"/>
        <v>22</v>
      </c>
      <c r="J161" s="7">
        <f t="shared" si="2"/>
        <v>4</v>
      </c>
      <c r="K161" s="7">
        <f t="shared" si="3"/>
        <v>2023</v>
      </c>
      <c r="L161" s="7">
        <f t="shared" si="4"/>
        <v>125.29</v>
      </c>
      <c r="M161" s="6" t="str">
        <f t="shared" si="5"/>
        <v>Expensive</v>
      </c>
    </row>
    <row r="162" ht="15.75" customHeight="1">
      <c r="A162" s="4" t="s">
        <v>129</v>
      </c>
      <c r="B162" s="5">
        <v>45041.0</v>
      </c>
      <c r="C162" s="6" t="s">
        <v>14</v>
      </c>
      <c r="D162" s="6" t="s">
        <v>15</v>
      </c>
      <c r="E162" s="6" t="s">
        <v>16</v>
      </c>
      <c r="F162" s="6" t="s">
        <v>49</v>
      </c>
      <c r="G162" s="6">
        <v>27.0</v>
      </c>
      <c r="H162" s="6">
        <v>1.87</v>
      </c>
      <c r="I162" s="7">
        <f t="shared" si="1"/>
        <v>25</v>
      </c>
      <c r="J162" s="7">
        <f t="shared" si="2"/>
        <v>4</v>
      </c>
      <c r="K162" s="7">
        <f t="shared" si="3"/>
        <v>2023</v>
      </c>
      <c r="L162" s="7">
        <f t="shared" si="4"/>
        <v>50.49</v>
      </c>
      <c r="M162" s="6" t="str">
        <f t="shared" si="5"/>
        <v>Cheap</v>
      </c>
    </row>
    <row r="163" ht="15.75" customHeight="1">
      <c r="A163" s="4" t="s">
        <v>130</v>
      </c>
      <c r="B163" s="5">
        <v>45044.0</v>
      </c>
      <c r="C163" s="6" t="s">
        <v>14</v>
      </c>
      <c r="D163" s="6" t="s">
        <v>15</v>
      </c>
      <c r="E163" s="6" t="s">
        <v>24</v>
      </c>
      <c r="F163" s="6" t="s">
        <v>42</v>
      </c>
      <c r="G163" s="6">
        <v>129.0</v>
      </c>
      <c r="H163" s="6">
        <v>2.8400000000000003</v>
      </c>
      <c r="I163" s="7">
        <f t="shared" si="1"/>
        <v>28</v>
      </c>
      <c r="J163" s="7">
        <f t="shared" si="2"/>
        <v>4</v>
      </c>
      <c r="K163" s="7">
        <f t="shared" si="3"/>
        <v>2023</v>
      </c>
      <c r="L163" s="7">
        <f t="shared" si="4"/>
        <v>366.36</v>
      </c>
      <c r="M163" s="6" t="str">
        <f t="shared" si="5"/>
        <v>Expensive</v>
      </c>
    </row>
    <row r="164" ht="15.75" customHeight="1">
      <c r="A164" s="4" t="s">
        <v>246</v>
      </c>
      <c r="B164" s="5">
        <v>45047.0</v>
      </c>
      <c r="C164" s="6" t="s">
        <v>182</v>
      </c>
      <c r="D164" s="6" t="s">
        <v>183</v>
      </c>
      <c r="E164" s="6" t="s">
        <v>24</v>
      </c>
      <c r="F164" s="6" t="s">
        <v>28</v>
      </c>
      <c r="G164" s="6">
        <v>77.0</v>
      </c>
      <c r="H164" s="6">
        <v>2.18</v>
      </c>
      <c r="I164" s="7">
        <f t="shared" si="1"/>
        <v>1</v>
      </c>
      <c r="J164" s="7">
        <f t="shared" si="2"/>
        <v>5</v>
      </c>
      <c r="K164" s="7">
        <f t="shared" si="3"/>
        <v>2023</v>
      </c>
      <c r="L164" s="7">
        <f t="shared" si="4"/>
        <v>167.86</v>
      </c>
      <c r="M164" s="6" t="str">
        <f t="shared" si="5"/>
        <v>Expensive</v>
      </c>
    </row>
    <row r="165" ht="15.75" customHeight="1">
      <c r="A165" s="4" t="s">
        <v>247</v>
      </c>
      <c r="B165" s="5">
        <v>45050.0</v>
      </c>
      <c r="C165" s="6" t="s">
        <v>182</v>
      </c>
      <c r="D165" s="6" t="s">
        <v>183</v>
      </c>
      <c r="E165" s="6" t="s">
        <v>24</v>
      </c>
      <c r="F165" s="6" t="s">
        <v>25</v>
      </c>
      <c r="G165" s="6">
        <v>58.0</v>
      </c>
      <c r="H165" s="6">
        <v>1.8699999999999999</v>
      </c>
      <c r="I165" s="7">
        <f t="shared" si="1"/>
        <v>4</v>
      </c>
      <c r="J165" s="7">
        <f t="shared" si="2"/>
        <v>5</v>
      </c>
      <c r="K165" s="7">
        <f t="shared" si="3"/>
        <v>2023</v>
      </c>
      <c r="L165" s="7">
        <f t="shared" si="4"/>
        <v>108.46</v>
      </c>
      <c r="M165" s="6" t="str">
        <f t="shared" si="5"/>
        <v>Expensive</v>
      </c>
    </row>
    <row r="166" ht="15.75" customHeight="1">
      <c r="A166" s="4" t="s">
        <v>131</v>
      </c>
      <c r="B166" s="5">
        <v>45053.0</v>
      </c>
      <c r="C166" s="6" t="s">
        <v>14</v>
      </c>
      <c r="D166" s="6" t="s">
        <v>23</v>
      </c>
      <c r="E166" s="6" t="s">
        <v>16</v>
      </c>
      <c r="F166" s="6" t="s">
        <v>49</v>
      </c>
      <c r="G166" s="6">
        <v>47.0</v>
      </c>
      <c r="H166" s="6">
        <v>1.87</v>
      </c>
      <c r="I166" s="7">
        <f t="shared" si="1"/>
        <v>7</v>
      </c>
      <c r="J166" s="7">
        <f t="shared" si="2"/>
        <v>5</v>
      </c>
      <c r="K166" s="7">
        <f t="shared" si="3"/>
        <v>2023</v>
      </c>
      <c r="L166" s="7">
        <f t="shared" si="4"/>
        <v>87.89</v>
      </c>
      <c r="M166" s="6" t="str">
        <f t="shared" si="5"/>
        <v>Cheap</v>
      </c>
    </row>
    <row r="167" ht="15.75" customHeight="1">
      <c r="A167" s="4" t="s">
        <v>132</v>
      </c>
      <c r="B167" s="5">
        <v>45056.0</v>
      </c>
      <c r="C167" s="6" t="s">
        <v>14</v>
      </c>
      <c r="D167" s="6" t="s">
        <v>23</v>
      </c>
      <c r="E167" s="6" t="s">
        <v>24</v>
      </c>
      <c r="F167" s="6" t="s">
        <v>42</v>
      </c>
      <c r="G167" s="6">
        <v>33.0</v>
      </c>
      <c r="H167" s="6">
        <v>2.84</v>
      </c>
      <c r="I167" s="7">
        <f t="shared" si="1"/>
        <v>10</v>
      </c>
      <c r="J167" s="7">
        <f t="shared" si="2"/>
        <v>5</v>
      </c>
      <c r="K167" s="7">
        <f t="shared" si="3"/>
        <v>2023</v>
      </c>
      <c r="L167" s="7">
        <f t="shared" si="4"/>
        <v>93.72</v>
      </c>
      <c r="M167" s="6" t="str">
        <f t="shared" si="5"/>
        <v>Cheap</v>
      </c>
    </row>
    <row r="168" ht="15.75" customHeight="1">
      <c r="A168" s="4" t="s">
        <v>248</v>
      </c>
      <c r="B168" s="5">
        <v>45059.0</v>
      </c>
      <c r="C168" s="6" t="s">
        <v>182</v>
      </c>
      <c r="D168" s="6" t="s">
        <v>189</v>
      </c>
      <c r="E168" s="6" t="s">
        <v>24</v>
      </c>
      <c r="F168" s="6" t="s">
        <v>25</v>
      </c>
      <c r="G168" s="6">
        <v>82.0</v>
      </c>
      <c r="H168" s="6">
        <v>1.87</v>
      </c>
      <c r="I168" s="7">
        <f t="shared" si="1"/>
        <v>13</v>
      </c>
      <c r="J168" s="7">
        <f t="shared" si="2"/>
        <v>5</v>
      </c>
      <c r="K168" s="7">
        <f t="shared" si="3"/>
        <v>2023</v>
      </c>
      <c r="L168" s="7">
        <f t="shared" si="4"/>
        <v>153.34</v>
      </c>
      <c r="M168" s="6" t="str">
        <f t="shared" si="5"/>
        <v>Expensive</v>
      </c>
    </row>
    <row r="169" ht="15.75" customHeight="1">
      <c r="A169" s="4" t="s">
        <v>133</v>
      </c>
      <c r="B169" s="5">
        <v>45062.0</v>
      </c>
      <c r="C169" s="6" t="s">
        <v>14</v>
      </c>
      <c r="D169" s="6" t="s">
        <v>15</v>
      </c>
      <c r="E169" s="6" t="s">
        <v>16</v>
      </c>
      <c r="F169" s="6" t="s">
        <v>17</v>
      </c>
      <c r="G169" s="6">
        <v>58.0</v>
      </c>
      <c r="H169" s="6">
        <v>1.77</v>
      </c>
      <c r="I169" s="7">
        <f t="shared" si="1"/>
        <v>16</v>
      </c>
      <c r="J169" s="7">
        <f t="shared" si="2"/>
        <v>5</v>
      </c>
      <c r="K169" s="7">
        <f t="shared" si="3"/>
        <v>2023</v>
      </c>
      <c r="L169" s="7">
        <f t="shared" si="4"/>
        <v>102.66</v>
      </c>
      <c r="M169" s="6" t="str">
        <f t="shared" si="5"/>
        <v>Expensive</v>
      </c>
    </row>
    <row r="170" ht="15.75" customHeight="1">
      <c r="A170" s="4" t="s">
        <v>134</v>
      </c>
      <c r="B170" s="5">
        <v>45065.0</v>
      </c>
      <c r="C170" s="6" t="s">
        <v>14</v>
      </c>
      <c r="D170" s="6" t="s">
        <v>15</v>
      </c>
      <c r="E170" s="6" t="s">
        <v>33</v>
      </c>
      <c r="F170" s="6" t="s">
        <v>85</v>
      </c>
      <c r="G170" s="6">
        <v>30.0</v>
      </c>
      <c r="H170" s="6">
        <v>3.15</v>
      </c>
      <c r="I170" s="7">
        <f t="shared" si="1"/>
        <v>19</v>
      </c>
      <c r="J170" s="7">
        <f t="shared" si="2"/>
        <v>5</v>
      </c>
      <c r="K170" s="7">
        <f t="shared" si="3"/>
        <v>2023</v>
      </c>
      <c r="L170" s="7">
        <f t="shared" si="4"/>
        <v>94.5</v>
      </c>
      <c r="M170" s="6" t="str">
        <f t="shared" si="5"/>
        <v>Cheap</v>
      </c>
    </row>
    <row r="171" ht="15.75" customHeight="1">
      <c r="A171" s="4" t="s">
        <v>249</v>
      </c>
      <c r="B171" s="5">
        <v>45068.0</v>
      </c>
      <c r="C171" s="6" t="s">
        <v>182</v>
      </c>
      <c r="D171" s="6" t="s">
        <v>183</v>
      </c>
      <c r="E171" s="6" t="s">
        <v>24</v>
      </c>
      <c r="F171" s="6" t="s">
        <v>25</v>
      </c>
      <c r="G171" s="6">
        <v>43.0</v>
      </c>
      <c r="H171" s="6">
        <v>1.8699999999999999</v>
      </c>
      <c r="I171" s="7">
        <f t="shared" si="1"/>
        <v>22</v>
      </c>
      <c r="J171" s="7">
        <f t="shared" si="2"/>
        <v>5</v>
      </c>
      <c r="K171" s="7">
        <f t="shared" si="3"/>
        <v>2023</v>
      </c>
      <c r="L171" s="7">
        <f t="shared" si="4"/>
        <v>80.41</v>
      </c>
      <c r="M171" s="6" t="str">
        <f t="shared" si="5"/>
        <v>Cheap</v>
      </c>
    </row>
    <row r="172" ht="15.75" customHeight="1">
      <c r="A172" s="4" t="s">
        <v>135</v>
      </c>
      <c r="B172" s="5">
        <v>45071.0</v>
      </c>
      <c r="C172" s="6" t="s">
        <v>14</v>
      </c>
      <c r="D172" s="6" t="s">
        <v>23</v>
      </c>
      <c r="E172" s="6" t="s">
        <v>16</v>
      </c>
      <c r="F172" s="6" t="s">
        <v>17</v>
      </c>
      <c r="G172" s="6">
        <v>84.0</v>
      </c>
      <c r="H172" s="6">
        <v>1.77</v>
      </c>
      <c r="I172" s="7">
        <f t="shared" si="1"/>
        <v>25</v>
      </c>
      <c r="J172" s="7">
        <f t="shared" si="2"/>
        <v>5</v>
      </c>
      <c r="K172" s="7">
        <f t="shared" si="3"/>
        <v>2023</v>
      </c>
      <c r="L172" s="7">
        <f t="shared" si="4"/>
        <v>148.68</v>
      </c>
      <c r="M172" s="6" t="str">
        <f t="shared" si="5"/>
        <v>Expensive</v>
      </c>
    </row>
    <row r="173" ht="15.75" customHeight="1">
      <c r="A173" s="4" t="s">
        <v>250</v>
      </c>
      <c r="B173" s="5">
        <v>45074.0</v>
      </c>
      <c r="C173" s="6" t="s">
        <v>182</v>
      </c>
      <c r="D173" s="6" t="s">
        <v>189</v>
      </c>
      <c r="E173" s="6" t="s">
        <v>24</v>
      </c>
      <c r="F173" s="6" t="s">
        <v>28</v>
      </c>
      <c r="G173" s="6">
        <v>36.0</v>
      </c>
      <c r="H173" s="6">
        <v>2.18</v>
      </c>
      <c r="I173" s="7">
        <f t="shared" si="1"/>
        <v>28</v>
      </c>
      <c r="J173" s="7">
        <f t="shared" si="2"/>
        <v>5</v>
      </c>
      <c r="K173" s="7">
        <f t="shared" si="3"/>
        <v>2023</v>
      </c>
      <c r="L173" s="7">
        <f t="shared" si="4"/>
        <v>78.48</v>
      </c>
      <c r="M173" s="6" t="str">
        <f t="shared" si="5"/>
        <v>Cheap</v>
      </c>
    </row>
    <row r="174" ht="15.75" customHeight="1">
      <c r="A174" s="4" t="s">
        <v>251</v>
      </c>
      <c r="B174" s="5">
        <v>45077.0</v>
      </c>
      <c r="C174" s="6" t="s">
        <v>182</v>
      </c>
      <c r="D174" s="6" t="s">
        <v>189</v>
      </c>
      <c r="E174" s="6" t="s">
        <v>24</v>
      </c>
      <c r="F174" s="6" t="s">
        <v>42</v>
      </c>
      <c r="G174" s="6">
        <v>44.0</v>
      </c>
      <c r="H174" s="6">
        <v>2.84</v>
      </c>
      <c r="I174" s="7">
        <f t="shared" si="1"/>
        <v>31</v>
      </c>
      <c r="J174" s="7">
        <f t="shared" si="2"/>
        <v>5</v>
      </c>
      <c r="K174" s="7">
        <f t="shared" si="3"/>
        <v>2023</v>
      </c>
      <c r="L174" s="7">
        <f t="shared" si="4"/>
        <v>124.96</v>
      </c>
      <c r="M174" s="6" t="str">
        <f t="shared" si="5"/>
        <v>Expensive</v>
      </c>
    </row>
    <row r="175" ht="15.75" customHeight="1">
      <c r="A175" s="4" t="s">
        <v>136</v>
      </c>
      <c r="B175" s="5">
        <v>45080.0</v>
      </c>
      <c r="C175" s="6" t="s">
        <v>14</v>
      </c>
      <c r="D175" s="6" t="s">
        <v>15</v>
      </c>
      <c r="E175" s="6" t="s">
        <v>16</v>
      </c>
      <c r="F175" s="6" t="s">
        <v>49</v>
      </c>
      <c r="G175" s="6">
        <v>27.0</v>
      </c>
      <c r="H175" s="6">
        <v>1.87</v>
      </c>
      <c r="I175" s="7">
        <f t="shared" si="1"/>
        <v>3</v>
      </c>
      <c r="J175" s="7">
        <f t="shared" si="2"/>
        <v>6</v>
      </c>
      <c r="K175" s="7">
        <f t="shared" si="3"/>
        <v>2023</v>
      </c>
      <c r="L175" s="7">
        <f t="shared" si="4"/>
        <v>50.49</v>
      </c>
      <c r="M175" s="6" t="str">
        <f t="shared" si="5"/>
        <v>Cheap</v>
      </c>
    </row>
    <row r="176" ht="15.75" customHeight="1">
      <c r="A176" s="4" t="s">
        <v>137</v>
      </c>
      <c r="B176" s="5">
        <v>45083.0</v>
      </c>
      <c r="C176" s="6" t="s">
        <v>14</v>
      </c>
      <c r="D176" s="6" t="s">
        <v>15</v>
      </c>
      <c r="E176" s="6" t="s">
        <v>24</v>
      </c>
      <c r="F176" s="6" t="s">
        <v>42</v>
      </c>
      <c r="G176" s="6">
        <v>120.0</v>
      </c>
      <c r="H176" s="6">
        <v>2.8400000000000003</v>
      </c>
      <c r="I176" s="7">
        <f t="shared" si="1"/>
        <v>6</v>
      </c>
      <c r="J176" s="7">
        <f t="shared" si="2"/>
        <v>6</v>
      </c>
      <c r="K176" s="7">
        <f t="shared" si="3"/>
        <v>2023</v>
      </c>
      <c r="L176" s="7">
        <f t="shared" si="4"/>
        <v>340.8</v>
      </c>
      <c r="M176" s="6" t="str">
        <f t="shared" si="5"/>
        <v>Expensive</v>
      </c>
    </row>
    <row r="177" ht="15.75" customHeight="1">
      <c r="A177" s="4" t="s">
        <v>138</v>
      </c>
      <c r="B177" s="5">
        <v>45086.0</v>
      </c>
      <c r="C177" s="6" t="s">
        <v>14</v>
      </c>
      <c r="D177" s="6" t="s">
        <v>15</v>
      </c>
      <c r="E177" s="6" t="s">
        <v>19</v>
      </c>
      <c r="F177" s="6" t="s">
        <v>20</v>
      </c>
      <c r="G177" s="6">
        <v>26.0</v>
      </c>
      <c r="H177" s="6">
        <v>3.4899999999999998</v>
      </c>
      <c r="I177" s="7">
        <f t="shared" si="1"/>
        <v>9</v>
      </c>
      <c r="J177" s="7">
        <f t="shared" si="2"/>
        <v>6</v>
      </c>
      <c r="K177" s="7">
        <f t="shared" si="3"/>
        <v>2023</v>
      </c>
      <c r="L177" s="7">
        <f t="shared" si="4"/>
        <v>90.74</v>
      </c>
      <c r="M177" s="6" t="str">
        <f t="shared" si="5"/>
        <v>Cheap</v>
      </c>
    </row>
    <row r="178" ht="15.75" customHeight="1">
      <c r="A178" s="4" t="s">
        <v>252</v>
      </c>
      <c r="B178" s="5">
        <v>45089.0</v>
      </c>
      <c r="C178" s="6" t="s">
        <v>182</v>
      </c>
      <c r="D178" s="6" t="s">
        <v>183</v>
      </c>
      <c r="E178" s="6" t="s">
        <v>16</v>
      </c>
      <c r="F178" s="6" t="s">
        <v>17</v>
      </c>
      <c r="G178" s="6">
        <v>73.0</v>
      </c>
      <c r="H178" s="6">
        <v>1.77</v>
      </c>
      <c r="I178" s="7">
        <f t="shared" si="1"/>
        <v>12</v>
      </c>
      <c r="J178" s="7">
        <f t="shared" si="2"/>
        <v>6</v>
      </c>
      <c r="K178" s="7">
        <f t="shared" si="3"/>
        <v>2023</v>
      </c>
      <c r="L178" s="7">
        <f t="shared" si="4"/>
        <v>129.21</v>
      </c>
      <c r="M178" s="6" t="str">
        <f t="shared" si="5"/>
        <v>Expensive</v>
      </c>
    </row>
    <row r="179" ht="15.75" customHeight="1">
      <c r="A179" s="4" t="s">
        <v>139</v>
      </c>
      <c r="B179" s="5">
        <v>45092.0</v>
      </c>
      <c r="C179" s="6" t="s">
        <v>14</v>
      </c>
      <c r="D179" s="6" t="s">
        <v>23</v>
      </c>
      <c r="E179" s="6" t="s">
        <v>16</v>
      </c>
      <c r="F179" s="6" t="s">
        <v>49</v>
      </c>
      <c r="G179" s="6">
        <v>38.0</v>
      </c>
      <c r="H179" s="6">
        <v>1.87</v>
      </c>
      <c r="I179" s="7">
        <f t="shared" si="1"/>
        <v>15</v>
      </c>
      <c r="J179" s="7">
        <f t="shared" si="2"/>
        <v>6</v>
      </c>
      <c r="K179" s="7">
        <f t="shared" si="3"/>
        <v>2023</v>
      </c>
      <c r="L179" s="7">
        <f t="shared" si="4"/>
        <v>71.06</v>
      </c>
      <c r="M179" s="6" t="str">
        <f t="shared" si="5"/>
        <v>Cheap</v>
      </c>
    </row>
    <row r="180" ht="15.75" customHeight="1">
      <c r="A180" s="4" t="s">
        <v>140</v>
      </c>
      <c r="B180" s="5">
        <v>45095.0</v>
      </c>
      <c r="C180" s="6" t="s">
        <v>14</v>
      </c>
      <c r="D180" s="6" t="s">
        <v>23</v>
      </c>
      <c r="E180" s="6" t="s">
        <v>24</v>
      </c>
      <c r="F180" s="6" t="s">
        <v>42</v>
      </c>
      <c r="G180" s="6">
        <v>40.0</v>
      </c>
      <c r="H180" s="6">
        <v>2.84</v>
      </c>
      <c r="I180" s="7">
        <f t="shared" si="1"/>
        <v>18</v>
      </c>
      <c r="J180" s="7">
        <f t="shared" si="2"/>
        <v>6</v>
      </c>
      <c r="K180" s="7">
        <f t="shared" si="3"/>
        <v>2023</v>
      </c>
      <c r="L180" s="7">
        <f t="shared" si="4"/>
        <v>113.6</v>
      </c>
      <c r="M180" s="6" t="str">
        <f t="shared" si="5"/>
        <v>Expensive</v>
      </c>
    </row>
    <row r="181" ht="15.75" customHeight="1">
      <c r="A181" s="4" t="s">
        <v>253</v>
      </c>
      <c r="B181" s="5">
        <v>45098.0</v>
      </c>
      <c r="C181" s="6" t="s">
        <v>182</v>
      </c>
      <c r="D181" s="6" t="s">
        <v>189</v>
      </c>
      <c r="E181" s="6" t="s">
        <v>16</v>
      </c>
      <c r="F181" s="6" t="s">
        <v>17</v>
      </c>
      <c r="G181" s="6">
        <v>41.0</v>
      </c>
      <c r="H181" s="6">
        <v>1.7699999999999998</v>
      </c>
      <c r="I181" s="7">
        <f t="shared" si="1"/>
        <v>21</v>
      </c>
      <c r="J181" s="7">
        <f t="shared" si="2"/>
        <v>6</v>
      </c>
      <c r="K181" s="7">
        <f t="shared" si="3"/>
        <v>2023</v>
      </c>
      <c r="L181" s="7">
        <f t="shared" si="4"/>
        <v>72.57</v>
      </c>
      <c r="M181" s="6" t="str">
        <f t="shared" si="5"/>
        <v>Cheap</v>
      </c>
    </row>
    <row r="182" ht="15.75" customHeight="1">
      <c r="A182" s="4" t="s">
        <v>141</v>
      </c>
      <c r="B182" s="5">
        <v>45101.0</v>
      </c>
      <c r="C182" s="6" t="s">
        <v>14</v>
      </c>
      <c r="D182" s="6" t="s">
        <v>15</v>
      </c>
      <c r="E182" s="6" t="s">
        <v>16</v>
      </c>
      <c r="F182" s="6" t="s">
        <v>102</v>
      </c>
      <c r="G182" s="6">
        <v>27.0</v>
      </c>
      <c r="H182" s="6">
        <v>2.27</v>
      </c>
      <c r="I182" s="7">
        <f t="shared" si="1"/>
        <v>24</v>
      </c>
      <c r="J182" s="7">
        <f t="shared" si="2"/>
        <v>6</v>
      </c>
      <c r="K182" s="7">
        <f t="shared" si="3"/>
        <v>2023</v>
      </c>
      <c r="L182" s="7">
        <f t="shared" si="4"/>
        <v>61.29</v>
      </c>
      <c r="M182" s="6" t="str">
        <f t="shared" si="5"/>
        <v>Cheap</v>
      </c>
    </row>
    <row r="183" ht="15.75" customHeight="1">
      <c r="A183" s="4" t="s">
        <v>142</v>
      </c>
      <c r="B183" s="5">
        <v>45104.0</v>
      </c>
      <c r="C183" s="6" t="s">
        <v>14</v>
      </c>
      <c r="D183" s="6" t="s">
        <v>15</v>
      </c>
      <c r="E183" s="6" t="s">
        <v>24</v>
      </c>
      <c r="F183" s="6" t="s">
        <v>25</v>
      </c>
      <c r="G183" s="6">
        <v>38.0</v>
      </c>
      <c r="H183" s="6">
        <v>1.87</v>
      </c>
      <c r="I183" s="7">
        <f t="shared" si="1"/>
        <v>27</v>
      </c>
      <c r="J183" s="7">
        <f t="shared" si="2"/>
        <v>6</v>
      </c>
      <c r="K183" s="7">
        <f t="shared" si="3"/>
        <v>2023</v>
      </c>
      <c r="L183" s="7">
        <f t="shared" si="4"/>
        <v>71.06</v>
      </c>
      <c r="M183" s="6" t="str">
        <f t="shared" si="5"/>
        <v>Cheap</v>
      </c>
    </row>
    <row r="184" ht="15.75" customHeight="1">
      <c r="A184" s="4" t="s">
        <v>143</v>
      </c>
      <c r="B184" s="5">
        <v>45107.0</v>
      </c>
      <c r="C184" s="6" t="s">
        <v>14</v>
      </c>
      <c r="D184" s="6" t="s">
        <v>15</v>
      </c>
      <c r="E184" s="6" t="s">
        <v>19</v>
      </c>
      <c r="F184" s="6" t="s">
        <v>20</v>
      </c>
      <c r="G184" s="6">
        <v>34.0</v>
      </c>
      <c r="H184" s="6">
        <v>3.4899999999999998</v>
      </c>
      <c r="I184" s="7">
        <f t="shared" si="1"/>
        <v>30</v>
      </c>
      <c r="J184" s="7">
        <f t="shared" si="2"/>
        <v>6</v>
      </c>
      <c r="K184" s="7">
        <f t="shared" si="3"/>
        <v>2023</v>
      </c>
      <c r="L184" s="7">
        <f t="shared" si="4"/>
        <v>118.66</v>
      </c>
      <c r="M184" s="6" t="str">
        <f t="shared" si="5"/>
        <v>Expensive</v>
      </c>
    </row>
    <row r="185" ht="15.75" customHeight="1">
      <c r="A185" s="4" t="s">
        <v>254</v>
      </c>
      <c r="B185" s="5">
        <v>45110.0</v>
      </c>
      <c r="C185" s="6" t="s">
        <v>182</v>
      </c>
      <c r="D185" s="6" t="s">
        <v>183</v>
      </c>
      <c r="E185" s="6" t="s">
        <v>16</v>
      </c>
      <c r="F185" s="6" t="s">
        <v>49</v>
      </c>
      <c r="G185" s="6">
        <v>65.0</v>
      </c>
      <c r="H185" s="6">
        <v>1.8699999999999999</v>
      </c>
      <c r="I185" s="7">
        <f t="shared" si="1"/>
        <v>3</v>
      </c>
      <c r="J185" s="7">
        <f t="shared" si="2"/>
        <v>7</v>
      </c>
      <c r="K185" s="7">
        <f t="shared" si="3"/>
        <v>2023</v>
      </c>
      <c r="L185" s="7">
        <f t="shared" si="4"/>
        <v>121.55</v>
      </c>
      <c r="M185" s="6" t="str">
        <f t="shared" si="5"/>
        <v>Expensive</v>
      </c>
    </row>
    <row r="186" ht="15.75" customHeight="1">
      <c r="A186" s="4" t="s">
        <v>255</v>
      </c>
      <c r="B186" s="5">
        <v>45113.0</v>
      </c>
      <c r="C186" s="6" t="s">
        <v>182</v>
      </c>
      <c r="D186" s="6" t="s">
        <v>183</v>
      </c>
      <c r="E186" s="6" t="s">
        <v>24</v>
      </c>
      <c r="F186" s="6" t="s">
        <v>42</v>
      </c>
      <c r="G186" s="6">
        <v>60.0</v>
      </c>
      <c r="H186" s="6">
        <v>2.8400000000000003</v>
      </c>
      <c r="I186" s="7">
        <f t="shared" si="1"/>
        <v>6</v>
      </c>
      <c r="J186" s="7">
        <f t="shared" si="2"/>
        <v>7</v>
      </c>
      <c r="K186" s="7">
        <f t="shared" si="3"/>
        <v>2023</v>
      </c>
      <c r="L186" s="7">
        <f t="shared" si="4"/>
        <v>170.4</v>
      </c>
      <c r="M186" s="6" t="str">
        <f t="shared" si="5"/>
        <v>Expensive</v>
      </c>
    </row>
    <row r="187" ht="15.75" customHeight="1">
      <c r="A187" s="4" t="s">
        <v>144</v>
      </c>
      <c r="B187" s="5">
        <v>45116.0</v>
      </c>
      <c r="C187" s="6" t="s">
        <v>14</v>
      </c>
      <c r="D187" s="6" t="s">
        <v>23</v>
      </c>
      <c r="E187" s="6" t="s">
        <v>24</v>
      </c>
      <c r="F187" s="6" t="s">
        <v>28</v>
      </c>
      <c r="G187" s="6">
        <v>37.0</v>
      </c>
      <c r="H187" s="6">
        <v>2.1799999999999997</v>
      </c>
      <c r="I187" s="7">
        <f t="shared" si="1"/>
        <v>9</v>
      </c>
      <c r="J187" s="7">
        <f t="shared" si="2"/>
        <v>7</v>
      </c>
      <c r="K187" s="7">
        <f t="shared" si="3"/>
        <v>2023</v>
      </c>
      <c r="L187" s="7">
        <f t="shared" si="4"/>
        <v>80.66</v>
      </c>
      <c r="M187" s="6" t="str">
        <f t="shared" si="5"/>
        <v>Cheap</v>
      </c>
    </row>
    <row r="188" ht="15.75" customHeight="1">
      <c r="A188" s="4" t="s">
        <v>145</v>
      </c>
      <c r="B188" s="5">
        <v>45119.0</v>
      </c>
      <c r="C188" s="6" t="s">
        <v>14</v>
      </c>
      <c r="D188" s="6" t="s">
        <v>23</v>
      </c>
      <c r="E188" s="6" t="s">
        <v>24</v>
      </c>
      <c r="F188" s="6" t="s">
        <v>25</v>
      </c>
      <c r="G188" s="6">
        <v>40.0</v>
      </c>
      <c r="H188" s="6">
        <v>1.8699999999999999</v>
      </c>
      <c r="I188" s="7">
        <f t="shared" si="1"/>
        <v>12</v>
      </c>
      <c r="J188" s="7">
        <f t="shared" si="2"/>
        <v>7</v>
      </c>
      <c r="K188" s="7">
        <f t="shared" si="3"/>
        <v>2023</v>
      </c>
      <c r="L188" s="7">
        <f t="shared" si="4"/>
        <v>74.8</v>
      </c>
      <c r="M188" s="6" t="str">
        <f t="shared" si="5"/>
        <v>Cheap</v>
      </c>
    </row>
    <row r="189" ht="15.75" customHeight="1">
      <c r="A189" s="4" t="s">
        <v>256</v>
      </c>
      <c r="B189" s="5">
        <v>45122.0</v>
      </c>
      <c r="C189" s="6" t="s">
        <v>182</v>
      </c>
      <c r="D189" s="6" t="s">
        <v>189</v>
      </c>
      <c r="E189" s="6" t="s">
        <v>16</v>
      </c>
      <c r="F189" s="6" t="s">
        <v>49</v>
      </c>
      <c r="G189" s="6">
        <v>26.0</v>
      </c>
      <c r="H189" s="6">
        <v>1.8699999999999999</v>
      </c>
      <c r="I189" s="7">
        <f t="shared" si="1"/>
        <v>15</v>
      </c>
      <c r="J189" s="7">
        <f t="shared" si="2"/>
        <v>7</v>
      </c>
      <c r="K189" s="7">
        <f t="shared" si="3"/>
        <v>2023</v>
      </c>
      <c r="L189" s="7">
        <f t="shared" si="4"/>
        <v>48.62</v>
      </c>
      <c r="M189" s="6" t="str">
        <f t="shared" si="5"/>
        <v>Cheap</v>
      </c>
    </row>
    <row r="190" ht="15.75" customHeight="1">
      <c r="A190" s="4" t="s">
        <v>146</v>
      </c>
      <c r="B190" s="5">
        <v>45125.0</v>
      </c>
      <c r="C190" s="6" t="s">
        <v>14</v>
      </c>
      <c r="D190" s="6" t="s">
        <v>15</v>
      </c>
      <c r="E190" s="6" t="s">
        <v>16</v>
      </c>
      <c r="F190" s="6" t="s">
        <v>102</v>
      </c>
      <c r="G190" s="6">
        <v>22.0</v>
      </c>
      <c r="H190" s="6">
        <v>2.27</v>
      </c>
      <c r="I190" s="7">
        <f t="shared" si="1"/>
        <v>18</v>
      </c>
      <c r="J190" s="7">
        <f t="shared" si="2"/>
        <v>7</v>
      </c>
      <c r="K190" s="7">
        <f t="shared" si="3"/>
        <v>2023</v>
      </c>
      <c r="L190" s="7">
        <f t="shared" si="4"/>
        <v>49.94</v>
      </c>
      <c r="M190" s="6" t="str">
        <f t="shared" si="5"/>
        <v>Cheap</v>
      </c>
    </row>
    <row r="191" ht="15.75" customHeight="1">
      <c r="A191" s="4" t="s">
        <v>147</v>
      </c>
      <c r="B191" s="5">
        <v>45128.0</v>
      </c>
      <c r="C191" s="6" t="s">
        <v>14</v>
      </c>
      <c r="D191" s="6" t="s">
        <v>15</v>
      </c>
      <c r="E191" s="6" t="s">
        <v>24</v>
      </c>
      <c r="F191" s="6" t="s">
        <v>25</v>
      </c>
      <c r="G191" s="6">
        <v>32.0</v>
      </c>
      <c r="H191" s="6">
        <v>1.87</v>
      </c>
      <c r="I191" s="7">
        <f t="shared" si="1"/>
        <v>21</v>
      </c>
      <c r="J191" s="7">
        <f t="shared" si="2"/>
        <v>7</v>
      </c>
      <c r="K191" s="7">
        <f t="shared" si="3"/>
        <v>2023</v>
      </c>
      <c r="L191" s="7">
        <f t="shared" si="4"/>
        <v>59.84</v>
      </c>
      <c r="M191" s="6" t="str">
        <f t="shared" si="5"/>
        <v>Cheap</v>
      </c>
    </row>
    <row r="192" ht="15.75" customHeight="1">
      <c r="A192" s="4" t="s">
        <v>148</v>
      </c>
      <c r="B192" s="5">
        <v>45131.0</v>
      </c>
      <c r="C192" s="6" t="s">
        <v>14</v>
      </c>
      <c r="D192" s="6" t="s">
        <v>15</v>
      </c>
      <c r="E192" s="6" t="s">
        <v>19</v>
      </c>
      <c r="F192" s="6" t="s">
        <v>20</v>
      </c>
      <c r="G192" s="6">
        <v>23.0</v>
      </c>
      <c r="H192" s="6">
        <v>3.4899999999999998</v>
      </c>
      <c r="I192" s="7">
        <f t="shared" si="1"/>
        <v>24</v>
      </c>
      <c r="J192" s="7">
        <f t="shared" si="2"/>
        <v>7</v>
      </c>
      <c r="K192" s="7">
        <f t="shared" si="3"/>
        <v>2023</v>
      </c>
      <c r="L192" s="7">
        <f t="shared" si="4"/>
        <v>80.27</v>
      </c>
      <c r="M192" s="6" t="str">
        <f t="shared" si="5"/>
        <v>Cheap</v>
      </c>
    </row>
    <row r="193" ht="15.75" customHeight="1">
      <c r="A193" s="4" t="s">
        <v>257</v>
      </c>
      <c r="B193" s="5">
        <v>45134.0</v>
      </c>
      <c r="C193" s="6" t="s">
        <v>182</v>
      </c>
      <c r="D193" s="6" t="s">
        <v>183</v>
      </c>
      <c r="E193" s="6" t="s">
        <v>24</v>
      </c>
      <c r="F193" s="6" t="s">
        <v>28</v>
      </c>
      <c r="G193" s="6">
        <v>20.0</v>
      </c>
      <c r="H193" s="6">
        <v>2.18</v>
      </c>
      <c r="I193" s="7">
        <f t="shared" si="1"/>
        <v>27</v>
      </c>
      <c r="J193" s="7">
        <f t="shared" si="2"/>
        <v>7</v>
      </c>
      <c r="K193" s="7">
        <f t="shared" si="3"/>
        <v>2023</v>
      </c>
      <c r="L193" s="7">
        <f t="shared" si="4"/>
        <v>43.6</v>
      </c>
      <c r="M193" s="6" t="str">
        <f t="shared" si="5"/>
        <v>Cheap</v>
      </c>
    </row>
    <row r="194" ht="15.75" customHeight="1">
      <c r="A194" s="4" t="s">
        <v>258</v>
      </c>
      <c r="B194" s="5">
        <v>45137.0</v>
      </c>
      <c r="C194" s="6" t="s">
        <v>182</v>
      </c>
      <c r="D194" s="6" t="s">
        <v>183</v>
      </c>
      <c r="E194" s="6" t="s">
        <v>24</v>
      </c>
      <c r="F194" s="6" t="s">
        <v>25</v>
      </c>
      <c r="G194" s="6">
        <v>64.0</v>
      </c>
      <c r="H194" s="6">
        <v>1.87</v>
      </c>
      <c r="I194" s="7">
        <f t="shared" si="1"/>
        <v>30</v>
      </c>
      <c r="J194" s="7">
        <f t="shared" si="2"/>
        <v>7</v>
      </c>
      <c r="K194" s="7">
        <f t="shared" si="3"/>
        <v>2023</v>
      </c>
      <c r="L194" s="7">
        <f t="shared" si="4"/>
        <v>119.68</v>
      </c>
      <c r="M194" s="6" t="str">
        <f t="shared" si="5"/>
        <v>Expensive</v>
      </c>
    </row>
    <row r="195" ht="15.75" customHeight="1">
      <c r="A195" s="4" t="s">
        <v>149</v>
      </c>
      <c r="B195" s="5">
        <v>45140.0</v>
      </c>
      <c r="C195" s="6" t="s">
        <v>14</v>
      </c>
      <c r="D195" s="6" t="s">
        <v>23</v>
      </c>
      <c r="E195" s="6" t="s">
        <v>16</v>
      </c>
      <c r="F195" s="6" t="s">
        <v>17</v>
      </c>
      <c r="G195" s="6">
        <v>71.0</v>
      </c>
      <c r="H195" s="6">
        <v>1.77</v>
      </c>
      <c r="I195" s="7">
        <f t="shared" si="1"/>
        <v>2</v>
      </c>
      <c r="J195" s="7">
        <f t="shared" si="2"/>
        <v>8</v>
      </c>
      <c r="K195" s="7">
        <f t="shared" si="3"/>
        <v>2023</v>
      </c>
      <c r="L195" s="7">
        <f t="shared" si="4"/>
        <v>125.67</v>
      </c>
      <c r="M195" s="6" t="str">
        <f t="shared" si="5"/>
        <v>Expensive</v>
      </c>
    </row>
    <row r="196" ht="15.75" customHeight="1">
      <c r="A196" s="4" t="s">
        <v>259</v>
      </c>
      <c r="B196" s="5">
        <v>45143.0</v>
      </c>
      <c r="C196" s="6" t="s">
        <v>182</v>
      </c>
      <c r="D196" s="6" t="s">
        <v>189</v>
      </c>
      <c r="E196" s="6" t="s">
        <v>24</v>
      </c>
      <c r="F196" s="6" t="s">
        <v>28</v>
      </c>
      <c r="G196" s="6">
        <v>90.0</v>
      </c>
      <c r="H196" s="6">
        <v>2.1799999999999997</v>
      </c>
      <c r="I196" s="7">
        <f t="shared" si="1"/>
        <v>5</v>
      </c>
      <c r="J196" s="7">
        <f t="shared" si="2"/>
        <v>8</v>
      </c>
      <c r="K196" s="7">
        <f t="shared" si="3"/>
        <v>2023</v>
      </c>
      <c r="L196" s="7">
        <f t="shared" si="4"/>
        <v>196.2</v>
      </c>
      <c r="M196" s="6" t="str">
        <f t="shared" si="5"/>
        <v>Expensive</v>
      </c>
    </row>
    <row r="197" ht="15.75" customHeight="1">
      <c r="A197" s="4" t="s">
        <v>260</v>
      </c>
      <c r="B197" s="5">
        <v>45146.0</v>
      </c>
      <c r="C197" s="6" t="s">
        <v>182</v>
      </c>
      <c r="D197" s="6" t="s">
        <v>189</v>
      </c>
      <c r="E197" s="6" t="s">
        <v>24</v>
      </c>
      <c r="F197" s="6" t="s">
        <v>42</v>
      </c>
      <c r="G197" s="6">
        <v>38.0</v>
      </c>
      <c r="H197" s="6">
        <v>2.84</v>
      </c>
      <c r="I197" s="7">
        <f t="shared" si="1"/>
        <v>8</v>
      </c>
      <c r="J197" s="7">
        <f t="shared" si="2"/>
        <v>8</v>
      </c>
      <c r="K197" s="7">
        <f t="shared" si="3"/>
        <v>2023</v>
      </c>
      <c r="L197" s="7">
        <f t="shared" si="4"/>
        <v>107.92</v>
      </c>
      <c r="M197" s="6" t="str">
        <f t="shared" si="5"/>
        <v>Expensive</v>
      </c>
    </row>
    <row r="198" ht="15.75" customHeight="1">
      <c r="A198" s="4" t="s">
        <v>150</v>
      </c>
      <c r="B198" s="5">
        <v>45149.0</v>
      </c>
      <c r="C198" s="6" t="s">
        <v>14</v>
      </c>
      <c r="D198" s="6" t="s">
        <v>15</v>
      </c>
      <c r="E198" s="6" t="s">
        <v>16</v>
      </c>
      <c r="F198" s="6" t="s">
        <v>17</v>
      </c>
      <c r="G198" s="6">
        <v>55.0</v>
      </c>
      <c r="H198" s="6">
        <v>1.7699999999999998</v>
      </c>
      <c r="I198" s="7">
        <f t="shared" si="1"/>
        <v>11</v>
      </c>
      <c r="J198" s="7">
        <f t="shared" si="2"/>
        <v>8</v>
      </c>
      <c r="K198" s="7">
        <f t="shared" si="3"/>
        <v>2023</v>
      </c>
      <c r="L198" s="7">
        <f t="shared" si="4"/>
        <v>97.35</v>
      </c>
      <c r="M198" s="6" t="str">
        <f t="shared" si="5"/>
        <v>Cheap</v>
      </c>
    </row>
    <row r="199" ht="15.75" customHeight="1">
      <c r="A199" s="4" t="s">
        <v>151</v>
      </c>
      <c r="B199" s="5">
        <v>45152.0</v>
      </c>
      <c r="C199" s="6" t="s">
        <v>14</v>
      </c>
      <c r="D199" s="6" t="s">
        <v>15</v>
      </c>
      <c r="E199" s="6" t="s">
        <v>33</v>
      </c>
      <c r="F199" s="6" t="s">
        <v>85</v>
      </c>
      <c r="G199" s="6">
        <v>22.0</v>
      </c>
      <c r="H199" s="6">
        <v>3.15</v>
      </c>
      <c r="I199" s="7">
        <f t="shared" si="1"/>
        <v>14</v>
      </c>
      <c r="J199" s="7">
        <f t="shared" si="2"/>
        <v>8</v>
      </c>
      <c r="K199" s="7">
        <f t="shared" si="3"/>
        <v>2023</v>
      </c>
      <c r="L199" s="7">
        <f t="shared" si="4"/>
        <v>69.3</v>
      </c>
      <c r="M199" s="6" t="str">
        <f t="shared" si="5"/>
        <v>Cheap</v>
      </c>
    </row>
    <row r="200" ht="15.75" customHeight="1">
      <c r="A200" s="4" t="s">
        <v>261</v>
      </c>
      <c r="B200" s="5">
        <v>45155.0</v>
      </c>
      <c r="C200" s="6" t="s">
        <v>182</v>
      </c>
      <c r="D200" s="6" t="s">
        <v>183</v>
      </c>
      <c r="E200" s="6" t="s">
        <v>16</v>
      </c>
      <c r="F200" s="6" t="s">
        <v>17</v>
      </c>
      <c r="G200" s="6">
        <v>34.0</v>
      </c>
      <c r="H200" s="6">
        <v>1.77</v>
      </c>
      <c r="I200" s="7">
        <f t="shared" si="1"/>
        <v>17</v>
      </c>
      <c r="J200" s="7">
        <f t="shared" si="2"/>
        <v>8</v>
      </c>
      <c r="K200" s="7">
        <f t="shared" si="3"/>
        <v>2023</v>
      </c>
      <c r="L200" s="7">
        <f t="shared" si="4"/>
        <v>60.18</v>
      </c>
      <c r="M200" s="6" t="str">
        <f t="shared" si="5"/>
        <v>Cheap</v>
      </c>
    </row>
    <row r="201" ht="15.75" customHeight="1">
      <c r="A201" s="4" t="s">
        <v>152</v>
      </c>
      <c r="B201" s="5">
        <v>45158.0</v>
      </c>
      <c r="C201" s="6" t="s">
        <v>14</v>
      </c>
      <c r="D201" s="6" t="s">
        <v>23</v>
      </c>
      <c r="E201" s="6" t="s">
        <v>16</v>
      </c>
      <c r="F201" s="6" t="s">
        <v>49</v>
      </c>
      <c r="G201" s="6">
        <v>39.0</v>
      </c>
      <c r="H201" s="6">
        <v>1.87</v>
      </c>
      <c r="I201" s="7">
        <f t="shared" si="1"/>
        <v>20</v>
      </c>
      <c r="J201" s="7">
        <f t="shared" si="2"/>
        <v>8</v>
      </c>
      <c r="K201" s="7">
        <f t="shared" si="3"/>
        <v>2023</v>
      </c>
      <c r="L201" s="7">
        <f t="shared" si="4"/>
        <v>72.93</v>
      </c>
      <c r="M201" s="6" t="str">
        <f t="shared" si="5"/>
        <v>Cheap</v>
      </c>
    </row>
    <row r="202" ht="15.75" customHeight="1">
      <c r="A202" s="4" t="s">
        <v>153</v>
      </c>
      <c r="B202" s="5">
        <v>45161.0</v>
      </c>
      <c r="C202" s="6" t="s">
        <v>14</v>
      </c>
      <c r="D202" s="6" t="s">
        <v>23</v>
      </c>
      <c r="E202" s="6" t="s">
        <v>24</v>
      </c>
      <c r="F202" s="6" t="s">
        <v>42</v>
      </c>
      <c r="G202" s="6">
        <v>41.0</v>
      </c>
      <c r="H202" s="6">
        <v>2.84</v>
      </c>
      <c r="I202" s="7">
        <f t="shared" si="1"/>
        <v>23</v>
      </c>
      <c r="J202" s="7">
        <f t="shared" si="2"/>
        <v>8</v>
      </c>
      <c r="K202" s="7">
        <f t="shared" si="3"/>
        <v>2023</v>
      </c>
      <c r="L202" s="7">
        <f t="shared" si="4"/>
        <v>116.44</v>
      </c>
      <c r="M202" s="6" t="str">
        <f t="shared" si="5"/>
        <v>Expensive</v>
      </c>
    </row>
    <row r="203" ht="15.75" customHeight="1">
      <c r="A203" s="4" t="s">
        <v>262</v>
      </c>
      <c r="B203" s="5">
        <v>45164.0</v>
      </c>
      <c r="C203" s="6" t="s">
        <v>182</v>
      </c>
      <c r="D203" s="6" t="s">
        <v>189</v>
      </c>
      <c r="E203" s="6" t="s">
        <v>16</v>
      </c>
      <c r="F203" s="6" t="s">
        <v>17</v>
      </c>
      <c r="G203" s="6">
        <v>41.0</v>
      </c>
      <c r="H203" s="6">
        <v>1.7699999999999998</v>
      </c>
      <c r="I203" s="7">
        <f t="shared" si="1"/>
        <v>26</v>
      </c>
      <c r="J203" s="7">
        <f t="shared" si="2"/>
        <v>8</v>
      </c>
      <c r="K203" s="7">
        <f t="shared" si="3"/>
        <v>2023</v>
      </c>
      <c r="L203" s="7">
        <f t="shared" si="4"/>
        <v>72.57</v>
      </c>
      <c r="M203" s="6" t="str">
        <f t="shared" si="5"/>
        <v>Cheap</v>
      </c>
    </row>
    <row r="204" ht="15.75" customHeight="1">
      <c r="A204" s="4" t="s">
        <v>154</v>
      </c>
      <c r="B204" s="5">
        <v>45167.0</v>
      </c>
      <c r="C204" s="6" t="s">
        <v>14</v>
      </c>
      <c r="D204" s="6" t="s">
        <v>15</v>
      </c>
      <c r="E204" s="6" t="s">
        <v>24</v>
      </c>
      <c r="F204" s="6" t="s">
        <v>28</v>
      </c>
      <c r="G204" s="6">
        <v>136.0</v>
      </c>
      <c r="H204" s="6">
        <v>2.18</v>
      </c>
      <c r="I204" s="7">
        <f t="shared" si="1"/>
        <v>29</v>
      </c>
      <c r="J204" s="7">
        <f t="shared" si="2"/>
        <v>8</v>
      </c>
      <c r="K204" s="7">
        <f t="shared" si="3"/>
        <v>2023</v>
      </c>
      <c r="L204" s="7">
        <f t="shared" si="4"/>
        <v>296.48</v>
      </c>
      <c r="M204" s="6" t="str">
        <f t="shared" si="5"/>
        <v>Expensive</v>
      </c>
    </row>
    <row r="205" ht="15.75" customHeight="1">
      <c r="A205" s="4" t="s">
        <v>155</v>
      </c>
      <c r="B205" s="5">
        <v>45170.0</v>
      </c>
      <c r="C205" s="6" t="s">
        <v>14</v>
      </c>
      <c r="D205" s="6" t="s">
        <v>15</v>
      </c>
      <c r="E205" s="6" t="s">
        <v>16</v>
      </c>
      <c r="F205" s="6" t="s">
        <v>17</v>
      </c>
      <c r="G205" s="6">
        <v>25.0</v>
      </c>
      <c r="H205" s="6">
        <v>1.77</v>
      </c>
      <c r="I205" s="7">
        <f t="shared" si="1"/>
        <v>1</v>
      </c>
      <c r="J205" s="7">
        <f t="shared" si="2"/>
        <v>9</v>
      </c>
      <c r="K205" s="7">
        <f t="shared" si="3"/>
        <v>2023</v>
      </c>
      <c r="L205" s="7">
        <f t="shared" si="4"/>
        <v>44.25</v>
      </c>
      <c r="M205" s="6" t="str">
        <f t="shared" si="5"/>
        <v>Cheap</v>
      </c>
    </row>
    <row r="206" ht="15.75" customHeight="1">
      <c r="A206" s="4" t="s">
        <v>156</v>
      </c>
      <c r="B206" s="5">
        <v>45173.0</v>
      </c>
      <c r="C206" s="6" t="s">
        <v>14</v>
      </c>
      <c r="D206" s="6" t="s">
        <v>15</v>
      </c>
      <c r="E206" s="6" t="s">
        <v>33</v>
      </c>
      <c r="F206" s="6" t="s">
        <v>85</v>
      </c>
      <c r="G206" s="6">
        <v>26.0</v>
      </c>
      <c r="H206" s="6">
        <v>3.1500000000000004</v>
      </c>
      <c r="I206" s="7">
        <f t="shared" si="1"/>
        <v>4</v>
      </c>
      <c r="J206" s="7">
        <f t="shared" si="2"/>
        <v>9</v>
      </c>
      <c r="K206" s="7">
        <f t="shared" si="3"/>
        <v>2023</v>
      </c>
      <c r="L206" s="7">
        <f t="shared" si="4"/>
        <v>81.9</v>
      </c>
      <c r="M206" s="6" t="str">
        <f t="shared" si="5"/>
        <v>Cheap</v>
      </c>
    </row>
    <row r="207" ht="15.75" customHeight="1">
      <c r="A207" s="4" t="s">
        <v>263</v>
      </c>
      <c r="B207" s="5">
        <v>45176.0</v>
      </c>
      <c r="C207" s="6" t="s">
        <v>182</v>
      </c>
      <c r="D207" s="6" t="s">
        <v>183</v>
      </c>
      <c r="E207" s="6" t="s">
        <v>16</v>
      </c>
      <c r="F207" s="6" t="s">
        <v>49</v>
      </c>
      <c r="G207" s="6">
        <v>50.0</v>
      </c>
      <c r="H207" s="6">
        <v>1.87</v>
      </c>
      <c r="I207" s="7">
        <f t="shared" si="1"/>
        <v>7</v>
      </c>
      <c r="J207" s="7">
        <f t="shared" si="2"/>
        <v>9</v>
      </c>
      <c r="K207" s="7">
        <f t="shared" si="3"/>
        <v>2023</v>
      </c>
      <c r="L207" s="7">
        <f t="shared" si="4"/>
        <v>93.5</v>
      </c>
      <c r="M207" s="6" t="str">
        <f t="shared" si="5"/>
        <v>Cheap</v>
      </c>
    </row>
    <row r="208" ht="15.75" customHeight="1">
      <c r="A208" s="4" t="s">
        <v>264</v>
      </c>
      <c r="B208" s="5">
        <v>45179.0</v>
      </c>
      <c r="C208" s="6" t="s">
        <v>182</v>
      </c>
      <c r="D208" s="6" t="s">
        <v>183</v>
      </c>
      <c r="E208" s="6" t="s">
        <v>24</v>
      </c>
      <c r="F208" s="6" t="s">
        <v>42</v>
      </c>
      <c r="G208" s="6">
        <v>79.0</v>
      </c>
      <c r="H208" s="6">
        <v>2.8400000000000003</v>
      </c>
      <c r="I208" s="7">
        <f t="shared" si="1"/>
        <v>10</v>
      </c>
      <c r="J208" s="7">
        <f t="shared" si="2"/>
        <v>9</v>
      </c>
      <c r="K208" s="7">
        <f t="shared" si="3"/>
        <v>2023</v>
      </c>
      <c r="L208" s="7">
        <f t="shared" si="4"/>
        <v>224.36</v>
      </c>
      <c r="M208" s="6" t="str">
        <f t="shared" si="5"/>
        <v>Expensive</v>
      </c>
    </row>
    <row r="209" ht="15.75" customHeight="1">
      <c r="A209" s="4" t="s">
        <v>157</v>
      </c>
      <c r="B209" s="5">
        <v>45182.0</v>
      </c>
      <c r="C209" s="6" t="s">
        <v>14</v>
      </c>
      <c r="D209" s="6" t="s">
        <v>23</v>
      </c>
      <c r="E209" s="6" t="s">
        <v>16</v>
      </c>
      <c r="F209" s="6" t="s">
        <v>17</v>
      </c>
      <c r="G209" s="6">
        <v>30.0</v>
      </c>
      <c r="H209" s="6">
        <v>1.77</v>
      </c>
      <c r="I209" s="7">
        <f t="shared" si="1"/>
        <v>13</v>
      </c>
      <c r="J209" s="7">
        <f t="shared" si="2"/>
        <v>9</v>
      </c>
      <c r="K209" s="7">
        <f t="shared" si="3"/>
        <v>2023</v>
      </c>
      <c r="L209" s="7">
        <f t="shared" si="4"/>
        <v>53.1</v>
      </c>
      <c r="M209" s="6" t="str">
        <f t="shared" si="5"/>
        <v>Cheap</v>
      </c>
    </row>
    <row r="210" ht="15.75" customHeight="1">
      <c r="A210" s="4" t="s">
        <v>158</v>
      </c>
      <c r="B210" s="5">
        <v>45185.0</v>
      </c>
      <c r="C210" s="6" t="s">
        <v>14</v>
      </c>
      <c r="D210" s="6" t="s">
        <v>23</v>
      </c>
      <c r="E210" s="6" t="s">
        <v>33</v>
      </c>
      <c r="F210" s="6" t="s">
        <v>34</v>
      </c>
      <c r="G210" s="6">
        <v>20.0</v>
      </c>
      <c r="H210" s="6">
        <v>1.6800000000000002</v>
      </c>
      <c r="I210" s="7">
        <f t="shared" si="1"/>
        <v>16</v>
      </c>
      <c r="J210" s="7">
        <f t="shared" si="2"/>
        <v>9</v>
      </c>
      <c r="K210" s="7">
        <f t="shared" si="3"/>
        <v>2023</v>
      </c>
      <c r="L210" s="7">
        <f t="shared" si="4"/>
        <v>33.6</v>
      </c>
      <c r="M210" s="6" t="str">
        <f t="shared" si="5"/>
        <v>Cheap</v>
      </c>
    </row>
    <row r="211" ht="15.75" customHeight="1">
      <c r="A211" s="4" t="s">
        <v>265</v>
      </c>
      <c r="B211" s="5">
        <v>45188.0</v>
      </c>
      <c r="C211" s="6" t="s">
        <v>182</v>
      </c>
      <c r="D211" s="6" t="s">
        <v>189</v>
      </c>
      <c r="E211" s="6" t="s">
        <v>16</v>
      </c>
      <c r="F211" s="6" t="s">
        <v>17</v>
      </c>
      <c r="G211" s="6">
        <v>49.0</v>
      </c>
      <c r="H211" s="6">
        <v>1.77</v>
      </c>
      <c r="I211" s="7">
        <f t="shared" si="1"/>
        <v>19</v>
      </c>
      <c r="J211" s="7">
        <f t="shared" si="2"/>
        <v>9</v>
      </c>
      <c r="K211" s="7">
        <f t="shared" si="3"/>
        <v>2023</v>
      </c>
      <c r="L211" s="7">
        <f t="shared" si="4"/>
        <v>86.73</v>
      </c>
      <c r="M211" s="6" t="str">
        <f t="shared" si="5"/>
        <v>Cheap</v>
      </c>
    </row>
    <row r="212" ht="15.75" customHeight="1">
      <c r="A212" s="4" t="s">
        <v>159</v>
      </c>
      <c r="B212" s="5">
        <v>45191.0</v>
      </c>
      <c r="C212" s="6" t="s">
        <v>14</v>
      </c>
      <c r="D212" s="6" t="s">
        <v>15</v>
      </c>
      <c r="E212" s="6" t="s">
        <v>24</v>
      </c>
      <c r="F212" s="6" t="s">
        <v>28</v>
      </c>
      <c r="G212" s="6">
        <v>40.0</v>
      </c>
      <c r="H212" s="6">
        <v>2.18</v>
      </c>
      <c r="I212" s="7">
        <f t="shared" si="1"/>
        <v>22</v>
      </c>
      <c r="J212" s="7">
        <f t="shared" si="2"/>
        <v>9</v>
      </c>
      <c r="K212" s="7">
        <f t="shared" si="3"/>
        <v>2023</v>
      </c>
      <c r="L212" s="7">
        <f t="shared" si="4"/>
        <v>87.2</v>
      </c>
      <c r="M212" s="6" t="str">
        <f t="shared" si="5"/>
        <v>Cheap</v>
      </c>
    </row>
    <row r="213" ht="15.75" customHeight="1">
      <c r="A213" s="4" t="s">
        <v>160</v>
      </c>
      <c r="B213" s="5">
        <v>45194.0</v>
      </c>
      <c r="C213" s="6" t="s">
        <v>14</v>
      </c>
      <c r="D213" s="6" t="s">
        <v>15</v>
      </c>
      <c r="E213" s="6" t="s">
        <v>16</v>
      </c>
      <c r="F213" s="6" t="s">
        <v>17</v>
      </c>
      <c r="G213" s="6">
        <v>31.0</v>
      </c>
      <c r="H213" s="6">
        <v>1.77</v>
      </c>
      <c r="I213" s="7">
        <f t="shared" si="1"/>
        <v>25</v>
      </c>
      <c r="J213" s="7">
        <f t="shared" si="2"/>
        <v>9</v>
      </c>
      <c r="K213" s="7">
        <f t="shared" si="3"/>
        <v>2023</v>
      </c>
      <c r="L213" s="7">
        <f t="shared" si="4"/>
        <v>54.87</v>
      </c>
      <c r="M213" s="6" t="str">
        <f t="shared" si="5"/>
        <v>Cheap</v>
      </c>
    </row>
    <row r="214" ht="15.75" customHeight="1">
      <c r="A214" s="4" t="s">
        <v>161</v>
      </c>
      <c r="B214" s="5">
        <v>45197.0</v>
      </c>
      <c r="C214" s="6" t="s">
        <v>14</v>
      </c>
      <c r="D214" s="6" t="s">
        <v>15</v>
      </c>
      <c r="E214" s="6" t="s">
        <v>33</v>
      </c>
      <c r="F214" s="6" t="s">
        <v>85</v>
      </c>
      <c r="G214" s="6">
        <v>21.0</v>
      </c>
      <c r="H214" s="6">
        <v>3.1500000000000004</v>
      </c>
      <c r="I214" s="7">
        <f t="shared" si="1"/>
        <v>28</v>
      </c>
      <c r="J214" s="7">
        <f t="shared" si="2"/>
        <v>9</v>
      </c>
      <c r="K214" s="7">
        <f t="shared" si="3"/>
        <v>2023</v>
      </c>
      <c r="L214" s="7">
        <f t="shared" si="4"/>
        <v>66.15</v>
      </c>
      <c r="M214" s="6" t="str">
        <f t="shared" si="5"/>
        <v>Cheap</v>
      </c>
    </row>
    <row r="215" ht="15.75" customHeight="1">
      <c r="A215" s="4" t="s">
        <v>266</v>
      </c>
      <c r="B215" s="5">
        <v>45200.0</v>
      </c>
      <c r="C215" s="6" t="s">
        <v>182</v>
      </c>
      <c r="D215" s="6" t="s">
        <v>183</v>
      </c>
      <c r="E215" s="6" t="s">
        <v>16</v>
      </c>
      <c r="F215" s="6" t="s">
        <v>49</v>
      </c>
      <c r="G215" s="6">
        <v>43.0</v>
      </c>
      <c r="H215" s="6">
        <v>1.8699999999999999</v>
      </c>
      <c r="I215" s="7">
        <f t="shared" si="1"/>
        <v>1</v>
      </c>
      <c r="J215" s="7">
        <f t="shared" si="2"/>
        <v>10</v>
      </c>
      <c r="K215" s="7">
        <f t="shared" si="3"/>
        <v>2023</v>
      </c>
      <c r="L215" s="7">
        <f t="shared" si="4"/>
        <v>80.41</v>
      </c>
      <c r="M215" s="6" t="str">
        <f t="shared" si="5"/>
        <v>Cheap</v>
      </c>
    </row>
    <row r="216" ht="15.75" customHeight="1">
      <c r="A216" s="4" t="s">
        <v>267</v>
      </c>
      <c r="B216" s="5">
        <v>45203.0</v>
      </c>
      <c r="C216" s="6" t="s">
        <v>182</v>
      </c>
      <c r="D216" s="6" t="s">
        <v>183</v>
      </c>
      <c r="E216" s="6" t="s">
        <v>24</v>
      </c>
      <c r="F216" s="6" t="s">
        <v>42</v>
      </c>
      <c r="G216" s="6">
        <v>47.0</v>
      </c>
      <c r="H216" s="6">
        <v>2.84</v>
      </c>
      <c r="I216" s="7">
        <f t="shared" si="1"/>
        <v>4</v>
      </c>
      <c r="J216" s="7">
        <f t="shared" si="2"/>
        <v>10</v>
      </c>
      <c r="K216" s="7">
        <f t="shared" si="3"/>
        <v>2023</v>
      </c>
      <c r="L216" s="7">
        <f t="shared" si="4"/>
        <v>133.48</v>
      </c>
      <c r="M216" s="6" t="str">
        <f t="shared" si="5"/>
        <v>Expensive</v>
      </c>
    </row>
    <row r="217" ht="15.75" customHeight="1">
      <c r="A217" s="4" t="s">
        <v>162</v>
      </c>
      <c r="B217" s="5">
        <v>45206.0</v>
      </c>
      <c r="C217" s="6" t="s">
        <v>14</v>
      </c>
      <c r="D217" s="6" t="s">
        <v>23</v>
      </c>
      <c r="E217" s="6" t="s">
        <v>24</v>
      </c>
      <c r="F217" s="6" t="s">
        <v>28</v>
      </c>
      <c r="G217" s="6">
        <v>175.0</v>
      </c>
      <c r="H217" s="6">
        <v>2.18</v>
      </c>
      <c r="I217" s="7">
        <f t="shared" si="1"/>
        <v>7</v>
      </c>
      <c r="J217" s="7">
        <f t="shared" si="2"/>
        <v>10</v>
      </c>
      <c r="K217" s="7">
        <f t="shared" si="3"/>
        <v>2023</v>
      </c>
      <c r="L217" s="7">
        <f t="shared" si="4"/>
        <v>381.5</v>
      </c>
      <c r="M217" s="6" t="str">
        <f t="shared" si="5"/>
        <v>Expensive</v>
      </c>
    </row>
    <row r="218" ht="15.75" customHeight="1">
      <c r="A218" s="4" t="s">
        <v>163</v>
      </c>
      <c r="B218" s="5">
        <v>45209.0</v>
      </c>
      <c r="C218" s="6" t="s">
        <v>14</v>
      </c>
      <c r="D218" s="6" t="s">
        <v>23</v>
      </c>
      <c r="E218" s="6" t="s">
        <v>24</v>
      </c>
      <c r="F218" s="6" t="s">
        <v>25</v>
      </c>
      <c r="G218" s="6">
        <v>23.0</v>
      </c>
      <c r="H218" s="6">
        <v>1.8699999999999999</v>
      </c>
      <c r="I218" s="7">
        <f t="shared" si="1"/>
        <v>10</v>
      </c>
      <c r="J218" s="7">
        <f t="shared" si="2"/>
        <v>10</v>
      </c>
      <c r="K218" s="7">
        <f t="shared" si="3"/>
        <v>2023</v>
      </c>
      <c r="L218" s="7">
        <f t="shared" si="4"/>
        <v>43.01</v>
      </c>
      <c r="M218" s="6" t="str">
        <f t="shared" si="5"/>
        <v>Cheap</v>
      </c>
    </row>
    <row r="219" ht="15.75" customHeight="1">
      <c r="A219" s="4" t="s">
        <v>268</v>
      </c>
      <c r="B219" s="5">
        <v>45212.0</v>
      </c>
      <c r="C219" s="6" t="s">
        <v>182</v>
      </c>
      <c r="D219" s="6" t="s">
        <v>189</v>
      </c>
      <c r="E219" s="6" t="s">
        <v>16</v>
      </c>
      <c r="F219" s="6" t="s">
        <v>17</v>
      </c>
      <c r="G219" s="6">
        <v>40.0</v>
      </c>
      <c r="H219" s="6">
        <v>1.77</v>
      </c>
      <c r="I219" s="7">
        <f t="shared" si="1"/>
        <v>13</v>
      </c>
      <c r="J219" s="7">
        <f t="shared" si="2"/>
        <v>10</v>
      </c>
      <c r="K219" s="7">
        <f t="shared" si="3"/>
        <v>2023</v>
      </c>
      <c r="L219" s="7">
        <f t="shared" si="4"/>
        <v>70.8</v>
      </c>
      <c r="M219" s="6" t="str">
        <f t="shared" si="5"/>
        <v>Cheap</v>
      </c>
    </row>
    <row r="220" ht="15.75" customHeight="1">
      <c r="A220" s="4" t="s">
        <v>164</v>
      </c>
      <c r="B220" s="5">
        <v>45215.0</v>
      </c>
      <c r="C220" s="6" t="s">
        <v>14</v>
      </c>
      <c r="D220" s="6" t="s">
        <v>15</v>
      </c>
      <c r="E220" s="6" t="s">
        <v>24</v>
      </c>
      <c r="F220" s="6" t="s">
        <v>28</v>
      </c>
      <c r="G220" s="6">
        <v>87.0</v>
      </c>
      <c r="H220" s="6">
        <v>2.18</v>
      </c>
      <c r="I220" s="7">
        <f t="shared" si="1"/>
        <v>16</v>
      </c>
      <c r="J220" s="7">
        <f t="shared" si="2"/>
        <v>10</v>
      </c>
      <c r="K220" s="7">
        <f t="shared" si="3"/>
        <v>2023</v>
      </c>
      <c r="L220" s="7">
        <f t="shared" si="4"/>
        <v>189.66</v>
      </c>
      <c r="M220" s="6" t="str">
        <f t="shared" si="5"/>
        <v>Expensive</v>
      </c>
    </row>
    <row r="221" ht="15.75" customHeight="1">
      <c r="A221" s="4" t="s">
        <v>165</v>
      </c>
      <c r="B221" s="5">
        <v>45218.0</v>
      </c>
      <c r="C221" s="6" t="s">
        <v>14</v>
      </c>
      <c r="D221" s="6" t="s">
        <v>15</v>
      </c>
      <c r="E221" s="6" t="s">
        <v>16</v>
      </c>
      <c r="F221" s="6" t="s">
        <v>17</v>
      </c>
      <c r="G221" s="6">
        <v>43.0</v>
      </c>
      <c r="H221" s="6">
        <v>1.77</v>
      </c>
      <c r="I221" s="7">
        <f t="shared" si="1"/>
        <v>19</v>
      </c>
      <c r="J221" s="7">
        <f t="shared" si="2"/>
        <v>10</v>
      </c>
      <c r="K221" s="7">
        <f t="shared" si="3"/>
        <v>2023</v>
      </c>
      <c r="L221" s="7">
        <f t="shared" si="4"/>
        <v>76.11</v>
      </c>
      <c r="M221" s="6" t="str">
        <f t="shared" si="5"/>
        <v>Cheap</v>
      </c>
    </row>
    <row r="222" ht="15.75" customHeight="1">
      <c r="A222" s="4" t="s">
        <v>166</v>
      </c>
      <c r="B222" s="5">
        <v>45221.0</v>
      </c>
      <c r="C222" s="6" t="s">
        <v>14</v>
      </c>
      <c r="D222" s="6" t="s">
        <v>15</v>
      </c>
      <c r="E222" s="6" t="s">
        <v>19</v>
      </c>
      <c r="F222" s="6" t="s">
        <v>20</v>
      </c>
      <c r="G222" s="6">
        <v>30.0</v>
      </c>
      <c r="H222" s="6">
        <v>3.49</v>
      </c>
      <c r="I222" s="7">
        <f t="shared" si="1"/>
        <v>22</v>
      </c>
      <c r="J222" s="7">
        <f t="shared" si="2"/>
        <v>10</v>
      </c>
      <c r="K222" s="7">
        <f t="shared" si="3"/>
        <v>2023</v>
      </c>
      <c r="L222" s="7">
        <f t="shared" si="4"/>
        <v>104.7</v>
      </c>
      <c r="M222" s="6" t="str">
        <f t="shared" si="5"/>
        <v>Expensive</v>
      </c>
    </row>
    <row r="223" ht="15.75" customHeight="1">
      <c r="A223" s="4" t="s">
        <v>269</v>
      </c>
      <c r="B223" s="5">
        <v>45224.0</v>
      </c>
      <c r="C223" s="6" t="s">
        <v>182</v>
      </c>
      <c r="D223" s="6" t="s">
        <v>183</v>
      </c>
      <c r="E223" s="6" t="s">
        <v>16</v>
      </c>
      <c r="F223" s="6" t="s">
        <v>17</v>
      </c>
      <c r="G223" s="6">
        <v>35.0</v>
      </c>
      <c r="H223" s="6">
        <v>1.77</v>
      </c>
      <c r="I223" s="7">
        <f t="shared" si="1"/>
        <v>25</v>
      </c>
      <c r="J223" s="7">
        <f t="shared" si="2"/>
        <v>10</v>
      </c>
      <c r="K223" s="7">
        <f t="shared" si="3"/>
        <v>2023</v>
      </c>
      <c r="L223" s="7">
        <f t="shared" si="4"/>
        <v>61.95</v>
      </c>
      <c r="M223" s="6" t="str">
        <f t="shared" si="5"/>
        <v>Cheap</v>
      </c>
    </row>
    <row r="224" ht="15.75" customHeight="1">
      <c r="A224" s="4" t="s">
        <v>167</v>
      </c>
      <c r="B224" s="5">
        <v>45227.0</v>
      </c>
      <c r="C224" s="6" t="s">
        <v>14</v>
      </c>
      <c r="D224" s="6" t="s">
        <v>23</v>
      </c>
      <c r="E224" s="6" t="s">
        <v>16</v>
      </c>
      <c r="F224" s="6" t="s">
        <v>49</v>
      </c>
      <c r="G224" s="6">
        <v>57.0</v>
      </c>
      <c r="H224" s="6">
        <v>1.87</v>
      </c>
      <c r="I224" s="7">
        <f t="shared" si="1"/>
        <v>28</v>
      </c>
      <c r="J224" s="7">
        <f t="shared" si="2"/>
        <v>10</v>
      </c>
      <c r="K224" s="7">
        <f t="shared" si="3"/>
        <v>2023</v>
      </c>
      <c r="L224" s="7">
        <f t="shared" si="4"/>
        <v>106.59</v>
      </c>
      <c r="M224" s="6" t="str">
        <f t="shared" si="5"/>
        <v>Expensive</v>
      </c>
    </row>
    <row r="225" ht="15.75" customHeight="1">
      <c r="A225" s="4" t="s">
        <v>168</v>
      </c>
      <c r="B225" s="5">
        <v>45230.0</v>
      </c>
      <c r="C225" s="6" t="s">
        <v>14</v>
      </c>
      <c r="D225" s="6" t="s">
        <v>23</v>
      </c>
      <c r="E225" s="6" t="s">
        <v>33</v>
      </c>
      <c r="F225" s="6" t="s">
        <v>34</v>
      </c>
      <c r="G225" s="6">
        <v>25.0</v>
      </c>
      <c r="H225" s="6">
        <v>1.68</v>
      </c>
      <c r="I225" s="7">
        <f t="shared" si="1"/>
        <v>31</v>
      </c>
      <c r="J225" s="7">
        <f t="shared" si="2"/>
        <v>10</v>
      </c>
      <c r="K225" s="7">
        <f t="shared" si="3"/>
        <v>2023</v>
      </c>
      <c r="L225" s="7">
        <f t="shared" si="4"/>
        <v>42</v>
      </c>
      <c r="M225" s="6" t="str">
        <f t="shared" si="5"/>
        <v>Cheap</v>
      </c>
    </row>
    <row r="226" ht="15.75" customHeight="1">
      <c r="A226" s="4" t="s">
        <v>270</v>
      </c>
      <c r="B226" s="5">
        <v>45233.0</v>
      </c>
      <c r="C226" s="6" t="s">
        <v>182</v>
      </c>
      <c r="D226" s="6" t="s">
        <v>189</v>
      </c>
      <c r="E226" s="6" t="s">
        <v>24</v>
      </c>
      <c r="F226" s="6" t="s">
        <v>25</v>
      </c>
      <c r="G226" s="6">
        <v>24.0</v>
      </c>
      <c r="H226" s="6">
        <v>1.87</v>
      </c>
      <c r="I226" s="7">
        <f t="shared" si="1"/>
        <v>3</v>
      </c>
      <c r="J226" s="7">
        <f t="shared" si="2"/>
        <v>11</v>
      </c>
      <c r="K226" s="7">
        <f t="shared" si="3"/>
        <v>2023</v>
      </c>
      <c r="L226" s="7">
        <f t="shared" si="4"/>
        <v>44.88</v>
      </c>
      <c r="M226" s="6" t="str">
        <f t="shared" si="5"/>
        <v>Cheap</v>
      </c>
    </row>
    <row r="227" ht="15.75" customHeight="1">
      <c r="A227" s="4" t="s">
        <v>169</v>
      </c>
      <c r="B227" s="5">
        <v>45236.0</v>
      </c>
      <c r="C227" s="6" t="s">
        <v>14</v>
      </c>
      <c r="D227" s="6" t="s">
        <v>15</v>
      </c>
      <c r="E227" s="6" t="s">
        <v>16</v>
      </c>
      <c r="F227" s="6" t="s">
        <v>49</v>
      </c>
      <c r="G227" s="6">
        <v>83.0</v>
      </c>
      <c r="H227" s="6">
        <v>1.87</v>
      </c>
      <c r="I227" s="7">
        <f t="shared" si="1"/>
        <v>6</v>
      </c>
      <c r="J227" s="7">
        <f t="shared" si="2"/>
        <v>11</v>
      </c>
      <c r="K227" s="7">
        <f t="shared" si="3"/>
        <v>2023</v>
      </c>
      <c r="L227" s="7">
        <f t="shared" si="4"/>
        <v>155.21</v>
      </c>
      <c r="M227" s="6" t="str">
        <f t="shared" si="5"/>
        <v>Expensive</v>
      </c>
    </row>
    <row r="228" ht="15.75" customHeight="1">
      <c r="A228" s="4" t="s">
        <v>170</v>
      </c>
      <c r="B228" s="5">
        <v>45239.0</v>
      </c>
      <c r="C228" s="6" t="s">
        <v>14</v>
      </c>
      <c r="D228" s="6" t="s">
        <v>15</v>
      </c>
      <c r="E228" s="6" t="s">
        <v>24</v>
      </c>
      <c r="F228" s="6" t="s">
        <v>42</v>
      </c>
      <c r="G228" s="6">
        <v>124.0</v>
      </c>
      <c r="H228" s="6">
        <v>2.8400000000000003</v>
      </c>
      <c r="I228" s="7">
        <f t="shared" si="1"/>
        <v>9</v>
      </c>
      <c r="J228" s="7">
        <f t="shared" si="2"/>
        <v>11</v>
      </c>
      <c r="K228" s="7">
        <f t="shared" si="3"/>
        <v>2023</v>
      </c>
      <c r="L228" s="7">
        <f t="shared" si="4"/>
        <v>352.16</v>
      </c>
      <c r="M228" s="6" t="str">
        <f t="shared" si="5"/>
        <v>Expensive</v>
      </c>
    </row>
    <row r="229" ht="15.75" customHeight="1">
      <c r="A229" s="4" t="s">
        <v>271</v>
      </c>
      <c r="B229" s="5">
        <v>45242.0</v>
      </c>
      <c r="C229" s="6" t="s">
        <v>182</v>
      </c>
      <c r="D229" s="6" t="s">
        <v>183</v>
      </c>
      <c r="E229" s="6" t="s">
        <v>16</v>
      </c>
      <c r="F229" s="6" t="s">
        <v>17</v>
      </c>
      <c r="G229" s="6">
        <v>137.0</v>
      </c>
      <c r="H229" s="6">
        <v>1.77</v>
      </c>
      <c r="I229" s="7">
        <f t="shared" si="1"/>
        <v>12</v>
      </c>
      <c r="J229" s="7">
        <f t="shared" si="2"/>
        <v>11</v>
      </c>
      <c r="K229" s="7">
        <f t="shared" si="3"/>
        <v>2023</v>
      </c>
      <c r="L229" s="7">
        <f t="shared" si="4"/>
        <v>242.49</v>
      </c>
      <c r="M229" s="6" t="str">
        <f t="shared" si="5"/>
        <v>Expensive</v>
      </c>
    </row>
    <row r="230" ht="15.75" customHeight="1">
      <c r="A230" s="4" t="s">
        <v>171</v>
      </c>
      <c r="B230" s="5">
        <v>45245.0</v>
      </c>
      <c r="C230" s="6" t="s">
        <v>14</v>
      </c>
      <c r="D230" s="6" t="s">
        <v>23</v>
      </c>
      <c r="E230" s="6" t="s">
        <v>24</v>
      </c>
      <c r="F230" s="6" t="s">
        <v>28</v>
      </c>
      <c r="G230" s="6">
        <v>146.0</v>
      </c>
      <c r="H230" s="6">
        <v>2.1799999999999997</v>
      </c>
      <c r="I230" s="7">
        <f t="shared" si="1"/>
        <v>15</v>
      </c>
      <c r="J230" s="7">
        <f t="shared" si="2"/>
        <v>11</v>
      </c>
      <c r="K230" s="7">
        <f t="shared" si="3"/>
        <v>2023</v>
      </c>
      <c r="L230" s="7">
        <f t="shared" si="4"/>
        <v>318.28</v>
      </c>
      <c r="M230" s="6" t="str">
        <f t="shared" si="5"/>
        <v>Expensive</v>
      </c>
    </row>
    <row r="231" ht="15.75" customHeight="1">
      <c r="A231" s="4" t="s">
        <v>172</v>
      </c>
      <c r="B231" s="5">
        <v>45248.0</v>
      </c>
      <c r="C231" s="6" t="s">
        <v>14</v>
      </c>
      <c r="D231" s="6" t="s">
        <v>23</v>
      </c>
      <c r="E231" s="6" t="s">
        <v>24</v>
      </c>
      <c r="F231" s="6" t="s">
        <v>25</v>
      </c>
      <c r="G231" s="6">
        <v>34.0</v>
      </c>
      <c r="H231" s="6">
        <v>1.8699999999999999</v>
      </c>
      <c r="I231" s="7">
        <f t="shared" si="1"/>
        <v>18</v>
      </c>
      <c r="J231" s="7">
        <f t="shared" si="2"/>
        <v>11</v>
      </c>
      <c r="K231" s="7">
        <f t="shared" si="3"/>
        <v>2023</v>
      </c>
      <c r="L231" s="7">
        <f t="shared" si="4"/>
        <v>63.58</v>
      </c>
      <c r="M231" s="6" t="str">
        <f t="shared" si="5"/>
        <v>Cheap</v>
      </c>
    </row>
    <row r="232" ht="15.75" customHeight="1">
      <c r="A232" s="4" t="s">
        <v>272</v>
      </c>
      <c r="B232" s="5">
        <v>45251.0</v>
      </c>
      <c r="C232" s="6" t="s">
        <v>182</v>
      </c>
      <c r="D232" s="6" t="s">
        <v>189</v>
      </c>
      <c r="E232" s="6" t="s">
        <v>16</v>
      </c>
      <c r="F232" s="6" t="s">
        <v>17</v>
      </c>
      <c r="G232" s="6">
        <v>20.0</v>
      </c>
      <c r="H232" s="6">
        <v>1.77</v>
      </c>
      <c r="I232" s="7">
        <f t="shared" si="1"/>
        <v>21</v>
      </c>
      <c r="J232" s="7">
        <f t="shared" si="2"/>
        <v>11</v>
      </c>
      <c r="K232" s="7">
        <f t="shared" si="3"/>
        <v>2023</v>
      </c>
      <c r="L232" s="7">
        <f t="shared" si="4"/>
        <v>35.4</v>
      </c>
      <c r="M232" s="6" t="str">
        <f t="shared" si="5"/>
        <v>Cheap</v>
      </c>
    </row>
    <row r="233" ht="15.75" customHeight="1">
      <c r="A233" s="4" t="s">
        <v>173</v>
      </c>
      <c r="B233" s="5">
        <v>45254.0</v>
      </c>
      <c r="C233" s="6" t="s">
        <v>14</v>
      </c>
      <c r="D233" s="6" t="s">
        <v>15</v>
      </c>
      <c r="E233" s="6" t="s">
        <v>24</v>
      </c>
      <c r="F233" s="6" t="s">
        <v>28</v>
      </c>
      <c r="G233" s="6">
        <v>139.0</v>
      </c>
      <c r="H233" s="6">
        <v>2.1799999999999997</v>
      </c>
      <c r="I233" s="7">
        <f t="shared" si="1"/>
        <v>24</v>
      </c>
      <c r="J233" s="7">
        <f t="shared" si="2"/>
        <v>11</v>
      </c>
      <c r="K233" s="7">
        <f t="shared" si="3"/>
        <v>2023</v>
      </c>
      <c r="L233" s="7">
        <f t="shared" si="4"/>
        <v>303.02</v>
      </c>
      <c r="M233" s="6" t="str">
        <f t="shared" si="5"/>
        <v>Expensive</v>
      </c>
    </row>
    <row r="234" ht="15.75" customHeight="1">
      <c r="A234" s="4" t="s">
        <v>174</v>
      </c>
      <c r="B234" s="5">
        <v>45257.0</v>
      </c>
      <c r="C234" s="6" t="s">
        <v>14</v>
      </c>
      <c r="D234" s="6" t="s">
        <v>15</v>
      </c>
      <c r="E234" s="6" t="s">
        <v>24</v>
      </c>
      <c r="F234" s="6" t="s">
        <v>25</v>
      </c>
      <c r="G234" s="6">
        <v>211.0</v>
      </c>
      <c r="H234" s="6">
        <v>1.8699999999999999</v>
      </c>
      <c r="I234" s="7">
        <f t="shared" si="1"/>
        <v>27</v>
      </c>
      <c r="J234" s="7">
        <f t="shared" si="2"/>
        <v>11</v>
      </c>
      <c r="K234" s="7">
        <f t="shared" si="3"/>
        <v>2023</v>
      </c>
      <c r="L234" s="7">
        <f t="shared" si="4"/>
        <v>394.57</v>
      </c>
      <c r="M234" s="6" t="str">
        <f t="shared" si="5"/>
        <v>Expensive</v>
      </c>
    </row>
    <row r="235" ht="15.75" customHeight="1">
      <c r="A235" s="4" t="s">
        <v>175</v>
      </c>
      <c r="B235" s="5">
        <v>45260.0</v>
      </c>
      <c r="C235" s="6" t="s">
        <v>14</v>
      </c>
      <c r="D235" s="6" t="s">
        <v>15</v>
      </c>
      <c r="E235" s="6" t="s">
        <v>19</v>
      </c>
      <c r="F235" s="6" t="s">
        <v>20</v>
      </c>
      <c r="G235" s="6">
        <v>20.0</v>
      </c>
      <c r="H235" s="6">
        <v>3.4899999999999998</v>
      </c>
      <c r="I235" s="7">
        <f t="shared" si="1"/>
        <v>30</v>
      </c>
      <c r="J235" s="7">
        <f t="shared" si="2"/>
        <v>11</v>
      </c>
      <c r="K235" s="7">
        <f t="shared" si="3"/>
        <v>2023</v>
      </c>
      <c r="L235" s="7">
        <f t="shared" si="4"/>
        <v>69.8</v>
      </c>
      <c r="M235" s="6" t="str">
        <f t="shared" si="5"/>
        <v>Cheap</v>
      </c>
    </row>
    <row r="236" ht="15.75" customHeight="1">
      <c r="A236" s="4" t="s">
        <v>273</v>
      </c>
      <c r="B236" s="5">
        <v>45263.0</v>
      </c>
      <c r="C236" s="6" t="s">
        <v>182</v>
      </c>
      <c r="D236" s="6" t="s">
        <v>183</v>
      </c>
      <c r="E236" s="6" t="s">
        <v>16</v>
      </c>
      <c r="F236" s="6" t="s">
        <v>49</v>
      </c>
      <c r="G236" s="6">
        <v>42.0</v>
      </c>
      <c r="H236" s="6">
        <v>1.87</v>
      </c>
      <c r="I236" s="7">
        <f t="shared" si="1"/>
        <v>3</v>
      </c>
      <c r="J236" s="7">
        <f t="shared" si="2"/>
        <v>12</v>
      </c>
      <c r="K236" s="7">
        <f t="shared" si="3"/>
        <v>2023</v>
      </c>
      <c r="L236" s="7">
        <f t="shared" si="4"/>
        <v>78.54</v>
      </c>
      <c r="M236" s="6" t="str">
        <f t="shared" si="5"/>
        <v>Cheap</v>
      </c>
    </row>
    <row r="237" ht="15.75" customHeight="1">
      <c r="A237" s="4" t="s">
        <v>274</v>
      </c>
      <c r="B237" s="5">
        <v>45266.0</v>
      </c>
      <c r="C237" s="6" t="s">
        <v>182</v>
      </c>
      <c r="D237" s="6" t="s">
        <v>183</v>
      </c>
      <c r="E237" s="6" t="s">
        <v>24</v>
      </c>
      <c r="F237" s="6" t="s">
        <v>42</v>
      </c>
      <c r="G237" s="6">
        <v>100.0</v>
      </c>
      <c r="H237" s="6">
        <v>2.84</v>
      </c>
      <c r="I237" s="7">
        <f t="shared" si="1"/>
        <v>6</v>
      </c>
      <c r="J237" s="7">
        <f t="shared" si="2"/>
        <v>12</v>
      </c>
      <c r="K237" s="7">
        <f t="shared" si="3"/>
        <v>2023</v>
      </c>
      <c r="L237" s="7">
        <f t="shared" si="4"/>
        <v>284</v>
      </c>
      <c r="M237" s="6" t="str">
        <f t="shared" si="5"/>
        <v>Expensive</v>
      </c>
    </row>
    <row r="238" ht="15.75" customHeight="1">
      <c r="A238" s="4" t="s">
        <v>176</v>
      </c>
      <c r="B238" s="5">
        <v>45269.0</v>
      </c>
      <c r="C238" s="6" t="s">
        <v>14</v>
      </c>
      <c r="D238" s="6" t="s">
        <v>23</v>
      </c>
      <c r="E238" s="6" t="s">
        <v>16</v>
      </c>
      <c r="F238" s="6" t="s">
        <v>17</v>
      </c>
      <c r="G238" s="6">
        <v>38.0</v>
      </c>
      <c r="H238" s="6">
        <v>1.7700000000000002</v>
      </c>
      <c r="I238" s="7">
        <f t="shared" si="1"/>
        <v>9</v>
      </c>
      <c r="J238" s="7">
        <f t="shared" si="2"/>
        <v>12</v>
      </c>
      <c r="K238" s="7">
        <f t="shared" si="3"/>
        <v>2023</v>
      </c>
      <c r="L238" s="7">
        <f t="shared" si="4"/>
        <v>67.26</v>
      </c>
      <c r="M238" s="6" t="str">
        <f t="shared" si="5"/>
        <v>Cheap</v>
      </c>
    </row>
    <row r="239" ht="15.75" customHeight="1">
      <c r="A239" s="4" t="s">
        <v>177</v>
      </c>
      <c r="B239" s="5">
        <v>45272.0</v>
      </c>
      <c r="C239" s="6" t="s">
        <v>14</v>
      </c>
      <c r="D239" s="6" t="s">
        <v>23</v>
      </c>
      <c r="E239" s="6" t="s">
        <v>19</v>
      </c>
      <c r="F239" s="6" t="s">
        <v>20</v>
      </c>
      <c r="G239" s="6">
        <v>25.0</v>
      </c>
      <c r="H239" s="6">
        <v>3.49</v>
      </c>
      <c r="I239" s="7">
        <f t="shared" si="1"/>
        <v>12</v>
      </c>
      <c r="J239" s="7">
        <f t="shared" si="2"/>
        <v>12</v>
      </c>
      <c r="K239" s="7">
        <f t="shared" si="3"/>
        <v>2023</v>
      </c>
      <c r="L239" s="7">
        <f t="shared" si="4"/>
        <v>87.25</v>
      </c>
      <c r="M239" s="6" t="str">
        <f t="shared" si="5"/>
        <v>Cheap</v>
      </c>
    </row>
    <row r="240" ht="15.75" customHeight="1">
      <c r="A240" s="4" t="s">
        <v>275</v>
      </c>
      <c r="B240" s="5">
        <v>45275.0</v>
      </c>
      <c r="C240" s="6" t="s">
        <v>182</v>
      </c>
      <c r="D240" s="6" t="s">
        <v>189</v>
      </c>
      <c r="E240" s="6" t="s">
        <v>24</v>
      </c>
      <c r="F240" s="6" t="s">
        <v>25</v>
      </c>
      <c r="G240" s="6">
        <v>96.0</v>
      </c>
      <c r="H240" s="6">
        <v>1.87</v>
      </c>
      <c r="I240" s="7">
        <f t="shared" si="1"/>
        <v>15</v>
      </c>
      <c r="J240" s="7">
        <f t="shared" si="2"/>
        <v>12</v>
      </c>
      <c r="K240" s="7">
        <f t="shared" si="3"/>
        <v>2023</v>
      </c>
      <c r="L240" s="7">
        <f t="shared" si="4"/>
        <v>179.52</v>
      </c>
      <c r="M240" s="6" t="str">
        <f t="shared" si="5"/>
        <v>Expensive</v>
      </c>
    </row>
    <row r="241" ht="15.75" customHeight="1">
      <c r="A241" s="4" t="s">
        <v>178</v>
      </c>
      <c r="B241" s="5">
        <v>45278.0</v>
      </c>
      <c r="C241" s="6" t="s">
        <v>14</v>
      </c>
      <c r="D241" s="6" t="s">
        <v>15</v>
      </c>
      <c r="E241" s="6" t="s">
        <v>24</v>
      </c>
      <c r="F241" s="6" t="s">
        <v>28</v>
      </c>
      <c r="G241" s="6">
        <v>34.0</v>
      </c>
      <c r="H241" s="6">
        <v>2.18</v>
      </c>
      <c r="I241" s="7">
        <f t="shared" si="1"/>
        <v>18</v>
      </c>
      <c r="J241" s="7">
        <f t="shared" si="2"/>
        <v>12</v>
      </c>
      <c r="K241" s="7">
        <f t="shared" si="3"/>
        <v>2023</v>
      </c>
      <c r="L241" s="7">
        <f t="shared" si="4"/>
        <v>74.12</v>
      </c>
      <c r="M241" s="6" t="str">
        <f t="shared" si="5"/>
        <v>Cheap</v>
      </c>
    </row>
    <row r="242" ht="15.75" customHeight="1">
      <c r="A242" s="4" t="s">
        <v>179</v>
      </c>
      <c r="B242" s="5">
        <v>45281.0</v>
      </c>
      <c r="C242" s="6" t="s">
        <v>14</v>
      </c>
      <c r="D242" s="6" t="s">
        <v>15</v>
      </c>
      <c r="E242" s="6" t="s">
        <v>24</v>
      </c>
      <c r="F242" s="6" t="s">
        <v>25</v>
      </c>
      <c r="G242" s="6">
        <v>245.0</v>
      </c>
      <c r="H242" s="6">
        <v>1.8699999999999999</v>
      </c>
      <c r="I242" s="7">
        <f t="shared" si="1"/>
        <v>21</v>
      </c>
      <c r="J242" s="7">
        <f t="shared" si="2"/>
        <v>12</v>
      </c>
      <c r="K242" s="7">
        <f t="shared" si="3"/>
        <v>2023</v>
      </c>
      <c r="L242" s="7">
        <f t="shared" si="4"/>
        <v>458.15</v>
      </c>
      <c r="M242" s="6" t="str">
        <f t="shared" si="5"/>
        <v>Expensive</v>
      </c>
    </row>
    <row r="243" ht="15.75" customHeight="1">
      <c r="A243" s="4" t="s">
        <v>180</v>
      </c>
      <c r="B243" s="5">
        <v>45284.0</v>
      </c>
      <c r="C243" s="6" t="s">
        <v>14</v>
      </c>
      <c r="D243" s="6" t="s">
        <v>15</v>
      </c>
      <c r="E243" s="6" t="s">
        <v>19</v>
      </c>
      <c r="F243" s="6" t="s">
        <v>20</v>
      </c>
      <c r="G243" s="6">
        <v>30.0</v>
      </c>
      <c r="H243" s="6">
        <v>3.49</v>
      </c>
      <c r="I243" s="7">
        <f t="shared" si="1"/>
        <v>24</v>
      </c>
      <c r="J243" s="7">
        <f t="shared" si="2"/>
        <v>12</v>
      </c>
      <c r="K243" s="7">
        <f t="shared" si="3"/>
        <v>2023</v>
      </c>
      <c r="L243" s="7">
        <f t="shared" si="4"/>
        <v>104.7</v>
      </c>
      <c r="M243" s="6" t="str">
        <f t="shared" si="5"/>
        <v>Expensive</v>
      </c>
    </row>
    <row r="244" ht="15.75" customHeight="1">
      <c r="A244" s="4" t="s">
        <v>276</v>
      </c>
      <c r="B244" s="5">
        <v>45287.0</v>
      </c>
      <c r="C244" s="6" t="s">
        <v>182</v>
      </c>
      <c r="D244" s="6" t="s">
        <v>183</v>
      </c>
      <c r="E244" s="6" t="s">
        <v>16</v>
      </c>
      <c r="F244" s="6" t="s">
        <v>49</v>
      </c>
      <c r="G244" s="6">
        <v>30.0</v>
      </c>
      <c r="H244" s="6">
        <v>1.87</v>
      </c>
      <c r="I244" s="7">
        <f t="shared" si="1"/>
        <v>27</v>
      </c>
      <c r="J244" s="7">
        <f t="shared" si="2"/>
        <v>12</v>
      </c>
      <c r="K244" s="7">
        <f t="shared" si="3"/>
        <v>2023</v>
      </c>
      <c r="L244" s="7">
        <f t="shared" si="4"/>
        <v>56.1</v>
      </c>
      <c r="M244" s="6" t="str">
        <f t="shared" si="5"/>
        <v>Cheap</v>
      </c>
    </row>
    <row r="245" ht="15.75" customHeight="1">
      <c r="A245" s="4" t="s">
        <v>277</v>
      </c>
      <c r="B245" s="5">
        <v>45290.0</v>
      </c>
      <c r="C245" s="6" t="s">
        <v>182</v>
      </c>
      <c r="D245" s="6" t="s">
        <v>183</v>
      </c>
      <c r="E245" s="6" t="s">
        <v>24</v>
      </c>
      <c r="F245" s="6" t="s">
        <v>42</v>
      </c>
      <c r="G245" s="6">
        <v>44.0</v>
      </c>
      <c r="H245" s="6">
        <v>2.84</v>
      </c>
      <c r="I245" s="7">
        <f t="shared" si="1"/>
        <v>30</v>
      </c>
      <c r="J245" s="7">
        <f t="shared" si="2"/>
        <v>12</v>
      </c>
      <c r="K245" s="7">
        <f t="shared" si="3"/>
        <v>2023</v>
      </c>
      <c r="L245" s="7">
        <f t="shared" si="4"/>
        <v>124.96</v>
      </c>
      <c r="M245" s="6" t="str">
        <f t="shared" si="5"/>
        <v>Expensive</v>
      </c>
    </row>
    <row r="246" ht="15.75" customHeight="1">
      <c r="A246" s="12" t="s">
        <v>278</v>
      </c>
      <c r="B246" s="13"/>
      <c r="C246" s="13"/>
      <c r="D246" s="13"/>
      <c r="E246" s="13"/>
      <c r="F246" s="14"/>
      <c r="G246" s="6"/>
      <c r="H246" s="6"/>
      <c r="I246" s="7">
        <f t="shared" si="1"/>
        <v>30</v>
      </c>
      <c r="J246" s="7">
        <f t="shared" si="2"/>
        <v>12</v>
      </c>
      <c r="K246" s="7">
        <f t="shared" si="3"/>
        <v>1899</v>
      </c>
      <c r="L246" s="7">
        <f>SUM($L$2:$L$245)</f>
        <v>33325.58</v>
      </c>
      <c r="M246" s="6" t="str">
        <f t="shared" si="5"/>
        <v>Expensive</v>
      </c>
    </row>
    <row r="247" ht="15.75" customHeight="1">
      <c r="A247" s="12" t="s">
        <v>279</v>
      </c>
      <c r="B247" s="13"/>
      <c r="C247" s="13"/>
      <c r="D247" s="13"/>
      <c r="E247" s="13"/>
      <c r="F247" s="14"/>
      <c r="G247" s="15"/>
      <c r="H247" s="6"/>
      <c r="I247" s="7">
        <f t="shared" si="1"/>
        <v>30</v>
      </c>
      <c r="J247" s="7">
        <f t="shared" si="2"/>
        <v>12</v>
      </c>
      <c r="K247" s="7">
        <f t="shared" si="3"/>
        <v>1899</v>
      </c>
      <c r="L247" s="18">
        <f>AVERAGE($L$2:$L$245)</f>
        <v>136.5802459</v>
      </c>
      <c r="M247" s="6" t="str">
        <f t="shared" si="5"/>
        <v>Expensive</v>
      </c>
    </row>
    <row r="248" ht="15.75" customHeight="1">
      <c r="A248" s="12" t="s">
        <v>280</v>
      </c>
      <c r="B248" s="13"/>
      <c r="C248" s="13"/>
      <c r="D248" s="13"/>
      <c r="E248" s="13"/>
      <c r="F248" s="14"/>
      <c r="G248" s="15"/>
      <c r="H248" s="15"/>
      <c r="I248" s="7">
        <f t="shared" si="1"/>
        <v>30</v>
      </c>
      <c r="J248" s="7">
        <f t="shared" si="2"/>
        <v>12</v>
      </c>
      <c r="K248" s="7">
        <f t="shared" si="3"/>
        <v>1899</v>
      </c>
      <c r="L248" s="7">
        <f>MAX(L2:L245)</f>
        <v>817.92</v>
      </c>
      <c r="M248" s="6" t="str">
        <f t="shared" si="5"/>
        <v>Expensive</v>
      </c>
    </row>
    <row r="249" ht="15.75" customHeight="1">
      <c r="A249" s="12" t="s">
        <v>281</v>
      </c>
      <c r="B249" s="13"/>
      <c r="C249" s="13"/>
      <c r="D249" s="13"/>
      <c r="E249" s="13"/>
      <c r="F249" s="14"/>
      <c r="G249" s="6"/>
      <c r="H249" s="6"/>
      <c r="I249" s="7">
        <f t="shared" si="1"/>
        <v>30</v>
      </c>
      <c r="J249" s="7">
        <f t="shared" si="2"/>
        <v>12</v>
      </c>
      <c r="K249" s="7">
        <f t="shared" si="3"/>
        <v>1899</v>
      </c>
      <c r="L249" s="7"/>
      <c r="M249" s="6" t="str">
        <f t="shared" si="5"/>
        <v>Cheap</v>
      </c>
    </row>
    <row r="250" ht="15.75" customHeight="1">
      <c r="A250" s="12" t="s">
        <v>282</v>
      </c>
      <c r="B250" s="13"/>
      <c r="C250" s="13"/>
      <c r="D250" s="13"/>
      <c r="E250" s="13"/>
      <c r="F250" s="14"/>
      <c r="G250" s="15"/>
      <c r="H250" s="6"/>
      <c r="I250" s="7">
        <f t="shared" si="1"/>
        <v>30</v>
      </c>
      <c r="J250" s="7">
        <f t="shared" si="2"/>
        <v>12</v>
      </c>
      <c r="K250" s="7">
        <f t="shared" si="3"/>
        <v>1899</v>
      </c>
      <c r="L250" s="7">
        <f t="shared" ref="L250:L254" si="6">G250*H250</f>
        <v>0</v>
      </c>
      <c r="M250" s="6" t="str">
        <f t="shared" si="5"/>
        <v>Cheap</v>
      </c>
    </row>
    <row r="251" ht="15.75" customHeight="1">
      <c r="A251" s="12" t="s">
        <v>283</v>
      </c>
      <c r="B251" s="13"/>
      <c r="C251" s="13"/>
      <c r="D251" s="13"/>
      <c r="E251" s="13"/>
      <c r="F251" s="14"/>
      <c r="G251" s="15"/>
      <c r="H251" s="15"/>
      <c r="I251" s="7">
        <f t="shared" si="1"/>
        <v>30</v>
      </c>
      <c r="J251" s="7">
        <f t="shared" si="2"/>
        <v>12</v>
      </c>
      <c r="K251" s="7">
        <f t="shared" si="3"/>
        <v>1899</v>
      </c>
      <c r="L251" s="7">
        <f t="shared" si="6"/>
        <v>0</v>
      </c>
      <c r="M251" s="6" t="str">
        <f t="shared" si="5"/>
        <v>Cheap</v>
      </c>
    </row>
    <row r="252" ht="15.75" customHeight="1">
      <c r="A252" s="12" t="s">
        <v>284</v>
      </c>
      <c r="B252" s="13"/>
      <c r="C252" s="13"/>
      <c r="D252" s="13"/>
      <c r="E252" s="13"/>
      <c r="F252" s="14"/>
      <c r="G252" s="6"/>
      <c r="H252" s="6"/>
      <c r="I252" s="7">
        <f t="shared" si="1"/>
        <v>30</v>
      </c>
      <c r="J252" s="7">
        <f t="shared" si="2"/>
        <v>12</v>
      </c>
      <c r="K252" s="7">
        <f t="shared" si="3"/>
        <v>1899</v>
      </c>
      <c r="L252" s="7">
        <f t="shared" si="6"/>
        <v>0</v>
      </c>
      <c r="M252" s="6" t="str">
        <f t="shared" si="5"/>
        <v>Cheap</v>
      </c>
    </row>
    <row r="253" ht="15.75" customHeight="1">
      <c r="A253" s="12" t="s">
        <v>285</v>
      </c>
      <c r="B253" s="13"/>
      <c r="C253" s="13"/>
      <c r="D253" s="13"/>
      <c r="E253" s="13"/>
      <c r="F253" s="14"/>
      <c r="G253" s="6"/>
      <c r="H253" s="6"/>
      <c r="I253" s="7">
        <f t="shared" si="1"/>
        <v>30</v>
      </c>
      <c r="J253" s="7">
        <f t="shared" si="2"/>
        <v>12</v>
      </c>
      <c r="K253" s="7">
        <f t="shared" si="3"/>
        <v>1899</v>
      </c>
      <c r="L253" s="7">
        <f t="shared" si="6"/>
        <v>0</v>
      </c>
      <c r="M253" s="6" t="str">
        <f t="shared" si="5"/>
        <v>Cheap</v>
      </c>
    </row>
    <row r="254" ht="15.75" customHeight="1">
      <c r="A254" s="12" t="s">
        <v>286</v>
      </c>
      <c r="B254" s="13"/>
      <c r="C254" s="13"/>
      <c r="D254" s="13"/>
      <c r="E254" s="13"/>
      <c r="F254" s="14"/>
      <c r="G254" s="6"/>
      <c r="H254" s="6"/>
      <c r="I254" s="7">
        <f t="shared" si="1"/>
        <v>30</v>
      </c>
      <c r="J254" s="7">
        <f t="shared" si="2"/>
        <v>12</v>
      </c>
      <c r="K254" s="7">
        <f t="shared" si="3"/>
        <v>1899</v>
      </c>
      <c r="L254" s="7">
        <f t="shared" si="6"/>
        <v>0</v>
      </c>
      <c r="M254" s="6" t="str">
        <f t="shared" si="5"/>
        <v>Cheap</v>
      </c>
    </row>
    <row r="255" ht="15.75" customHeight="1">
      <c r="A255" s="16"/>
      <c r="B255" s="16"/>
      <c r="I255" s="17"/>
      <c r="J255" s="17"/>
      <c r="K255" s="17"/>
      <c r="L255" s="17"/>
    </row>
    <row r="256" ht="15.75" customHeight="1">
      <c r="A256" s="16"/>
      <c r="B256" s="16"/>
      <c r="I256" s="17"/>
      <c r="J256" s="17"/>
      <c r="K256" s="17"/>
      <c r="L256" s="17"/>
    </row>
    <row r="257" ht="15.75" customHeight="1">
      <c r="A257" s="16"/>
      <c r="B257" s="16"/>
      <c r="I257" s="17"/>
      <c r="J257" s="17"/>
      <c r="K257" s="17"/>
      <c r="L257" s="17"/>
    </row>
    <row r="258" ht="15.75" customHeight="1">
      <c r="A258" s="16"/>
      <c r="B258" s="16"/>
      <c r="I258" s="17"/>
      <c r="J258" s="17"/>
      <c r="K258" s="17"/>
      <c r="L258" s="17"/>
    </row>
    <row r="259" ht="15.75" customHeight="1">
      <c r="A259" s="16"/>
      <c r="B259" s="16"/>
      <c r="I259" s="17"/>
      <c r="J259" s="17"/>
      <c r="K259" s="17"/>
      <c r="L259" s="17"/>
    </row>
    <row r="260" ht="15.75" customHeight="1">
      <c r="A260" s="16"/>
      <c r="B260" s="16"/>
      <c r="I260" s="17"/>
      <c r="J260" s="17"/>
      <c r="K260" s="17"/>
      <c r="L260" s="17"/>
    </row>
    <row r="261" ht="15.75" customHeight="1">
      <c r="A261" s="16"/>
      <c r="B261" s="16"/>
      <c r="I261" s="17"/>
      <c r="J261" s="17"/>
      <c r="K261" s="17"/>
      <c r="L261" s="17"/>
    </row>
    <row r="262" ht="15.75" customHeight="1">
      <c r="A262" s="16"/>
      <c r="B262" s="16"/>
      <c r="I262" s="17"/>
      <c r="J262" s="17"/>
      <c r="K262" s="17"/>
      <c r="L262" s="17"/>
    </row>
    <row r="263" ht="15.75" customHeight="1">
      <c r="A263" s="16"/>
      <c r="B263" s="16"/>
      <c r="I263" s="17"/>
      <c r="J263" s="17"/>
      <c r="K263" s="17"/>
      <c r="L263" s="17"/>
    </row>
    <row r="264" ht="15.75" customHeight="1">
      <c r="A264" s="16"/>
      <c r="B264" s="16"/>
      <c r="I264" s="17"/>
      <c r="J264" s="17"/>
      <c r="K264" s="17"/>
      <c r="L264" s="17"/>
    </row>
    <row r="265" ht="15.75" customHeight="1">
      <c r="A265" s="16"/>
      <c r="B265" s="16"/>
      <c r="I265" s="17"/>
      <c r="J265" s="17"/>
      <c r="K265" s="17"/>
      <c r="L265" s="17"/>
    </row>
    <row r="266" ht="15.75" customHeight="1">
      <c r="A266" s="16"/>
      <c r="B266" s="16"/>
      <c r="I266" s="17"/>
      <c r="J266" s="17"/>
      <c r="K266" s="17"/>
      <c r="L266" s="17"/>
    </row>
    <row r="267" ht="15.75" customHeight="1">
      <c r="A267" s="16"/>
      <c r="B267" s="16"/>
      <c r="I267" s="17"/>
      <c r="J267" s="17"/>
      <c r="K267" s="17"/>
      <c r="L267" s="17"/>
    </row>
    <row r="268" ht="15.75" customHeight="1">
      <c r="A268" s="16"/>
      <c r="B268" s="16"/>
      <c r="I268" s="17"/>
      <c r="J268" s="17"/>
      <c r="K268" s="17"/>
      <c r="L268" s="17"/>
    </row>
    <row r="269" ht="15.75" customHeight="1">
      <c r="A269" s="16"/>
      <c r="B269" s="16"/>
      <c r="I269" s="17"/>
      <c r="J269" s="17"/>
      <c r="K269" s="17"/>
      <c r="L269" s="17"/>
    </row>
    <row r="270" ht="15.75" customHeight="1">
      <c r="A270" s="16"/>
      <c r="B270" s="16"/>
      <c r="I270" s="17"/>
      <c r="J270" s="17"/>
      <c r="K270" s="17"/>
      <c r="L270" s="17"/>
    </row>
    <row r="271" ht="15.75" customHeight="1">
      <c r="A271" s="16"/>
      <c r="B271" s="16"/>
      <c r="I271" s="17"/>
      <c r="J271" s="17"/>
      <c r="K271" s="17"/>
      <c r="L271" s="17"/>
    </row>
    <row r="272" ht="15.75" customHeight="1">
      <c r="A272" s="16"/>
      <c r="B272" s="16"/>
      <c r="I272" s="17"/>
      <c r="J272" s="17"/>
      <c r="K272" s="17"/>
      <c r="L272" s="17"/>
    </row>
    <row r="273" ht="15.75" customHeight="1">
      <c r="A273" s="16"/>
      <c r="B273" s="16"/>
      <c r="I273" s="17"/>
      <c r="J273" s="17"/>
      <c r="K273" s="17"/>
      <c r="L273" s="17"/>
    </row>
    <row r="274" ht="15.75" customHeight="1">
      <c r="A274" s="16"/>
      <c r="B274" s="16"/>
      <c r="I274" s="17"/>
      <c r="J274" s="17"/>
      <c r="K274" s="17"/>
      <c r="L274" s="17"/>
    </row>
    <row r="275" ht="15.75" customHeight="1">
      <c r="A275" s="16"/>
      <c r="B275" s="16"/>
      <c r="I275" s="17"/>
      <c r="J275" s="17"/>
      <c r="K275" s="17"/>
      <c r="L275" s="17"/>
    </row>
    <row r="276" ht="15.75" customHeight="1">
      <c r="A276" s="16"/>
      <c r="B276" s="16"/>
      <c r="I276" s="17"/>
      <c r="J276" s="17"/>
      <c r="K276" s="17"/>
      <c r="L276" s="17"/>
    </row>
    <row r="277" ht="15.75" customHeight="1">
      <c r="A277" s="16"/>
      <c r="B277" s="16"/>
      <c r="I277" s="17"/>
      <c r="J277" s="17"/>
      <c r="K277" s="17"/>
      <c r="L277" s="17"/>
    </row>
    <row r="278" ht="15.75" customHeight="1">
      <c r="A278" s="16"/>
      <c r="B278" s="16"/>
      <c r="I278" s="17"/>
      <c r="J278" s="17"/>
      <c r="K278" s="17"/>
      <c r="L278" s="17"/>
    </row>
    <row r="279" ht="15.75" customHeight="1">
      <c r="A279" s="16"/>
      <c r="B279" s="16"/>
      <c r="I279" s="17"/>
      <c r="J279" s="17"/>
      <c r="K279" s="17"/>
      <c r="L279" s="17"/>
    </row>
    <row r="280" ht="15.75" customHeight="1">
      <c r="A280" s="16"/>
      <c r="B280" s="16"/>
      <c r="I280" s="17"/>
      <c r="J280" s="17"/>
      <c r="K280" s="17"/>
      <c r="L280" s="17"/>
    </row>
    <row r="281" ht="15.75" customHeight="1">
      <c r="A281" s="16"/>
      <c r="B281" s="16"/>
      <c r="I281" s="17"/>
      <c r="J281" s="17"/>
      <c r="K281" s="17"/>
      <c r="L281" s="17"/>
    </row>
    <row r="282" ht="15.75" customHeight="1">
      <c r="A282" s="16"/>
      <c r="B282" s="16"/>
      <c r="I282" s="17"/>
      <c r="J282" s="17"/>
      <c r="K282" s="17"/>
      <c r="L282" s="17"/>
    </row>
    <row r="283" ht="15.75" customHeight="1">
      <c r="A283" s="16"/>
      <c r="B283" s="16"/>
      <c r="I283" s="17"/>
      <c r="J283" s="17"/>
      <c r="K283" s="17"/>
      <c r="L283" s="17"/>
    </row>
    <row r="284" ht="15.75" customHeight="1">
      <c r="A284" s="16"/>
      <c r="B284" s="16"/>
      <c r="I284" s="17"/>
      <c r="J284" s="17"/>
      <c r="K284" s="17"/>
      <c r="L284" s="17"/>
    </row>
    <row r="285" ht="15.75" customHeight="1">
      <c r="A285" s="16"/>
      <c r="B285" s="16"/>
      <c r="I285" s="17"/>
      <c r="J285" s="17"/>
      <c r="K285" s="17"/>
      <c r="L285" s="17"/>
    </row>
    <row r="286" ht="15.75" customHeight="1">
      <c r="A286" s="16"/>
      <c r="B286" s="16"/>
      <c r="I286" s="17"/>
      <c r="J286" s="17"/>
      <c r="K286" s="17"/>
      <c r="L286" s="17"/>
    </row>
    <row r="287" ht="15.75" customHeight="1">
      <c r="A287" s="16"/>
      <c r="B287" s="16"/>
      <c r="I287" s="17"/>
      <c r="J287" s="17"/>
      <c r="K287" s="17"/>
      <c r="L287" s="17"/>
    </row>
    <row r="288" ht="15.75" customHeight="1">
      <c r="A288" s="16"/>
      <c r="B288" s="16"/>
      <c r="I288" s="17"/>
      <c r="J288" s="17"/>
      <c r="K288" s="17"/>
      <c r="L288" s="17"/>
    </row>
    <row r="289" ht="15.75" customHeight="1">
      <c r="A289" s="16"/>
      <c r="B289" s="16"/>
      <c r="I289" s="17"/>
      <c r="J289" s="17"/>
      <c r="K289" s="17"/>
      <c r="L289" s="17"/>
    </row>
    <row r="290" ht="15.75" customHeight="1">
      <c r="A290" s="16"/>
      <c r="B290" s="16"/>
      <c r="I290" s="17"/>
      <c r="J290" s="17"/>
      <c r="K290" s="17"/>
      <c r="L290" s="17"/>
    </row>
    <row r="291" ht="15.75" customHeight="1">
      <c r="A291" s="16"/>
      <c r="B291" s="16"/>
      <c r="I291" s="17"/>
      <c r="J291" s="17"/>
      <c r="K291" s="17"/>
      <c r="L291" s="17"/>
    </row>
    <row r="292" ht="15.75" customHeight="1">
      <c r="A292" s="16"/>
      <c r="B292" s="16"/>
      <c r="I292" s="17"/>
      <c r="J292" s="17"/>
      <c r="K292" s="17"/>
      <c r="L292" s="17"/>
    </row>
    <row r="293" ht="15.75" customHeight="1">
      <c r="A293" s="16"/>
      <c r="B293" s="16"/>
      <c r="I293" s="17"/>
      <c r="J293" s="17"/>
      <c r="K293" s="17"/>
      <c r="L293" s="17"/>
    </row>
    <row r="294" ht="15.75" customHeight="1">
      <c r="A294" s="16"/>
      <c r="B294" s="16"/>
      <c r="I294" s="17"/>
      <c r="J294" s="17"/>
      <c r="K294" s="17"/>
      <c r="L294" s="17"/>
    </row>
    <row r="295" ht="15.75" customHeight="1">
      <c r="A295" s="16"/>
      <c r="B295" s="16"/>
      <c r="I295" s="17"/>
      <c r="J295" s="17"/>
      <c r="K295" s="17"/>
      <c r="L295" s="17"/>
    </row>
    <row r="296" ht="15.75" customHeight="1">
      <c r="A296" s="16"/>
      <c r="B296" s="16"/>
      <c r="I296" s="17"/>
      <c r="J296" s="17"/>
      <c r="K296" s="17"/>
      <c r="L296" s="17"/>
    </row>
    <row r="297" ht="15.75" customHeight="1">
      <c r="A297" s="16"/>
      <c r="B297" s="16"/>
      <c r="I297" s="17"/>
      <c r="J297" s="17"/>
      <c r="K297" s="17"/>
      <c r="L297" s="17"/>
    </row>
    <row r="298" ht="15.75" customHeight="1">
      <c r="A298" s="16"/>
      <c r="B298" s="16"/>
      <c r="I298" s="17"/>
      <c r="J298" s="17"/>
      <c r="K298" s="17"/>
      <c r="L298" s="17"/>
    </row>
    <row r="299" ht="15.75" customHeight="1">
      <c r="A299" s="16"/>
      <c r="B299" s="16"/>
      <c r="I299" s="17"/>
      <c r="J299" s="17"/>
      <c r="K299" s="17"/>
      <c r="L299" s="17"/>
    </row>
    <row r="300" ht="15.75" customHeight="1">
      <c r="A300" s="16"/>
      <c r="B300" s="16"/>
      <c r="I300" s="17"/>
      <c r="J300" s="17"/>
      <c r="K300" s="17"/>
      <c r="L300" s="17"/>
    </row>
    <row r="301" ht="15.75" customHeight="1">
      <c r="A301" s="16"/>
      <c r="B301" s="16"/>
      <c r="I301" s="17"/>
      <c r="J301" s="17"/>
      <c r="K301" s="17"/>
      <c r="L301" s="17"/>
    </row>
    <row r="302" ht="15.75" customHeight="1">
      <c r="A302" s="16"/>
      <c r="B302" s="16"/>
      <c r="I302" s="17"/>
      <c r="J302" s="17"/>
      <c r="K302" s="17"/>
      <c r="L302" s="17"/>
    </row>
    <row r="303" ht="15.75" customHeight="1">
      <c r="A303" s="16"/>
      <c r="B303" s="16"/>
      <c r="I303" s="17"/>
      <c r="J303" s="17"/>
      <c r="K303" s="17"/>
      <c r="L303" s="17"/>
    </row>
    <row r="304" ht="15.75" customHeight="1">
      <c r="A304" s="16"/>
      <c r="B304" s="16"/>
      <c r="I304" s="17"/>
      <c r="J304" s="17"/>
      <c r="K304" s="17"/>
      <c r="L304" s="17"/>
    </row>
    <row r="305" ht="15.75" customHeight="1">
      <c r="A305" s="16"/>
      <c r="B305" s="16"/>
      <c r="I305" s="17"/>
      <c r="J305" s="17"/>
      <c r="K305" s="17"/>
      <c r="L305" s="17"/>
    </row>
    <row r="306" ht="15.75" customHeight="1">
      <c r="A306" s="16"/>
      <c r="B306" s="16"/>
      <c r="I306" s="17"/>
      <c r="J306" s="17"/>
      <c r="K306" s="17"/>
      <c r="L306" s="17"/>
    </row>
    <row r="307" ht="15.75" customHeight="1">
      <c r="A307" s="16"/>
      <c r="B307" s="16"/>
      <c r="I307" s="17"/>
      <c r="J307" s="17"/>
      <c r="K307" s="17"/>
      <c r="L307" s="17"/>
    </row>
    <row r="308" ht="15.75" customHeight="1">
      <c r="A308" s="16"/>
      <c r="B308" s="16"/>
      <c r="I308" s="17"/>
      <c r="J308" s="17"/>
      <c r="K308" s="17"/>
      <c r="L308" s="17"/>
    </row>
    <row r="309" ht="15.75" customHeight="1">
      <c r="A309" s="16"/>
      <c r="B309" s="16"/>
      <c r="I309" s="17"/>
      <c r="J309" s="17"/>
      <c r="K309" s="17"/>
      <c r="L309" s="17"/>
    </row>
    <row r="310" ht="15.75" customHeight="1">
      <c r="A310" s="16"/>
      <c r="B310" s="16"/>
      <c r="I310" s="17"/>
      <c r="J310" s="17"/>
      <c r="K310" s="17"/>
      <c r="L310" s="17"/>
    </row>
    <row r="311" ht="15.75" customHeight="1">
      <c r="A311" s="16"/>
      <c r="B311" s="16"/>
      <c r="I311" s="17"/>
      <c r="J311" s="17"/>
      <c r="K311" s="17"/>
      <c r="L311" s="17"/>
    </row>
    <row r="312" ht="15.75" customHeight="1">
      <c r="A312" s="16"/>
      <c r="B312" s="16"/>
      <c r="I312" s="17"/>
      <c r="J312" s="17"/>
      <c r="K312" s="17"/>
      <c r="L312" s="17"/>
    </row>
    <row r="313" ht="15.75" customHeight="1">
      <c r="A313" s="16"/>
      <c r="B313" s="16"/>
      <c r="I313" s="17"/>
      <c r="J313" s="17"/>
      <c r="K313" s="17"/>
      <c r="L313" s="17"/>
    </row>
    <row r="314" ht="15.75" customHeight="1">
      <c r="A314" s="16"/>
      <c r="B314" s="16"/>
      <c r="I314" s="17"/>
      <c r="J314" s="17"/>
      <c r="K314" s="17"/>
      <c r="L314" s="17"/>
    </row>
    <row r="315" ht="15.75" customHeight="1">
      <c r="A315" s="16"/>
      <c r="B315" s="16"/>
      <c r="I315" s="17"/>
      <c r="J315" s="17"/>
      <c r="K315" s="17"/>
      <c r="L315" s="17"/>
    </row>
    <row r="316" ht="15.75" customHeight="1">
      <c r="A316" s="16"/>
      <c r="B316" s="16"/>
      <c r="I316" s="17"/>
      <c r="J316" s="17"/>
      <c r="K316" s="17"/>
      <c r="L316" s="17"/>
    </row>
    <row r="317" ht="15.75" customHeight="1">
      <c r="A317" s="16"/>
      <c r="B317" s="16"/>
      <c r="I317" s="17"/>
      <c r="J317" s="17"/>
      <c r="K317" s="17"/>
      <c r="L317" s="17"/>
    </row>
    <row r="318" ht="15.75" customHeight="1">
      <c r="A318" s="16"/>
      <c r="B318" s="16"/>
      <c r="I318" s="17"/>
      <c r="J318" s="17"/>
      <c r="K318" s="17"/>
      <c r="L318" s="17"/>
    </row>
    <row r="319" ht="15.75" customHeight="1">
      <c r="A319" s="16"/>
      <c r="B319" s="16"/>
      <c r="I319" s="17"/>
      <c r="J319" s="17"/>
      <c r="K319" s="17"/>
      <c r="L319" s="17"/>
    </row>
    <row r="320" ht="15.75" customHeight="1">
      <c r="A320" s="16"/>
      <c r="B320" s="16"/>
      <c r="I320" s="17"/>
      <c r="J320" s="17"/>
      <c r="K320" s="17"/>
      <c r="L320" s="17"/>
    </row>
    <row r="321" ht="15.75" customHeight="1">
      <c r="A321" s="16"/>
      <c r="B321" s="16"/>
      <c r="I321" s="17"/>
      <c r="J321" s="17"/>
      <c r="K321" s="17"/>
      <c r="L321" s="17"/>
    </row>
    <row r="322" ht="15.75" customHeight="1">
      <c r="A322" s="16"/>
      <c r="B322" s="16"/>
      <c r="I322" s="17"/>
      <c r="J322" s="17"/>
      <c r="K322" s="17"/>
      <c r="L322" s="17"/>
    </row>
    <row r="323" ht="15.75" customHeight="1">
      <c r="A323" s="16"/>
      <c r="B323" s="16"/>
      <c r="I323" s="17"/>
      <c r="J323" s="17"/>
      <c r="K323" s="17"/>
      <c r="L323" s="17"/>
    </row>
    <row r="324" ht="15.75" customHeight="1">
      <c r="A324" s="16"/>
      <c r="B324" s="16"/>
      <c r="I324" s="17"/>
      <c r="J324" s="17"/>
      <c r="K324" s="17"/>
      <c r="L324" s="17"/>
    </row>
    <row r="325" ht="15.75" customHeight="1">
      <c r="A325" s="16"/>
      <c r="B325" s="16"/>
      <c r="I325" s="17"/>
      <c r="J325" s="17"/>
      <c r="K325" s="17"/>
      <c r="L325" s="17"/>
    </row>
    <row r="326" ht="15.75" customHeight="1">
      <c r="A326" s="16"/>
      <c r="B326" s="16"/>
      <c r="I326" s="17"/>
      <c r="J326" s="17"/>
      <c r="K326" s="17"/>
      <c r="L326" s="17"/>
    </row>
    <row r="327" ht="15.75" customHeight="1">
      <c r="A327" s="16"/>
      <c r="B327" s="16"/>
      <c r="I327" s="17"/>
      <c r="J327" s="17"/>
      <c r="K327" s="17"/>
      <c r="L327" s="17"/>
    </row>
    <row r="328" ht="15.75" customHeight="1">
      <c r="A328" s="16"/>
      <c r="B328" s="16"/>
      <c r="I328" s="17"/>
      <c r="J328" s="17"/>
      <c r="K328" s="17"/>
      <c r="L328" s="17"/>
    </row>
    <row r="329" ht="15.75" customHeight="1">
      <c r="A329" s="16"/>
      <c r="B329" s="16"/>
      <c r="I329" s="17"/>
      <c r="J329" s="17"/>
      <c r="K329" s="17"/>
      <c r="L329" s="17"/>
    </row>
    <row r="330" ht="15.75" customHeight="1">
      <c r="A330" s="16"/>
      <c r="B330" s="16"/>
      <c r="I330" s="17"/>
      <c r="J330" s="17"/>
      <c r="K330" s="17"/>
      <c r="L330" s="17"/>
    </row>
    <row r="331" ht="15.75" customHeight="1">
      <c r="A331" s="16"/>
      <c r="B331" s="16"/>
      <c r="I331" s="17"/>
      <c r="J331" s="17"/>
      <c r="K331" s="17"/>
      <c r="L331" s="17"/>
    </row>
    <row r="332" ht="15.75" customHeight="1">
      <c r="A332" s="16"/>
      <c r="B332" s="16"/>
      <c r="I332" s="17"/>
      <c r="J332" s="17"/>
      <c r="K332" s="17"/>
      <c r="L332" s="17"/>
    </row>
    <row r="333" ht="15.75" customHeight="1">
      <c r="A333" s="16"/>
      <c r="B333" s="16"/>
      <c r="I333" s="17"/>
      <c r="J333" s="17"/>
      <c r="K333" s="17"/>
      <c r="L333" s="17"/>
    </row>
    <row r="334" ht="15.75" customHeight="1">
      <c r="A334" s="16"/>
      <c r="B334" s="16"/>
      <c r="I334" s="17"/>
      <c r="J334" s="17"/>
      <c r="K334" s="17"/>
      <c r="L334" s="17"/>
    </row>
    <row r="335" ht="15.75" customHeight="1">
      <c r="A335" s="16"/>
      <c r="B335" s="16"/>
      <c r="I335" s="17"/>
      <c r="J335" s="17"/>
      <c r="K335" s="17"/>
      <c r="L335" s="17"/>
    </row>
    <row r="336" ht="15.75" customHeight="1">
      <c r="A336" s="16"/>
      <c r="B336" s="16"/>
      <c r="I336" s="17"/>
      <c r="J336" s="17"/>
      <c r="K336" s="17"/>
      <c r="L336" s="17"/>
    </row>
    <row r="337" ht="15.75" customHeight="1">
      <c r="A337" s="16"/>
      <c r="B337" s="16"/>
      <c r="I337" s="17"/>
      <c r="J337" s="17"/>
      <c r="K337" s="17"/>
      <c r="L337" s="17"/>
    </row>
    <row r="338" ht="15.75" customHeight="1">
      <c r="A338" s="16"/>
      <c r="B338" s="16"/>
      <c r="I338" s="17"/>
      <c r="J338" s="17"/>
      <c r="K338" s="17"/>
      <c r="L338" s="17"/>
    </row>
    <row r="339" ht="15.75" customHeight="1">
      <c r="A339" s="16"/>
      <c r="B339" s="16"/>
      <c r="I339" s="17"/>
      <c r="J339" s="17"/>
      <c r="K339" s="17"/>
      <c r="L339" s="17"/>
    </row>
    <row r="340" ht="15.75" customHeight="1">
      <c r="A340" s="16"/>
      <c r="B340" s="16"/>
      <c r="I340" s="17"/>
      <c r="J340" s="17"/>
      <c r="K340" s="17"/>
      <c r="L340" s="17"/>
    </row>
    <row r="341" ht="15.75" customHeight="1">
      <c r="A341" s="16"/>
      <c r="B341" s="16"/>
      <c r="I341" s="17"/>
      <c r="J341" s="17"/>
      <c r="K341" s="17"/>
      <c r="L341" s="17"/>
    </row>
    <row r="342" ht="15.75" customHeight="1">
      <c r="A342" s="16"/>
      <c r="B342" s="16"/>
      <c r="I342" s="17"/>
      <c r="J342" s="17"/>
      <c r="K342" s="17"/>
      <c r="L342" s="17"/>
    </row>
    <row r="343" ht="15.75" customHeight="1">
      <c r="A343" s="16"/>
      <c r="B343" s="16"/>
      <c r="I343" s="17"/>
      <c r="J343" s="17"/>
      <c r="K343" s="17"/>
      <c r="L343" s="17"/>
    </row>
    <row r="344" ht="15.75" customHeight="1">
      <c r="A344" s="16"/>
      <c r="B344" s="16"/>
      <c r="I344" s="17"/>
      <c r="J344" s="17"/>
      <c r="K344" s="17"/>
      <c r="L344" s="17"/>
    </row>
    <row r="345" ht="15.75" customHeight="1">
      <c r="A345" s="16"/>
      <c r="B345" s="16"/>
      <c r="I345" s="17"/>
      <c r="J345" s="17"/>
      <c r="K345" s="17"/>
      <c r="L345" s="17"/>
    </row>
    <row r="346" ht="15.75" customHeight="1">
      <c r="A346" s="16"/>
      <c r="B346" s="16"/>
      <c r="I346" s="17"/>
      <c r="J346" s="17"/>
      <c r="K346" s="17"/>
      <c r="L346" s="17"/>
    </row>
    <row r="347" ht="15.75" customHeight="1">
      <c r="A347" s="16"/>
      <c r="B347" s="16"/>
      <c r="I347" s="17"/>
      <c r="J347" s="17"/>
      <c r="K347" s="17"/>
      <c r="L347" s="17"/>
    </row>
    <row r="348" ht="15.75" customHeight="1">
      <c r="A348" s="16"/>
      <c r="B348" s="16"/>
      <c r="I348" s="17"/>
      <c r="J348" s="17"/>
      <c r="K348" s="17"/>
      <c r="L348" s="17"/>
    </row>
    <row r="349" ht="15.75" customHeight="1">
      <c r="A349" s="16"/>
      <c r="B349" s="16"/>
      <c r="I349" s="17"/>
      <c r="J349" s="17"/>
      <c r="K349" s="17"/>
      <c r="L349" s="17"/>
    </row>
    <row r="350" ht="15.75" customHeight="1">
      <c r="A350" s="16"/>
      <c r="B350" s="16"/>
      <c r="I350" s="17"/>
      <c r="J350" s="17"/>
      <c r="K350" s="17"/>
      <c r="L350" s="17"/>
    </row>
    <row r="351" ht="15.75" customHeight="1">
      <c r="A351" s="16"/>
      <c r="B351" s="16"/>
      <c r="I351" s="17"/>
      <c r="J351" s="17"/>
      <c r="K351" s="17"/>
      <c r="L351" s="17"/>
    </row>
    <row r="352" ht="15.75" customHeight="1">
      <c r="A352" s="16"/>
      <c r="B352" s="16"/>
      <c r="I352" s="17"/>
      <c r="J352" s="17"/>
      <c r="K352" s="17"/>
      <c r="L352" s="17"/>
    </row>
    <row r="353" ht="15.75" customHeight="1">
      <c r="A353" s="16"/>
      <c r="B353" s="16"/>
      <c r="I353" s="17"/>
      <c r="J353" s="17"/>
      <c r="K353" s="17"/>
      <c r="L353" s="17"/>
    </row>
    <row r="354" ht="15.75" customHeight="1">
      <c r="A354" s="16"/>
      <c r="B354" s="16"/>
      <c r="I354" s="17"/>
      <c r="J354" s="17"/>
      <c r="K354" s="17"/>
      <c r="L354" s="17"/>
    </row>
    <row r="355" ht="15.75" customHeight="1">
      <c r="A355" s="16"/>
      <c r="B355" s="16"/>
      <c r="I355" s="17"/>
      <c r="J355" s="17"/>
      <c r="K355" s="17"/>
      <c r="L355" s="17"/>
    </row>
    <row r="356" ht="15.75" customHeight="1">
      <c r="A356" s="16"/>
      <c r="B356" s="16"/>
      <c r="I356" s="17"/>
      <c r="J356" s="17"/>
      <c r="K356" s="17"/>
      <c r="L356" s="17"/>
    </row>
    <row r="357" ht="15.75" customHeight="1">
      <c r="A357" s="16"/>
      <c r="B357" s="16"/>
      <c r="I357" s="17"/>
      <c r="J357" s="17"/>
      <c r="K357" s="17"/>
      <c r="L357" s="17"/>
    </row>
    <row r="358" ht="15.75" customHeight="1">
      <c r="A358" s="16"/>
      <c r="B358" s="16"/>
      <c r="I358" s="17"/>
      <c r="J358" s="17"/>
      <c r="K358" s="17"/>
      <c r="L358" s="17"/>
    </row>
    <row r="359" ht="15.75" customHeight="1">
      <c r="A359" s="16"/>
      <c r="B359" s="16"/>
      <c r="I359" s="17"/>
      <c r="J359" s="17"/>
      <c r="K359" s="17"/>
      <c r="L359" s="17"/>
    </row>
    <row r="360" ht="15.75" customHeight="1">
      <c r="A360" s="16"/>
      <c r="B360" s="16"/>
      <c r="I360" s="17"/>
      <c r="J360" s="17"/>
      <c r="K360" s="17"/>
      <c r="L360" s="17"/>
    </row>
    <row r="361" ht="15.75" customHeight="1">
      <c r="A361" s="16"/>
      <c r="B361" s="16"/>
      <c r="I361" s="17"/>
      <c r="J361" s="17"/>
      <c r="K361" s="17"/>
      <c r="L361" s="17"/>
    </row>
    <row r="362" ht="15.75" customHeight="1">
      <c r="A362" s="16"/>
      <c r="B362" s="16"/>
      <c r="I362" s="17"/>
      <c r="J362" s="17"/>
      <c r="K362" s="17"/>
      <c r="L362" s="17"/>
    </row>
    <row r="363" ht="15.75" customHeight="1">
      <c r="A363" s="16"/>
      <c r="B363" s="16"/>
      <c r="I363" s="17"/>
      <c r="J363" s="17"/>
      <c r="K363" s="17"/>
      <c r="L363" s="17"/>
    </row>
    <row r="364" ht="15.75" customHeight="1">
      <c r="A364" s="16"/>
      <c r="B364" s="16"/>
      <c r="I364" s="17"/>
      <c r="J364" s="17"/>
      <c r="K364" s="17"/>
      <c r="L364" s="17"/>
    </row>
    <row r="365" ht="15.75" customHeight="1">
      <c r="A365" s="16"/>
      <c r="B365" s="16"/>
      <c r="I365" s="17"/>
      <c r="J365" s="17"/>
      <c r="K365" s="17"/>
      <c r="L365" s="17"/>
    </row>
    <row r="366" ht="15.75" customHeight="1">
      <c r="A366" s="16"/>
      <c r="B366" s="16"/>
      <c r="I366" s="17"/>
      <c r="J366" s="17"/>
      <c r="K366" s="17"/>
      <c r="L366" s="17"/>
    </row>
    <row r="367" ht="15.75" customHeight="1">
      <c r="A367" s="16"/>
      <c r="B367" s="16"/>
      <c r="I367" s="17"/>
      <c r="J367" s="17"/>
      <c r="K367" s="17"/>
      <c r="L367" s="17"/>
    </row>
    <row r="368" ht="15.75" customHeight="1">
      <c r="A368" s="16"/>
      <c r="B368" s="16"/>
      <c r="I368" s="17"/>
      <c r="J368" s="17"/>
      <c r="K368" s="17"/>
      <c r="L368" s="17"/>
    </row>
    <row r="369" ht="15.75" customHeight="1">
      <c r="A369" s="16"/>
      <c r="B369" s="16"/>
      <c r="I369" s="17"/>
      <c r="J369" s="17"/>
      <c r="K369" s="17"/>
      <c r="L369" s="17"/>
    </row>
    <row r="370" ht="15.75" customHeight="1">
      <c r="A370" s="16"/>
      <c r="B370" s="16"/>
      <c r="I370" s="17"/>
      <c r="J370" s="17"/>
      <c r="K370" s="17"/>
      <c r="L370" s="17"/>
    </row>
    <row r="371" ht="15.75" customHeight="1">
      <c r="A371" s="16"/>
      <c r="B371" s="16"/>
      <c r="I371" s="17"/>
      <c r="J371" s="17"/>
      <c r="K371" s="17"/>
      <c r="L371" s="17"/>
    </row>
    <row r="372" ht="15.75" customHeight="1">
      <c r="A372" s="16"/>
      <c r="B372" s="16"/>
      <c r="I372" s="17"/>
      <c r="J372" s="17"/>
      <c r="K372" s="17"/>
      <c r="L372" s="17"/>
    </row>
    <row r="373" ht="15.75" customHeight="1">
      <c r="A373" s="16"/>
      <c r="B373" s="16"/>
      <c r="I373" s="17"/>
      <c r="J373" s="17"/>
      <c r="K373" s="17"/>
      <c r="L373" s="17"/>
    </row>
    <row r="374" ht="15.75" customHeight="1">
      <c r="A374" s="16"/>
      <c r="B374" s="16"/>
      <c r="I374" s="17"/>
      <c r="J374" s="17"/>
      <c r="K374" s="17"/>
      <c r="L374" s="17"/>
    </row>
    <row r="375" ht="15.75" customHeight="1">
      <c r="A375" s="16"/>
      <c r="B375" s="16"/>
      <c r="I375" s="17"/>
      <c r="J375" s="17"/>
      <c r="K375" s="17"/>
      <c r="L375" s="17"/>
    </row>
    <row r="376" ht="15.75" customHeight="1">
      <c r="A376" s="16"/>
      <c r="B376" s="16"/>
      <c r="I376" s="17"/>
      <c r="J376" s="17"/>
      <c r="K376" s="17"/>
      <c r="L376" s="17"/>
    </row>
    <row r="377" ht="15.75" customHeight="1">
      <c r="A377" s="16"/>
      <c r="B377" s="16"/>
      <c r="I377" s="17"/>
      <c r="J377" s="17"/>
      <c r="K377" s="17"/>
      <c r="L377" s="17"/>
    </row>
    <row r="378" ht="15.75" customHeight="1">
      <c r="A378" s="16"/>
      <c r="B378" s="16"/>
      <c r="I378" s="17"/>
      <c r="J378" s="17"/>
      <c r="K378" s="17"/>
      <c r="L378" s="17"/>
    </row>
    <row r="379" ht="15.75" customHeight="1">
      <c r="A379" s="16"/>
      <c r="B379" s="16"/>
      <c r="I379" s="17"/>
      <c r="J379" s="17"/>
      <c r="K379" s="17"/>
      <c r="L379" s="17"/>
    </row>
    <row r="380" ht="15.75" customHeight="1">
      <c r="A380" s="16"/>
      <c r="B380" s="16"/>
      <c r="I380" s="17"/>
      <c r="J380" s="17"/>
      <c r="K380" s="17"/>
      <c r="L380" s="17"/>
    </row>
    <row r="381" ht="15.75" customHeight="1">
      <c r="A381" s="16"/>
      <c r="B381" s="16"/>
      <c r="I381" s="17"/>
      <c r="J381" s="17"/>
      <c r="K381" s="17"/>
      <c r="L381" s="17"/>
    </row>
    <row r="382" ht="15.75" customHeight="1">
      <c r="A382" s="16"/>
      <c r="B382" s="16"/>
      <c r="I382" s="17"/>
      <c r="J382" s="17"/>
      <c r="K382" s="17"/>
      <c r="L382" s="17"/>
    </row>
    <row r="383" ht="15.75" customHeight="1">
      <c r="A383" s="16"/>
      <c r="B383" s="16"/>
      <c r="I383" s="17"/>
      <c r="J383" s="17"/>
      <c r="K383" s="17"/>
      <c r="L383" s="17"/>
    </row>
    <row r="384" ht="15.75" customHeight="1">
      <c r="A384" s="16"/>
      <c r="B384" s="16"/>
      <c r="I384" s="17"/>
      <c r="J384" s="17"/>
      <c r="K384" s="17"/>
      <c r="L384" s="17"/>
    </row>
    <row r="385" ht="15.75" customHeight="1">
      <c r="A385" s="16"/>
      <c r="B385" s="16"/>
      <c r="I385" s="17"/>
      <c r="J385" s="17"/>
      <c r="K385" s="17"/>
      <c r="L385" s="17"/>
    </row>
    <row r="386" ht="15.75" customHeight="1">
      <c r="A386" s="16"/>
      <c r="B386" s="16"/>
      <c r="I386" s="17"/>
      <c r="J386" s="17"/>
      <c r="K386" s="17"/>
      <c r="L386" s="17"/>
    </row>
    <row r="387" ht="15.75" customHeight="1">
      <c r="A387" s="16"/>
      <c r="B387" s="16"/>
      <c r="I387" s="17"/>
      <c r="J387" s="17"/>
      <c r="K387" s="17"/>
      <c r="L387" s="17"/>
    </row>
    <row r="388" ht="15.75" customHeight="1">
      <c r="A388" s="16"/>
      <c r="B388" s="16"/>
      <c r="I388" s="17"/>
      <c r="J388" s="17"/>
      <c r="K388" s="17"/>
      <c r="L388" s="17"/>
    </row>
    <row r="389" ht="15.75" customHeight="1">
      <c r="A389" s="16"/>
      <c r="B389" s="16"/>
      <c r="I389" s="17"/>
      <c r="J389" s="17"/>
      <c r="K389" s="17"/>
      <c r="L389" s="17"/>
    </row>
    <row r="390" ht="15.75" customHeight="1">
      <c r="A390" s="16"/>
      <c r="B390" s="16"/>
      <c r="I390" s="17"/>
      <c r="J390" s="17"/>
      <c r="K390" s="17"/>
      <c r="L390" s="17"/>
    </row>
    <row r="391" ht="15.75" customHeight="1">
      <c r="A391" s="16"/>
      <c r="B391" s="16"/>
      <c r="I391" s="17"/>
      <c r="J391" s="17"/>
      <c r="K391" s="17"/>
      <c r="L391" s="17"/>
    </row>
    <row r="392" ht="15.75" customHeight="1">
      <c r="A392" s="16"/>
      <c r="B392" s="16"/>
      <c r="I392" s="17"/>
      <c r="J392" s="17"/>
      <c r="K392" s="17"/>
      <c r="L392" s="17"/>
    </row>
    <row r="393" ht="15.75" customHeight="1">
      <c r="A393" s="16"/>
      <c r="B393" s="16"/>
      <c r="I393" s="17"/>
      <c r="J393" s="17"/>
      <c r="K393" s="17"/>
      <c r="L393" s="17"/>
    </row>
    <row r="394" ht="15.75" customHeight="1">
      <c r="A394" s="16"/>
      <c r="B394" s="16"/>
      <c r="I394" s="17"/>
      <c r="J394" s="17"/>
      <c r="K394" s="17"/>
      <c r="L394" s="17"/>
    </row>
    <row r="395" ht="15.75" customHeight="1">
      <c r="A395" s="16"/>
      <c r="B395" s="16"/>
      <c r="I395" s="17"/>
      <c r="J395" s="17"/>
      <c r="K395" s="17"/>
      <c r="L395" s="17"/>
    </row>
    <row r="396" ht="15.75" customHeight="1">
      <c r="A396" s="16"/>
      <c r="B396" s="16"/>
      <c r="I396" s="17"/>
      <c r="J396" s="17"/>
      <c r="K396" s="17"/>
      <c r="L396" s="17"/>
    </row>
    <row r="397" ht="15.75" customHeight="1">
      <c r="A397" s="16"/>
      <c r="B397" s="16"/>
      <c r="I397" s="17"/>
      <c r="J397" s="17"/>
      <c r="K397" s="17"/>
      <c r="L397" s="17"/>
    </row>
    <row r="398" ht="15.75" customHeight="1">
      <c r="A398" s="16"/>
      <c r="B398" s="16"/>
      <c r="I398" s="17"/>
      <c r="J398" s="17"/>
      <c r="K398" s="17"/>
      <c r="L398" s="17"/>
    </row>
    <row r="399" ht="15.75" customHeight="1">
      <c r="A399" s="16"/>
      <c r="B399" s="16"/>
      <c r="I399" s="17"/>
      <c r="J399" s="17"/>
      <c r="K399" s="17"/>
      <c r="L399" s="17"/>
    </row>
    <row r="400" ht="15.75" customHeight="1">
      <c r="A400" s="16"/>
      <c r="B400" s="16"/>
      <c r="I400" s="17"/>
      <c r="J400" s="17"/>
      <c r="K400" s="17"/>
      <c r="L400" s="17"/>
    </row>
    <row r="401" ht="15.75" customHeight="1">
      <c r="A401" s="16"/>
      <c r="B401" s="16"/>
      <c r="I401" s="17"/>
      <c r="J401" s="17"/>
      <c r="K401" s="17"/>
      <c r="L401" s="17"/>
    </row>
    <row r="402" ht="15.75" customHeight="1">
      <c r="A402" s="16"/>
      <c r="B402" s="16"/>
      <c r="I402" s="17"/>
      <c r="J402" s="17"/>
      <c r="K402" s="17"/>
      <c r="L402" s="17"/>
    </row>
    <row r="403" ht="15.75" customHeight="1">
      <c r="A403" s="16"/>
      <c r="B403" s="16"/>
      <c r="I403" s="17"/>
      <c r="J403" s="17"/>
      <c r="K403" s="17"/>
      <c r="L403" s="17"/>
    </row>
    <row r="404" ht="15.75" customHeight="1">
      <c r="A404" s="16"/>
      <c r="B404" s="16"/>
      <c r="I404" s="17"/>
      <c r="J404" s="17"/>
      <c r="K404" s="17"/>
      <c r="L404" s="17"/>
    </row>
    <row r="405" ht="15.75" customHeight="1">
      <c r="A405" s="16"/>
      <c r="B405" s="16"/>
      <c r="I405" s="17"/>
      <c r="J405" s="17"/>
      <c r="K405" s="17"/>
      <c r="L405" s="17"/>
    </row>
    <row r="406" ht="15.75" customHeight="1">
      <c r="A406" s="16"/>
      <c r="B406" s="16"/>
      <c r="I406" s="17"/>
      <c r="J406" s="17"/>
      <c r="K406" s="17"/>
      <c r="L406" s="17"/>
    </row>
    <row r="407" ht="15.75" customHeight="1">
      <c r="A407" s="16"/>
      <c r="B407" s="16"/>
      <c r="I407" s="17"/>
      <c r="J407" s="17"/>
      <c r="K407" s="17"/>
      <c r="L407" s="17"/>
    </row>
    <row r="408" ht="15.75" customHeight="1">
      <c r="A408" s="16"/>
      <c r="B408" s="16"/>
      <c r="I408" s="17"/>
      <c r="J408" s="17"/>
      <c r="K408" s="17"/>
      <c r="L408" s="17"/>
    </row>
    <row r="409" ht="15.75" customHeight="1">
      <c r="A409" s="16"/>
      <c r="B409" s="16"/>
      <c r="I409" s="17"/>
      <c r="J409" s="17"/>
      <c r="K409" s="17"/>
      <c r="L409" s="17"/>
    </row>
    <row r="410" ht="15.75" customHeight="1">
      <c r="A410" s="16"/>
      <c r="B410" s="16"/>
      <c r="I410" s="17"/>
      <c r="J410" s="17"/>
      <c r="K410" s="17"/>
      <c r="L410" s="17"/>
    </row>
    <row r="411" ht="15.75" customHeight="1">
      <c r="A411" s="16"/>
      <c r="B411" s="16"/>
      <c r="I411" s="17"/>
      <c r="J411" s="17"/>
      <c r="K411" s="17"/>
      <c r="L411" s="17"/>
    </row>
    <row r="412" ht="15.75" customHeight="1">
      <c r="A412" s="16"/>
      <c r="B412" s="16"/>
      <c r="I412" s="17"/>
      <c r="J412" s="17"/>
      <c r="K412" s="17"/>
      <c r="L412" s="17"/>
    </row>
    <row r="413" ht="15.75" customHeight="1">
      <c r="A413" s="16"/>
      <c r="B413" s="16"/>
      <c r="I413" s="17"/>
      <c r="J413" s="17"/>
      <c r="K413" s="17"/>
      <c r="L413" s="17"/>
    </row>
    <row r="414" ht="15.75" customHeight="1">
      <c r="A414" s="16"/>
      <c r="B414" s="16"/>
      <c r="I414" s="17"/>
      <c r="J414" s="17"/>
      <c r="K414" s="17"/>
      <c r="L414" s="17"/>
    </row>
    <row r="415" ht="15.75" customHeight="1">
      <c r="A415" s="16"/>
      <c r="B415" s="16"/>
      <c r="I415" s="17"/>
      <c r="J415" s="17"/>
      <c r="K415" s="17"/>
      <c r="L415" s="17"/>
    </row>
    <row r="416" ht="15.75" customHeight="1">
      <c r="A416" s="16"/>
      <c r="B416" s="16"/>
      <c r="I416" s="17"/>
      <c r="J416" s="17"/>
      <c r="K416" s="17"/>
      <c r="L416" s="17"/>
    </row>
    <row r="417" ht="15.75" customHeight="1">
      <c r="A417" s="16"/>
      <c r="B417" s="16"/>
      <c r="I417" s="17"/>
      <c r="J417" s="17"/>
      <c r="K417" s="17"/>
      <c r="L417" s="17"/>
    </row>
    <row r="418" ht="15.75" customHeight="1">
      <c r="A418" s="16"/>
      <c r="B418" s="16"/>
      <c r="I418" s="17"/>
      <c r="J418" s="17"/>
      <c r="K418" s="17"/>
      <c r="L418" s="17"/>
    </row>
    <row r="419" ht="15.75" customHeight="1">
      <c r="A419" s="16"/>
      <c r="B419" s="16"/>
      <c r="I419" s="17"/>
      <c r="J419" s="17"/>
      <c r="K419" s="17"/>
      <c r="L419" s="17"/>
    </row>
    <row r="420" ht="15.75" customHeight="1">
      <c r="A420" s="16"/>
      <c r="B420" s="16"/>
      <c r="I420" s="17"/>
      <c r="J420" s="17"/>
      <c r="K420" s="17"/>
      <c r="L420" s="17"/>
    </row>
    <row r="421" ht="15.75" customHeight="1">
      <c r="A421" s="16"/>
      <c r="B421" s="16"/>
      <c r="I421" s="17"/>
      <c r="J421" s="17"/>
      <c r="K421" s="17"/>
      <c r="L421" s="17"/>
    </row>
    <row r="422" ht="15.75" customHeight="1">
      <c r="A422" s="16"/>
      <c r="B422" s="16"/>
      <c r="I422" s="17"/>
      <c r="J422" s="17"/>
      <c r="K422" s="17"/>
      <c r="L422" s="17"/>
    </row>
    <row r="423" ht="15.75" customHeight="1">
      <c r="A423" s="16"/>
      <c r="B423" s="16"/>
      <c r="I423" s="17"/>
      <c r="J423" s="17"/>
      <c r="K423" s="17"/>
      <c r="L423" s="17"/>
    </row>
    <row r="424" ht="15.75" customHeight="1">
      <c r="A424" s="16"/>
      <c r="B424" s="16"/>
      <c r="I424" s="17"/>
      <c r="J424" s="17"/>
      <c r="K424" s="17"/>
      <c r="L424" s="17"/>
    </row>
    <row r="425" ht="15.75" customHeight="1">
      <c r="A425" s="16"/>
      <c r="B425" s="16"/>
      <c r="I425" s="17"/>
      <c r="J425" s="17"/>
      <c r="K425" s="17"/>
      <c r="L425" s="17"/>
    </row>
    <row r="426" ht="15.75" customHeight="1">
      <c r="A426" s="16"/>
      <c r="B426" s="16"/>
      <c r="I426" s="17"/>
      <c r="J426" s="17"/>
      <c r="K426" s="17"/>
      <c r="L426" s="17"/>
    </row>
    <row r="427" ht="15.75" customHeight="1">
      <c r="A427" s="16"/>
      <c r="B427" s="16"/>
      <c r="I427" s="17"/>
      <c r="J427" s="17"/>
      <c r="K427" s="17"/>
      <c r="L427" s="17"/>
    </row>
    <row r="428" ht="15.75" customHeight="1">
      <c r="A428" s="16"/>
      <c r="B428" s="16"/>
      <c r="I428" s="17"/>
      <c r="J428" s="17"/>
      <c r="K428" s="17"/>
      <c r="L428" s="17"/>
    </row>
    <row r="429" ht="15.75" customHeight="1">
      <c r="A429" s="16"/>
      <c r="B429" s="16"/>
      <c r="I429" s="17"/>
      <c r="J429" s="17"/>
      <c r="K429" s="17"/>
      <c r="L429" s="17"/>
    </row>
    <row r="430" ht="15.75" customHeight="1">
      <c r="A430" s="16"/>
      <c r="B430" s="16"/>
      <c r="I430" s="17"/>
      <c r="J430" s="17"/>
      <c r="K430" s="17"/>
      <c r="L430" s="17"/>
    </row>
    <row r="431" ht="15.75" customHeight="1">
      <c r="A431" s="16"/>
      <c r="B431" s="16"/>
      <c r="I431" s="17"/>
      <c r="J431" s="17"/>
      <c r="K431" s="17"/>
      <c r="L431" s="17"/>
    </row>
    <row r="432" ht="15.75" customHeight="1">
      <c r="A432" s="16"/>
      <c r="B432" s="16"/>
      <c r="I432" s="17"/>
      <c r="J432" s="17"/>
      <c r="K432" s="17"/>
      <c r="L432" s="17"/>
    </row>
    <row r="433" ht="15.75" customHeight="1">
      <c r="A433" s="16"/>
      <c r="B433" s="16"/>
      <c r="I433" s="17"/>
      <c r="J433" s="17"/>
      <c r="K433" s="17"/>
      <c r="L433" s="17"/>
    </row>
    <row r="434" ht="15.75" customHeight="1">
      <c r="A434" s="16"/>
      <c r="B434" s="16"/>
      <c r="I434" s="17"/>
      <c r="J434" s="17"/>
      <c r="K434" s="17"/>
      <c r="L434" s="17"/>
    </row>
    <row r="435" ht="15.75" customHeight="1">
      <c r="A435" s="16"/>
      <c r="B435" s="16"/>
      <c r="I435" s="17"/>
      <c r="J435" s="17"/>
      <c r="K435" s="17"/>
      <c r="L435" s="17"/>
    </row>
    <row r="436" ht="15.75" customHeight="1">
      <c r="A436" s="16"/>
      <c r="B436" s="16"/>
      <c r="I436" s="17"/>
      <c r="J436" s="17"/>
      <c r="K436" s="17"/>
      <c r="L436" s="17"/>
    </row>
    <row r="437" ht="15.75" customHeight="1">
      <c r="A437" s="16"/>
      <c r="B437" s="16"/>
      <c r="I437" s="17"/>
      <c r="J437" s="17"/>
      <c r="K437" s="17"/>
      <c r="L437" s="17"/>
    </row>
    <row r="438" ht="15.75" customHeight="1">
      <c r="A438" s="16"/>
      <c r="B438" s="16"/>
      <c r="I438" s="17"/>
      <c r="J438" s="17"/>
      <c r="K438" s="17"/>
      <c r="L438" s="17"/>
    </row>
    <row r="439" ht="15.75" customHeight="1">
      <c r="A439" s="16"/>
      <c r="B439" s="16"/>
      <c r="I439" s="17"/>
      <c r="J439" s="17"/>
      <c r="K439" s="17"/>
      <c r="L439" s="17"/>
    </row>
    <row r="440" ht="15.75" customHeight="1">
      <c r="A440" s="16"/>
      <c r="B440" s="16"/>
      <c r="I440" s="17"/>
      <c r="J440" s="17"/>
      <c r="K440" s="17"/>
      <c r="L440" s="17"/>
    </row>
    <row r="441" ht="15.75" customHeight="1">
      <c r="A441" s="16"/>
      <c r="B441" s="16"/>
      <c r="I441" s="17"/>
      <c r="J441" s="17"/>
      <c r="K441" s="17"/>
      <c r="L441" s="17"/>
    </row>
    <row r="442" ht="15.75" customHeight="1">
      <c r="A442" s="16"/>
      <c r="B442" s="16"/>
      <c r="I442" s="17"/>
      <c r="J442" s="17"/>
      <c r="K442" s="17"/>
      <c r="L442" s="17"/>
    </row>
    <row r="443" ht="15.75" customHeight="1">
      <c r="A443" s="16"/>
      <c r="B443" s="16"/>
      <c r="I443" s="17"/>
      <c r="J443" s="17"/>
      <c r="K443" s="17"/>
      <c r="L443" s="17"/>
    </row>
    <row r="444" ht="15.75" customHeight="1">
      <c r="A444" s="16"/>
      <c r="B444" s="16"/>
      <c r="I444" s="17"/>
      <c r="J444" s="17"/>
      <c r="K444" s="17"/>
      <c r="L444" s="17"/>
    </row>
    <row r="445" ht="15.75" customHeight="1">
      <c r="A445" s="16"/>
      <c r="B445" s="16"/>
      <c r="I445" s="17"/>
      <c r="J445" s="17"/>
      <c r="K445" s="17"/>
      <c r="L445" s="17"/>
    </row>
    <row r="446" ht="15.75" customHeight="1">
      <c r="A446" s="16"/>
      <c r="B446" s="16"/>
      <c r="I446" s="17"/>
      <c r="J446" s="17"/>
      <c r="K446" s="17"/>
      <c r="L446" s="17"/>
    </row>
    <row r="447" ht="15.75" customHeight="1">
      <c r="A447" s="16"/>
      <c r="B447" s="16"/>
      <c r="I447" s="17"/>
      <c r="J447" s="17"/>
      <c r="K447" s="17"/>
      <c r="L447" s="17"/>
    </row>
    <row r="448" ht="15.75" customHeight="1">
      <c r="A448" s="16"/>
      <c r="B448" s="16"/>
      <c r="I448" s="17"/>
      <c r="J448" s="17"/>
      <c r="K448" s="17"/>
      <c r="L448" s="17"/>
    </row>
    <row r="449" ht="15.75" customHeight="1">
      <c r="A449" s="16"/>
      <c r="B449" s="16"/>
      <c r="I449" s="17"/>
      <c r="J449" s="17"/>
      <c r="K449" s="17"/>
      <c r="L449" s="17"/>
    </row>
    <row r="450" ht="15.75" customHeight="1">
      <c r="A450" s="16"/>
      <c r="B450" s="16"/>
      <c r="I450" s="17"/>
      <c r="J450" s="17"/>
      <c r="K450" s="17"/>
      <c r="L450" s="17"/>
    </row>
    <row r="451" ht="15.75" customHeight="1">
      <c r="A451" s="16"/>
      <c r="B451" s="16"/>
      <c r="I451" s="17"/>
      <c r="J451" s="17"/>
      <c r="K451" s="17"/>
      <c r="L451" s="17"/>
    </row>
    <row r="452" ht="15.75" customHeight="1">
      <c r="A452" s="16"/>
      <c r="B452" s="16"/>
      <c r="I452" s="17"/>
      <c r="J452" s="17"/>
      <c r="K452" s="17"/>
      <c r="L452" s="17"/>
    </row>
    <row r="453" ht="15.75" customHeight="1">
      <c r="A453" s="16"/>
      <c r="B453" s="16"/>
      <c r="I453" s="17"/>
      <c r="J453" s="17"/>
      <c r="K453" s="17"/>
      <c r="L453" s="17"/>
    </row>
    <row r="454" ht="15.75" customHeight="1">
      <c r="A454" s="16"/>
      <c r="B454" s="16"/>
      <c r="I454" s="17"/>
      <c r="J454" s="17"/>
      <c r="K454" s="17"/>
      <c r="L454" s="17"/>
    </row>
    <row r="455" ht="15.75" customHeight="1">
      <c r="A455" s="16"/>
      <c r="B455" s="16"/>
      <c r="I455" s="17"/>
      <c r="J455" s="17"/>
      <c r="K455" s="17"/>
      <c r="L455" s="17"/>
    </row>
    <row r="456" ht="15.75" customHeight="1">
      <c r="A456" s="16"/>
      <c r="B456" s="16"/>
      <c r="I456" s="17"/>
      <c r="J456" s="17"/>
      <c r="K456" s="17"/>
      <c r="L456" s="17"/>
    </row>
    <row r="457" ht="15.75" customHeight="1">
      <c r="A457" s="16"/>
      <c r="B457" s="16"/>
      <c r="I457" s="17"/>
      <c r="J457" s="17"/>
      <c r="K457" s="17"/>
      <c r="L457" s="17"/>
    </row>
    <row r="458" ht="15.75" customHeight="1">
      <c r="A458" s="16"/>
      <c r="B458" s="16"/>
      <c r="I458" s="17"/>
      <c r="J458" s="17"/>
      <c r="K458" s="17"/>
      <c r="L458" s="17"/>
    </row>
    <row r="459" ht="15.75" customHeight="1">
      <c r="A459" s="16"/>
      <c r="B459" s="16"/>
      <c r="I459" s="17"/>
      <c r="J459" s="17"/>
      <c r="K459" s="17"/>
      <c r="L459" s="17"/>
    </row>
    <row r="460" ht="15.75" customHeight="1">
      <c r="A460" s="16"/>
      <c r="B460" s="16"/>
      <c r="I460" s="17"/>
      <c r="J460" s="17"/>
      <c r="K460" s="17"/>
      <c r="L460" s="17"/>
    </row>
    <row r="461" ht="15.75" customHeight="1">
      <c r="A461" s="16"/>
      <c r="B461" s="16"/>
      <c r="I461" s="17"/>
      <c r="J461" s="17"/>
      <c r="K461" s="17"/>
      <c r="L461" s="17"/>
    </row>
    <row r="462" ht="15.75" customHeight="1">
      <c r="A462" s="16"/>
      <c r="B462" s="16"/>
      <c r="I462" s="17"/>
      <c r="J462" s="17"/>
      <c r="K462" s="17"/>
      <c r="L462" s="17"/>
    </row>
    <row r="463" ht="15.75" customHeight="1">
      <c r="A463" s="16"/>
      <c r="B463" s="16"/>
      <c r="I463" s="17"/>
      <c r="J463" s="17"/>
      <c r="K463" s="17"/>
      <c r="L463" s="17"/>
    </row>
    <row r="464" ht="15.75" customHeight="1">
      <c r="A464" s="16"/>
      <c r="B464" s="16"/>
      <c r="I464" s="17"/>
      <c r="J464" s="17"/>
      <c r="K464" s="17"/>
      <c r="L464" s="17"/>
    </row>
    <row r="465" ht="15.75" customHeight="1">
      <c r="A465" s="16"/>
      <c r="B465" s="16"/>
      <c r="I465" s="17"/>
      <c r="J465" s="17"/>
      <c r="K465" s="17"/>
      <c r="L465" s="17"/>
    </row>
    <row r="466" ht="15.75" customHeight="1">
      <c r="A466" s="16"/>
      <c r="B466" s="16"/>
      <c r="I466" s="17"/>
      <c r="J466" s="17"/>
      <c r="K466" s="17"/>
      <c r="L466" s="17"/>
    </row>
    <row r="467" ht="15.75" customHeight="1">
      <c r="A467" s="16"/>
      <c r="B467" s="16"/>
      <c r="I467" s="17"/>
      <c r="J467" s="17"/>
      <c r="K467" s="17"/>
      <c r="L467" s="17"/>
    </row>
    <row r="468" ht="15.75" customHeight="1">
      <c r="A468" s="16"/>
      <c r="B468" s="16"/>
      <c r="I468" s="17"/>
      <c r="J468" s="17"/>
      <c r="K468" s="17"/>
      <c r="L468" s="17"/>
    </row>
    <row r="469" ht="15.75" customHeight="1">
      <c r="A469" s="16"/>
      <c r="B469" s="16"/>
      <c r="I469" s="17"/>
      <c r="J469" s="17"/>
      <c r="K469" s="17"/>
      <c r="L469" s="17"/>
    </row>
    <row r="470" ht="15.75" customHeight="1">
      <c r="A470" s="16"/>
      <c r="B470" s="16"/>
      <c r="I470" s="17"/>
      <c r="J470" s="17"/>
      <c r="K470" s="17"/>
      <c r="L470" s="17"/>
    </row>
    <row r="471" ht="15.75" customHeight="1">
      <c r="A471" s="16"/>
      <c r="B471" s="16"/>
      <c r="I471" s="17"/>
      <c r="J471" s="17"/>
      <c r="K471" s="17"/>
      <c r="L471" s="17"/>
    </row>
    <row r="472" ht="15.75" customHeight="1">
      <c r="A472" s="16"/>
      <c r="B472" s="16"/>
      <c r="I472" s="17"/>
      <c r="J472" s="17"/>
      <c r="K472" s="17"/>
      <c r="L472" s="17"/>
    </row>
    <row r="473" ht="15.75" customHeight="1">
      <c r="A473" s="16"/>
      <c r="B473" s="16"/>
      <c r="I473" s="17"/>
      <c r="J473" s="17"/>
      <c r="K473" s="17"/>
      <c r="L473" s="17"/>
    </row>
    <row r="474" ht="15.75" customHeight="1">
      <c r="A474" s="16"/>
      <c r="B474" s="16"/>
      <c r="I474" s="17"/>
      <c r="J474" s="17"/>
      <c r="K474" s="17"/>
      <c r="L474" s="17"/>
    </row>
    <row r="475" ht="15.75" customHeight="1">
      <c r="A475" s="16"/>
      <c r="B475" s="16"/>
      <c r="I475" s="17"/>
      <c r="J475" s="17"/>
      <c r="K475" s="17"/>
      <c r="L475" s="17"/>
    </row>
    <row r="476" ht="15.75" customHeight="1">
      <c r="A476" s="16"/>
      <c r="B476" s="16"/>
      <c r="I476" s="17"/>
      <c r="J476" s="17"/>
      <c r="K476" s="17"/>
      <c r="L476" s="17"/>
    </row>
    <row r="477" ht="15.75" customHeight="1">
      <c r="A477" s="16"/>
      <c r="B477" s="16"/>
      <c r="I477" s="17"/>
      <c r="J477" s="17"/>
      <c r="K477" s="17"/>
      <c r="L477" s="17"/>
    </row>
    <row r="478" ht="15.75" customHeight="1">
      <c r="A478" s="16"/>
      <c r="B478" s="16"/>
      <c r="I478" s="17"/>
      <c r="J478" s="17"/>
      <c r="K478" s="17"/>
      <c r="L478" s="17"/>
    </row>
    <row r="479" ht="15.75" customHeight="1">
      <c r="A479" s="16"/>
      <c r="B479" s="16"/>
      <c r="I479" s="17"/>
      <c r="J479" s="17"/>
      <c r="K479" s="17"/>
      <c r="L479" s="17"/>
    </row>
    <row r="480" ht="15.75" customHeight="1">
      <c r="A480" s="16"/>
      <c r="B480" s="16"/>
      <c r="I480" s="17"/>
      <c r="J480" s="17"/>
      <c r="K480" s="17"/>
      <c r="L480" s="17"/>
    </row>
    <row r="481" ht="15.75" customHeight="1">
      <c r="A481" s="16"/>
      <c r="B481" s="16"/>
      <c r="I481" s="17"/>
      <c r="J481" s="17"/>
      <c r="K481" s="17"/>
      <c r="L481" s="17"/>
    </row>
    <row r="482" ht="15.75" customHeight="1">
      <c r="A482" s="16"/>
      <c r="B482" s="16"/>
      <c r="I482" s="17"/>
      <c r="J482" s="17"/>
      <c r="K482" s="17"/>
      <c r="L482" s="17"/>
    </row>
    <row r="483" ht="15.75" customHeight="1">
      <c r="A483" s="16"/>
      <c r="B483" s="16"/>
      <c r="I483" s="17"/>
      <c r="J483" s="17"/>
      <c r="K483" s="17"/>
      <c r="L483" s="17"/>
    </row>
    <row r="484" ht="15.75" customHeight="1">
      <c r="A484" s="16"/>
      <c r="B484" s="16"/>
      <c r="I484" s="17"/>
      <c r="J484" s="17"/>
      <c r="K484" s="17"/>
      <c r="L484" s="17"/>
    </row>
    <row r="485" ht="15.75" customHeight="1">
      <c r="A485" s="16"/>
      <c r="B485" s="16"/>
      <c r="I485" s="17"/>
      <c r="J485" s="17"/>
      <c r="K485" s="17"/>
      <c r="L485" s="17"/>
    </row>
    <row r="486" ht="15.75" customHeight="1">
      <c r="A486" s="16"/>
      <c r="B486" s="16"/>
      <c r="I486" s="17"/>
      <c r="J486" s="17"/>
      <c r="K486" s="17"/>
      <c r="L486" s="17"/>
    </row>
    <row r="487" ht="15.75" customHeight="1">
      <c r="A487" s="16"/>
      <c r="B487" s="16"/>
      <c r="I487" s="17"/>
      <c r="J487" s="17"/>
      <c r="K487" s="17"/>
      <c r="L487" s="17"/>
    </row>
    <row r="488" ht="15.75" customHeight="1">
      <c r="A488" s="16"/>
      <c r="B488" s="16"/>
      <c r="I488" s="17"/>
      <c r="J488" s="17"/>
      <c r="K488" s="17"/>
      <c r="L488" s="17"/>
    </row>
    <row r="489" ht="15.75" customHeight="1">
      <c r="A489" s="16"/>
      <c r="B489" s="16"/>
      <c r="I489" s="17"/>
      <c r="J489" s="17"/>
      <c r="K489" s="17"/>
      <c r="L489" s="17"/>
    </row>
    <row r="490" ht="15.75" customHeight="1">
      <c r="A490" s="16"/>
      <c r="B490" s="16"/>
      <c r="I490" s="17"/>
      <c r="J490" s="17"/>
      <c r="K490" s="17"/>
      <c r="L490" s="17"/>
    </row>
    <row r="491" ht="15.75" customHeight="1">
      <c r="A491" s="16"/>
      <c r="B491" s="16"/>
      <c r="I491" s="17"/>
      <c r="J491" s="17"/>
      <c r="K491" s="17"/>
      <c r="L491" s="17"/>
    </row>
    <row r="492" ht="15.75" customHeight="1">
      <c r="A492" s="16"/>
      <c r="B492" s="16"/>
      <c r="I492" s="17"/>
      <c r="J492" s="17"/>
      <c r="K492" s="17"/>
      <c r="L492" s="17"/>
    </row>
    <row r="493" ht="15.75" customHeight="1">
      <c r="A493" s="16"/>
      <c r="B493" s="16"/>
      <c r="I493" s="17"/>
      <c r="J493" s="17"/>
      <c r="K493" s="17"/>
      <c r="L493" s="17"/>
    </row>
    <row r="494" ht="15.75" customHeight="1">
      <c r="A494" s="16"/>
      <c r="B494" s="16"/>
      <c r="I494" s="17"/>
      <c r="J494" s="17"/>
      <c r="K494" s="17"/>
      <c r="L494" s="17"/>
    </row>
    <row r="495" ht="15.75" customHeight="1">
      <c r="A495" s="16"/>
      <c r="B495" s="16"/>
      <c r="I495" s="17"/>
      <c r="J495" s="17"/>
      <c r="K495" s="17"/>
      <c r="L495" s="17"/>
    </row>
    <row r="496" ht="15.75" customHeight="1">
      <c r="A496" s="16"/>
      <c r="B496" s="16"/>
      <c r="I496" s="17"/>
      <c r="J496" s="17"/>
      <c r="K496" s="17"/>
      <c r="L496" s="17"/>
    </row>
    <row r="497" ht="15.75" customHeight="1">
      <c r="A497" s="16"/>
      <c r="B497" s="16"/>
      <c r="I497" s="17"/>
      <c r="J497" s="17"/>
      <c r="K497" s="17"/>
      <c r="L497" s="17"/>
    </row>
    <row r="498" ht="15.75" customHeight="1">
      <c r="A498" s="16"/>
      <c r="B498" s="16"/>
      <c r="I498" s="17"/>
      <c r="J498" s="17"/>
      <c r="K498" s="17"/>
      <c r="L498" s="17"/>
    </row>
    <row r="499" ht="15.75" customHeight="1">
      <c r="A499" s="16"/>
      <c r="B499" s="16"/>
      <c r="I499" s="17"/>
      <c r="J499" s="17"/>
      <c r="K499" s="17"/>
      <c r="L499" s="17"/>
    </row>
    <row r="500" ht="15.75" customHeight="1">
      <c r="A500" s="16"/>
      <c r="B500" s="16"/>
      <c r="I500" s="17"/>
      <c r="J500" s="17"/>
      <c r="K500" s="17"/>
      <c r="L500" s="17"/>
    </row>
    <row r="501" ht="15.75" customHeight="1">
      <c r="A501" s="16"/>
      <c r="B501" s="16"/>
      <c r="I501" s="17"/>
      <c r="J501" s="17"/>
      <c r="K501" s="17"/>
      <c r="L501" s="17"/>
    </row>
    <row r="502" ht="15.75" customHeight="1">
      <c r="A502" s="16"/>
      <c r="B502" s="16"/>
      <c r="I502" s="17"/>
      <c r="J502" s="17"/>
      <c r="K502" s="17"/>
      <c r="L502" s="17"/>
    </row>
    <row r="503" ht="15.75" customHeight="1">
      <c r="A503" s="16"/>
      <c r="B503" s="16"/>
      <c r="I503" s="17"/>
      <c r="J503" s="17"/>
      <c r="K503" s="17"/>
      <c r="L503" s="17"/>
    </row>
    <row r="504" ht="15.75" customHeight="1">
      <c r="A504" s="16"/>
      <c r="B504" s="16"/>
      <c r="I504" s="17"/>
      <c r="J504" s="17"/>
      <c r="K504" s="17"/>
      <c r="L504" s="17"/>
    </row>
    <row r="505" ht="15.75" customHeight="1">
      <c r="A505" s="16"/>
      <c r="B505" s="16"/>
      <c r="I505" s="17"/>
      <c r="J505" s="17"/>
      <c r="K505" s="17"/>
      <c r="L505" s="17"/>
    </row>
    <row r="506" ht="15.75" customHeight="1">
      <c r="A506" s="16"/>
      <c r="B506" s="16"/>
      <c r="I506" s="17"/>
      <c r="J506" s="17"/>
      <c r="K506" s="17"/>
      <c r="L506" s="17"/>
    </row>
    <row r="507" ht="15.75" customHeight="1">
      <c r="A507" s="16"/>
      <c r="B507" s="16"/>
      <c r="I507" s="17"/>
      <c r="J507" s="17"/>
      <c r="K507" s="17"/>
      <c r="L507" s="17"/>
    </row>
    <row r="508" ht="15.75" customHeight="1">
      <c r="A508" s="16"/>
      <c r="B508" s="16"/>
      <c r="I508" s="17"/>
      <c r="J508" s="17"/>
      <c r="K508" s="17"/>
      <c r="L508" s="17"/>
    </row>
    <row r="509" ht="15.75" customHeight="1">
      <c r="A509" s="16"/>
      <c r="B509" s="16"/>
      <c r="I509" s="17"/>
      <c r="J509" s="17"/>
      <c r="K509" s="17"/>
      <c r="L509" s="17"/>
    </row>
    <row r="510" ht="15.75" customHeight="1">
      <c r="A510" s="16"/>
      <c r="B510" s="16"/>
      <c r="I510" s="17"/>
      <c r="J510" s="17"/>
      <c r="K510" s="17"/>
      <c r="L510" s="17"/>
    </row>
    <row r="511" ht="15.75" customHeight="1">
      <c r="A511" s="16"/>
      <c r="B511" s="16"/>
      <c r="I511" s="17"/>
      <c r="J511" s="17"/>
      <c r="K511" s="17"/>
      <c r="L511" s="17"/>
    </row>
    <row r="512" ht="15.75" customHeight="1">
      <c r="A512" s="16"/>
      <c r="B512" s="16"/>
      <c r="I512" s="17"/>
      <c r="J512" s="17"/>
      <c r="K512" s="17"/>
      <c r="L512" s="17"/>
    </row>
    <row r="513" ht="15.75" customHeight="1">
      <c r="A513" s="16"/>
      <c r="B513" s="16"/>
      <c r="I513" s="17"/>
      <c r="J513" s="17"/>
      <c r="K513" s="17"/>
      <c r="L513" s="17"/>
    </row>
    <row r="514" ht="15.75" customHeight="1">
      <c r="A514" s="16"/>
      <c r="B514" s="16"/>
      <c r="I514" s="17"/>
      <c r="J514" s="17"/>
      <c r="K514" s="17"/>
      <c r="L514" s="17"/>
    </row>
    <row r="515" ht="15.75" customHeight="1">
      <c r="A515" s="16"/>
      <c r="B515" s="16"/>
      <c r="I515" s="17"/>
      <c r="J515" s="17"/>
      <c r="K515" s="17"/>
      <c r="L515" s="17"/>
    </row>
    <row r="516" ht="15.75" customHeight="1">
      <c r="A516" s="16"/>
      <c r="B516" s="16"/>
      <c r="I516" s="17"/>
      <c r="J516" s="17"/>
      <c r="K516" s="17"/>
      <c r="L516" s="17"/>
    </row>
    <row r="517" ht="15.75" customHeight="1">
      <c r="A517" s="16"/>
      <c r="B517" s="16"/>
      <c r="I517" s="17"/>
      <c r="J517" s="17"/>
      <c r="K517" s="17"/>
      <c r="L517" s="17"/>
    </row>
    <row r="518" ht="15.75" customHeight="1">
      <c r="A518" s="16"/>
      <c r="B518" s="16"/>
      <c r="I518" s="17"/>
      <c r="J518" s="17"/>
      <c r="K518" s="17"/>
      <c r="L518" s="17"/>
    </row>
    <row r="519" ht="15.75" customHeight="1">
      <c r="A519" s="16"/>
      <c r="B519" s="16"/>
      <c r="I519" s="17"/>
      <c r="J519" s="17"/>
      <c r="K519" s="17"/>
      <c r="L519" s="17"/>
    </row>
    <row r="520" ht="15.75" customHeight="1">
      <c r="A520" s="16"/>
      <c r="B520" s="16"/>
      <c r="I520" s="17"/>
      <c r="J520" s="17"/>
      <c r="K520" s="17"/>
      <c r="L520" s="17"/>
    </row>
    <row r="521" ht="15.75" customHeight="1">
      <c r="A521" s="16"/>
      <c r="B521" s="16"/>
      <c r="I521" s="17"/>
      <c r="J521" s="17"/>
      <c r="K521" s="17"/>
      <c r="L521" s="17"/>
    </row>
    <row r="522" ht="15.75" customHeight="1">
      <c r="A522" s="16"/>
      <c r="B522" s="16"/>
      <c r="I522" s="17"/>
      <c r="J522" s="17"/>
      <c r="K522" s="17"/>
      <c r="L522" s="17"/>
    </row>
    <row r="523" ht="15.75" customHeight="1">
      <c r="A523" s="16"/>
      <c r="B523" s="16"/>
      <c r="I523" s="17"/>
      <c r="J523" s="17"/>
      <c r="K523" s="17"/>
      <c r="L523" s="17"/>
    </row>
    <row r="524" ht="15.75" customHeight="1">
      <c r="A524" s="16"/>
      <c r="B524" s="16"/>
      <c r="I524" s="17"/>
      <c r="J524" s="17"/>
      <c r="K524" s="17"/>
      <c r="L524" s="17"/>
    </row>
    <row r="525" ht="15.75" customHeight="1">
      <c r="A525" s="16"/>
      <c r="B525" s="16"/>
      <c r="I525" s="17"/>
      <c r="J525" s="17"/>
      <c r="K525" s="17"/>
      <c r="L525" s="17"/>
    </row>
    <row r="526" ht="15.75" customHeight="1">
      <c r="A526" s="16"/>
      <c r="B526" s="16"/>
      <c r="I526" s="17"/>
      <c r="J526" s="17"/>
      <c r="K526" s="17"/>
      <c r="L526" s="17"/>
    </row>
    <row r="527" ht="15.75" customHeight="1">
      <c r="A527" s="16"/>
      <c r="B527" s="16"/>
      <c r="I527" s="17"/>
      <c r="J527" s="17"/>
      <c r="K527" s="17"/>
      <c r="L527" s="17"/>
    </row>
    <row r="528" ht="15.75" customHeight="1">
      <c r="A528" s="16"/>
      <c r="B528" s="16"/>
      <c r="I528" s="17"/>
      <c r="J528" s="17"/>
      <c r="K528" s="17"/>
      <c r="L528" s="17"/>
    </row>
    <row r="529" ht="15.75" customHeight="1">
      <c r="A529" s="16"/>
      <c r="B529" s="16"/>
      <c r="I529" s="17"/>
      <c r="J529" s="17"/>
      <c r="K529" s="17"/>
      <c r="L529" s="17"/>
    </row>
    <row r="530" ht="15.75" customHeight="1">
      <c r="A530" s="16"/>
      <c r="B530" s="16"/>
      <c r="I530" s="17"/>
      <c r="J530" s="17"/>
      <c r="K530" s="17"/>
      <c r="L530" s="17"/>
    </row>
    <row r="531" ht="15.75" customHeight="1">
      <c r="A531" s="16"/>
      <c r="B531" s="16"/>
      <c r="I531" s="17"/>
      <c r="J531" s="17"/>
      <c r="K531" s="17"/>
      <c r="L531" s="17"/>
    </row>
    <row r="532" ht="15.75" customHeight="1">
      <c r="A532" s="16"/>
      <c r="B532" s="16"/>
      <c r="I532" s="17"/>
      <c r="J532" s="17"/>
      <c r="K532" s="17"/>
      <c r="L532" s="17"/>
    </row>
    <row r="533" ht="15.75" customHeight="1">
      <c r="A533" s="16"/>
      <c r="B533" s="16"/>
      <c r="I533" s="17"/>
      <c r="J533" s="17"/>
      <c r="K533" s="17"/>
      <c r="L533" s="17"/>
    </row>
    <row r="534" ht="15.75" customHeight="1">
      <c r="A534" s="16"/>
      <c r="B534" s="16"/>
      <c r="I534" s="17"/>
      <c r="J534" s="17"/>
      <c r="K534" s="17"/>
      <c r="L534" s="17"/>
    </row>
    <row r="535" ht="15.75" customHeight="1">
      <c r="A535" s="16"/>
      <c r="B535" s="16"/>
      <c r="I535" s="17"/>
      <c r="J535" s="17"/>
      <c r="K535" s="17"/>
      <c r="L535" s="17"/>
    </row>
    <row r="536" ht="15.75" customHeight="1">
      <c r="A536" s="16"/>
      <c r="B536" s="16"/>
      <c r="I536" s="17"/>
      <c r="J536" s="17"/>
      <c r="K536" s="17"/>
      <c r="L536" s="17"/>
    </row>
    <row r="537" ht="15.75" customHeight="1">
      <c r="A537" s="16"/>
      <c r="B537" s="16"/>
      <c r="I537" s="17"/>
      <c r="J537" s="17"/>
      <c r="K537" s="17"/>
      <c r="L537" s="17"/>
    </row>
    <row r="538" ht="15.75" customHeight="1">
      <c r="A538" s="16"/>
      <c r="B538" s="16"/>
      <c r="I538" s="17"/>
      <c r="J538" s="17"/>
      <c r="K538" s="17"/>
      <c r="L538" s="17"/>
    </row>
    <row r="539" ht="15.75" customHeight="1">
      <c r="A539" s="16"/>
      <c r="B539" s="16"/>
      <c r="I539" s="17"/>
      <c r="J539" s="17"/>
      <c r="K539" s="17"/>
      <c r="L539" s="17"/>
    </row>
    <row r="540" ht="15.75" customHeight="1">
      <c r="A540" s="16"/>
      <c r="B540" s="16"/>
      <c r="I540" s="17"/>
      <c r="J540" s="17"/>
      <c r="K540" s="17"/>
      <c r="L540" s="17"/>
    </row>
    <row r="541" ht="15.75" customHeight="1">
      <c r="A541" s="16"/>
      <c r="B541" s="16"/>
      <c r="I541" s="17"/>
      <c r="J541" s="17"/>
      <c r="K541" s="17"/>
      <c r="L541" s="17"/>
    </row>
    <row r="542" ht="15.75" customHeight="1">
      <c r="A542" s="16"/>
      <c r="B542" s="16"/>
      <c r="I542" s="17"/>
      <c r="J542" s="17"/>
      <c r="K542" s="17"/>
      <c r="L542" s="17"/>
    </row>
    <row r="543" ht="15.75" customHeight="1">
      <c r="A543" s="16"/>
      <c r="B543" s="16"/>
      <c r="I543" s="17"/>
      <c r="J543" s="17"/>
      <c r="K543" s="17"/>
      <c r="L543" s="17"/>
    </row>
    <row r="544" ht="15.75" customHeight="1">
      <c r="A544" s="16"/>
      <c r="B544" s="16"/>
      <c r="I544" s="17"/>
      <c r="J544" s="17"/>
      <c r="K544" s="17"/>
      <c r="L544" s="17"/>
    </row>
    <row r="545" ht="15.75" customHeight="1">
      <c r="A545" s="16"/>
      <c r="B545" s="16"/>
      <c r="I545" s="17"/>
      <c r="J545" s="17"/>
      <c r="K545" s="17"/>
      <c r="L545" s="17"/>
    </row>
    <row r="546" ht="15.75" customHeight="1">
      <c r="A546" s="16"/>
      <c r="B546" s="16"/>
      <c r="I546" s="17"/>
      <c r="J546" s="17"/>
      <c r="K546" s="17"/>
      <c r="L546" s="17"/>
    </row>
    <row r="547" ht="15.75" customHeight="1">
      <c r="A547" s="16"/>
      <c r="B547" s="16"/>
      <c r="I547" s="17"/>
      <c r="J547" s="17"/>
      <c r="K547" s="17"/>
      <c r="L547" s="17"/>
    </row>
    <row r="548" ht="15.75" customHeight="1">
      <c r="A548" s="16"/>
      <c r="B548" s="16"/>
      <c r="I548" s="17"/>
      <c r="J548" s="17"/>
      <c r="K548" s="17"/>
      <c r="L548" s="17"/>
    </row>
    <row r="549" ht="15.75" customHeight="1">
      <c r="A549" s="16"/>
      <c r="B549" s="16"/>
      <c r="I549" s="17"/>
      <c r="J549" s="17"/>
      <c r="K549" s="17"/>
      <c r="L549" s="17"/>
    </row>
    <row r="550" ht="15.75" customHeight="1">
      <c r="A550" s="16"/>
      <c r="B550" s="16"/>
      <c r="I550" s="17"/>
      <c r="J550" s="17"/>
      <c r="K550" s="17"/>
      <c r="L550" s="17"/>
    </row>
    <row r="551" ht="15.75" customHeight="1">
      <c r="A551" s="16"/>
      <c r="B551" s="16"/>
      <c r="I551" s="17"/>
      <c r="J551" s="17"/>
      <c r="K551" s="17"/>
      <c r="L551" s="17"/>
    </row>
    <row r="552" ht="15.75" customHeight="1">
      <c r="A552" s="16"/>
      <c r="B552" s="16"/>
      <c r="I552" s="17"/>
      <c r="J552" s="17"/>
      <c r="K552" s="17"/>
      <c r="L552" s="17"/>
    </row>
    <row r="553" ht="15.75" customHeight="1">
      <c r="A553" s="16"/>
      <c r="B553" s="16"/>
      <c r="I553" s="17"/>
      <c r="J553" s="17"/>
      <c r="K553" s="17"/>
      <c r="L553" s="17"/>
    </row>
    <row r="554" ht="15.75" customHeight="1">
      <c r="A554" s="16"/>
      <c r="B554" s="16"/>
      <c r="I554" s="17"/>
      <c r="J554" s="17"/>
      <c r="K554" s="17"/>
      <c r="L554" s="17"/>
    </row>
    <row r="555" ht="15.75" customHeight="1">
      <c r="A555" s="16"/>
      <c r="B555" s="16"/>
      <c r="I555" s="17"/>
      <c r="J555" s="17"/>
      <c r="K555" s="17"/>
      <c r="L555" s="17"/>
    </row>
    <row r="556" ht="15.75" customHeight="1">
      <c r="A556" s="16"/>
      <c r="B556" s="16"/>
      <c r="I556" s="17"/>
      <c r="J556" s="17"/>
      <c r="K556" s="17"/>
      <c r="L556" s="17"/>
    </row>
    <row r="557" ht="15.75" customHeight="1">
      <c r="A557" s="16"/>
      <c r="B557" s="16"/>
      <c r="I557" s="17"/>
      <c r="J557" s="17"/>
      <c r="K557" s="17"/>
      <c r="L557" s="17"/>
    </row>
    <row r="558" ht="15.75" customHeight="1">
      <c r="A558" s="16"/>
      <c r="B558" s="16"/>
      <c r="I558" s="17"/>
      <c r="J558" s="17"/>
      <c r="K558" s="17"/>
      <c r="L558" s="17"/>
    </row>
    <row r="559" ht="15.75" customHeight="1">
      <c r="A559" s="16"/>
      <c r="B559" s="16"/>
      <c r="I559" s="17"/>
      <c r="J559" s="17"/>
      <c r="K559" s="17"/>
      <c r="L559" s="17"/>
    </row>
    <row r="560" ht="15.75" customHeight="1">
      <c r="A560" s="16"/>
      <c r="B560" s="16"/>
      <c r="I560" s="17"/>
      <c r="J560" s="17"/>
      <c r="K560" s="17"/>
      <c r="L560" s="17"/>
    </row>
    <row r="561" ht="15.75" customHeight="1">
      <c r="A561" s="16"/>
      <c r="B561" s="16"/>
      <c r="I561" s="17"/>
      <c r="J561" s="17"/>
      <c r="K561" s="17"/>
      <c r="L561" s="17"/>
    </row>
    <row r="562" ht="15.75" customHeight="1">
      <c r="A562" s="16"/>
      <c r="B562" s="16"/>
      <c r="I562" s="17"/>
      <c r="J562" s="17"/>
      <c r="K562" s="17"/>
      <c r="L562" s="17"/>
    </row>
    <row r="563" ht="15.75" customHeight="1">
      <c r="A563" s="16"/>
      <c r="B563" s="16"/>
      <c r="I563" s="17"/>
      <c r="J563" s="17"/>
      <c r="K563" s="17"/>
      <c r="L563" s="17"/>
    </row>
    <row r="564" ht="15.75" customHeight="1">
      <c r="A564" s="16"/>
      <c r="B564" s="16"/>
      <c r="I564" s="17"/>
      <c r="J564" s="17"/>
      <c r="K564" s="17"/>
      <c r="L564" s="17"/>
    </row>
    <row r="565" ht="15.75" customHeight="1">
      <c r="A565" s="16"/>
      <c r="B565" s="16"/>
      <c r="I565" s="17"/>
      <c r="J565" s="17"/>
      <c r="K565" s="17"/>
      <c r="L565" s="17"/>
    </row>
    <row r="566" ht="15.75" customHeight="1">
      <c r="A566" s="16"/>
      <c r="B566" s="16"/>
      <c r="I566" s="17"/>
      <c r="J566" s="17"/>
      <c r="K566" s="17"/>
      <c r="L566" s="17"/>
    </row>
    <row r="567" ht="15.75" customHeight="1">
      <c r="A567" s="16"/>
      <c r="B567" s="16"/>
      <c r="I567" s="17"/>
      <c r="J567" s="17"/>
      <c r="K567" s="17"/>
      <c r="L567" s="17"/>
    </row>
    <row r="568" ht="15.75" customHeight="1">
      <c r="A568" s="16"/>
      <c r="B568" s="16"/>
      <c r="I568" s="17"/>
      <c r="J568" s="17"/>
      <c r="K568" s="17"/>
      <c r="L568" s="17"/>
    </row>
    <row r="569" ht="15.75" customHeight="1">
      <c r="A569" s="16"/>
      <c r="B569" s="16"/>
      <c r="I569" s="17"/>
      <c r="J569" s="17"/>
      <c r="K569" s="17"/>
      <c r="L569" s="17"/>
    </row>
    <row r="570" ht="15.75" customHeight="1">
      <c r="A570" s="16"/>
      <c r="B570" s="16"/>
      <c r="I570" s="17"/>
      <c r="J570" s="17"/>
      <c r="K570" s="17"/>
      <c r="L570" s="17"/>
    </row>
    <row r="571" ht="15.75" customHeight="1">
      <c r="A571" s="16"/>
      <c r="B571" s="16"/>
      <c r="I571" s="17"/>
      <c r="J571" s="17"/>
      <c r="K571" s="17"/>
      <c r="L571" s="17"/>
    </row>
    <row r="572" ht="15.75" customHeight="1">
      <c r="A572" s="16"/>
      <c r="B572" s="16"/>
      <c r="I572" s="17"/>
      <c r="J572" s="17"/>
      <c r="K572" s="17"/>
      <c r="L572" s="17"/>
    </row>
    <row r="573" ht="15.75" customHeight="1">
      <c r="A573" s="16"/>
      <c r="B573" s="16"/>
      <c r="I573" s="17"/>
      <c r="J573" s="17"/>
      <c r="K573" s="17"/>
      <c r="L573" s="17"/>
    </row>
    <row r="574" ht="15.75" customHeight="1">
      <c r="A574" s="16"/>
      <c r="B574" s="16"/>
      <c r="I574" s="17"/>
      <c r="J574" s="17"/>
      <c r="K574" s="17"/>
      <c r="L574" s="17"/>
    </row>
    <row r="575" ht="15.75" customHeight="1">
      <c r="A575" s="16"/>
      <c r="B575" s="16"/>
      <c r="I575" s="17"/>
      <c r="J575" s="17"/>
      <c r="K575" s="17"/>
      <c r="L575" s="17"/>
    </row>
    <row r="576" ht="15.75" customHeight="1">
      <c r="A576" s="16"/>
      <c r="B576" s="16"/>
      <c r="I576" s="17"/>
      <c r="J576" s="17"/>
      <c r="K576" s="17"/>
      <c r="L576" s="17"/>
    </row>
    <row r="577" ht="15.75" customHeight="1">
      <c r="A577" s="16"/>
      <c r="B577" s="16"/>
      <c r="I577" s="17"/>
      <c r="J577" s="17"/>
      <c r="K577" s="17"/>
      <c r="L577" s="17"/>
    </row>
    <row r="578" ht="15.75" customHeight="1">
      <c r="A578" s="16"/>
      <c r="B578" s="16"/>
      <c r="I578" s="17"/>
      <c r="J578" s="17"/>
      <c r="K578" s="17"/>
      <c r="L578" s="17"/>
    </row>
    <row r="579" ht="15.75" customHeight="1">
      <c r="A579" s="16"/>
      <c r="B579" s="16"/>
      <c r="I579" s="17"/>
      <c r="J579" s="17"/>
      <c r="K579" s="17"/>
      <c r="L579" s="17"/>
    </row>
    <row r="580" ht="15.75" customHeight="1">
      <c r="A580" s="16"/>
      <c r="B580" s="16"/>
      <c r="I580" s="17"/>
      <c r="J580" s="17"/>
      <c r="K580" s="17"/>
      <c r="L580" s="17"/>
    </row>
    <row r="581" ht="15.75" customHeight="1">
      <c r="A581" s="16"/>
      <c r="B581" s="16"/>
      <c r="I581" s="17"/>
      <c r="J581" s="17"/>
      <c r="K581" s="17"/>
      <c r="L581" s="17"/>
    </row>
    <row r="582" ht="15.75" customHeight="1">
      <c r="A582" s="16"/>
      <c r="B582" s="16"/>
      <c r="I582" s="17"/>
      <c r="J582" s="17"/>
      <c r="K582" s="17"/>
      <c r="L582" s="17"/>
    </row>
    <row r="583" ht="15.75" customHeight="1">
      <c r="A583" s="16"/>
      <c r="B583" s="16"/>
      <c r="I583" s="17"/>
      <c r="J583" s="17"/>
      <c r="K583" s="17"/>
      <c r="L583" s="17"/>
    </row>
    <row r="584" ht="15.75" customHeight="1">
      <c r="A584" s="16"/>
      <c r="B584" s="16"/>
      <c r="I584" s="17"/>
      <c r="J584" s="17"/>
      <c r="K584" s="17"/>
      <c r="L584" s="17"/>
    </row>
    <row r="585" ht="15.75" customHeight="1">
      <c r="A585" s="16"/>
      <c r="B585" s="16"/>
      <c r="I585" s="17"/>
      <c r="J585" s="17"/>
      <c r="K585" s="17"/>
      <c r="L585" s="17"/>
    </row>
    <row r="586" ht="15.75" customHeight="1">
      <c r="A586" s="16"/>
      <c r="B586" s="16"/>
      <c r="I586" s="17"/>
      <c r="J586" s="17"/>
      <c r="K586" s="17"/>
      <c r="L586" s="17"/>
    </row>
    <row r="587" ht="15.75" customHeight="1">
      <c r="A587" s="16"/>
      <c r="B587" s="16"/>
      <c r="I587" s="17"/>
      <c r="J587" s="17"/>
      <c r="K587" s="17"/>
      <c r="L587" s="17"/>
    </row>
    <row r="588" ht="15.75" customHeight="1">
      <c r="A588" s="16"/>
      <c r="B588" s="16"/>
      <c r="I588" s="17"/>
      <c r="J588" s="17"/>
      <c r="K588" s="17"/>
      <c r="L588" s="17"/>
    </row>
    <row r="589" ht="15.75" customHeight="1">
      <c r="A589" s="16"/>
      <c r="B589" s="16"/>
      <c r="I589" s="17"/>
      <c r="J589" s="17"/>
      <c r="K589" s="17"/>
      <c r="L589" s="17"/>
    </row>
    <row r="590" ht="15.75" customHeight="1">
      <c r="A590" s="16"/>
      <c r="B590" s="16"/>
      <c r="I590" s="17"/>
      <c r="J590" s="17"/>
      <c r="K590" s="17"/>
      <c r="L590" s="17"/>
    </row>
    <row r="591" ht="15.75" customHeight="1">
      <c r="A591" s="16"/>
      <c r="B591" s="16"/>
      <c r="I591" s="17"/>
      <c r="J591" s="17"/>
      <c r="K591" s="17"/>
      <c r="L591" s="17"/>
    </row>
    <row r="592" ht="15.75" customHeight="1">
      <c r="A592" s="16"/>
      <c r="B592" s="16"/>
      <c r="I592" s="17"/>
      <c r="J592" s="17"/>
      <c r="K592" s="17"/>
      <c r="L592" s="17"/>
    </row>
    <row r="593" ht="15.75" customHeight="1">
      <c r="A593" s="16"/>
      <c r="B593" s="16"/>
      <c r="I593" s="17"/>
      <c r="J593" s="17"/>
      <c r="K593" s="17"/>
      <c r="L593" s="17"/>
    </row>
    <row r="594" ht="15.75" customHeight="1">
      <c r="A594" s="16"/>
      <c r="B594" s="16"/>
      <c r="I594" s="17"/>
      <c r="J594" s="17"/>
      <c r="K594" s="17"/>
      <c r="L594" s="17"/>
    </row>
    <row r="595" ht="15.75" customHeight="1">
      <c r="A595" s="16"/>
      <c r="B595" s="16"/>
      <c r="I595" s="17"/>
      <c r="J595" s="17"/>
      <c r="K595" s="17"/>
      <c r="L595" s="17"/>
    </row>
    <row r="596" ht="15.75" customHeight="1">
      <c r="A596" s="16"/>
      <c r="B596" s="16"/>
      <c r="I596" s="17"/>
      <c r="J596" s="17"/>
      <c r="K596" s="17"/>
      <c r="L596" s="17"/>
    </row>
    <row r="597" ht="15.75" customHeight="1">
      <c r="A597" s="16"/>
      <c r="B597" s="16"/>
      <c r="I597" s="17"/>
      <c r="J597" s="17"/>
      <c r="K597" s="17"/>
      <c r="L597" s="17"/>
    </row>
    <row r="598" ht="15.75" customHeight="1">
      <c r="A598" s="16"/>
      <c r="B598" s="16"/>
      <c r="I598" s="17"/>
      <c r="J598" s="17"/>
      <c r="K598" s="17"/>
      <c r="L598" s="17"/>
    </row>
    <row r="599" ht="15.75" customHeight="1">
      <c r="A599" s="16"/>
      <c r="B599" s="16"/>
      <c r="I599" s="17"/>
      <c r="J599" s="17"/>
      <c r="K599" s="17"/>
      <c r="L599" s="17"/>
    </row>
    <row r="600" ht="15.75" customHeight="1">
      <c r="A600" s="16"/>
      <c r="B600" s="16"/>
      <c r="I600" s="17"/>
      <c r="J600" s="17"/>
      <c r="K600" s="17"/>
      <c r="L600" s="17"/>
    </row>
    <row r="601" ht="15.75" customHeight="1">
      <c r="A601" s="16"/>
      <c r="B601" s="16"/>
      <c r="I601" s="17"/>
      <c r="J601" s="17"/>
      <c r="K601" s="17"/>
      <c r="L601" s="17"/>
    </row>
    <row r="602" ht="15.75" customHeight="1">
      <c r="A602" s="16"/>
      <c r="B602" s="16"/>
      <c r="I602" s="17"/>
      <c r="J602" s="17"/>
      <c r="K602" s="17"/>
      <c r="L602" s="17"/>
    </row>
    <row r="603" ht="15.75" customHeight="1">
      <c r="A603" s="16"/>
      <c r="B603" s="16"/>
      <c r="I603" s="17"/>
      <c r="J603" s="17"/>
      <c r="K603" s="17"/>
      <c r="L603" s="17"/>
    </row>
    <row r="604" ht="15.75" customHeight="1">
      <c r="A604" s="16"/>
      <c r="B604" s="16"/>
      <c r="I604" s="17"/>
      <c r="J604" s="17"/>
      <c r="K604" s="17"/>
      <c r="L604" s="17"/>
    </row>
    <row r="605" ht="15.75" customHeight="1">
      <c r="A605" s="16"/>
      <c r="B605" s="16"/>
      <c r="I605" s="17"/>
      <c r="J605" s="17"/>
      <c r="K605" s="17"/>
      <c r="L605" s="17"/>
    </row>
    <row r="606" ht="15.75" customHeight="1">
      <c r="A606" s="16"/>
      <c r="B606" s="16"/>
      <c r="I606" s="17"/>
      <c r="J606" s="17"/>
      <c r="K606" s="17"/>
      <c r="L606" s="17"/>
    </row>
    <row r="607" ht="15.75" customHeight="1">
      <c r="A607" s="16"/>
      <c r="B607" s="16"/>
      <c r="I607" s="17"/>
      <c r="J607" s="17"/>
      <c r="K607" s="17"/>
      <c r="L607" s="17"/>
    </row>
    <row r="608" ht="15.75" customHeight="1">
      <c r="A608" s="16"/>
      <c r="B608" s="16"/>
      <c r="I608" s="17"/>
      <c r="J608" s="17"/>
      <c r="K608" s="17"/>
      <c r="L608" s="17"/>
    </row>
    <row r="609" ht="15.75" customHeight="1">
      <c r="A609" s="16"/>
      <c r="B609" s="16"/>
      <c r="I609" s="17"/>
      <c r="J609" s="17"/>
      <c r="K609" s="17"/>
      <c r="L609" s="17"/>
    </row>
    <row r="610" ht="15.75" customHeight="1">
      <c r="A610" s="16"/>
      <c r="B610" s="16"/>
      <c r="I610" s="17"/>
      <c r="J610" s="17"/>
      <c r="K610" s="17"/>
      <c r="L610" s="17"/>
    </row>
    <row r="611" ht="15.75" customHeight="1">
      <c r="A611" s="16"/>
      <c r="B611" s="16"/>
      <c r="I611" s="17"/>
      <c r="J611" s="17"/>
      <c r="K611" s="17"/>
      <c r="L611" s="17"/>
    </row>
    <row r="612" ht="15.75" customHeight="1">
      <c r="A612" s="16"/>
      <c r="B612" s="16"/>
      <c r="I612" s="17"/>
      <c r="J612" s="17"/>
      <c r="K612" s="17"/>
      <c r="L612" s="17"/>
    </row>
    <row r="613" ht="15.75" customHeight="1">
      <c r="A613" s="16"/>
      <c r="B613" s="16"/>
      <c r="I613" s="17"/>
      <c r="J613" s="17"/>
      <c r="K613" s="17"/>
      <c r="L613" s="17"/>
    </row>
    <row r="614" ht="15.75" customHeight="1">
      <c r="A614" s="16"/>
      <c r="B614" s="16"/>
      <c r="I614" s="17"/>
      <c r="J614" s="17"/>
      <c r="K614" s="17"/>
      <c r="L614" s="17"/>
    </row>
    <row r="615" ht="15.75" customHeight="1">
      <c r="A615" s="16"/>
      <c r="B615" s="16"/>
      <c r="I615" s="17"/>
      <c r="J615" s="17"/>
      <c r="K615" s="17"/>
      <c r="L615" s="17"/>
    </row>
    <row r="616" ht="15.75" customHeight="1">
      <c r="A616" s="16"/>
      <c r="B616" s="16"/>
      <c r="I616" s="17"/>
      <c r="J616" s="17"/>
      <c r="K616" s="17"/>
      <c r="L616" s="17"/>
    </row>
    <row r="617" ht="15.75" customHeight="1">
      <c r="A617" s="16"/>
      <c r="B617" s="16"/>
      <c r="I617" s="17"/>
      <c r="J617" s="17"/>
      <c r="K617" s="17"/>
      <c r="L617" s="17"/>
    </row>
    <row r="618" ht="15.75" customHeight="1">
      <c r="A618" s="16"/>
      <c r="B618" s="16"/>
      <c r="I618" s="17"/>
      <c r="J618" s="17"/>
      <c r="K618" s="17"/>
      <c r="L618" s="17"/>
    </row>
    <row r="619" ht="15.75" customHeight="1">
      <c r="A619" s="16"/>
      <c r="B619" s="16"/>
      <c r="I619" s="17"/>
      <c r="J619" s="17"/>
      <c r="K619" s="17"/>
      <c r="L619" s="17"/>
    </row>
    <row r="620" ht="15.75" customHeight="1">
      <c r="A620" s="16"/>
      <c r="B620" s="16"/>
      <c r="I620" s="17"/>
      <c r="J620" s="17"/>
      <c r="K620" s="17"/>
      <c r="L620" s="17"/>
    </row>
    <row r="621" ht="15.75" customHeight="1">
      <c r="A621" s="16"/>
      <c r="B621" s="16"/>
      <c r="I621" s="17"/>
      <c r="J621" s="17"/>
      <c r="K621" s="17"/>
      <c r="L621" s="17"/>
    </row>
    <row r="622" ht="15.75" customHeight="1">
      <c r="A622" s="16"/>
      <c r="B622" s="16"/>
      <c r="I622" s="17"/>
      <c r="J622" s="17"/>
      <c r="K622" s="17"/>
      <c r="L622" s="17"/>
    </row>
    <row r="623" ht="15.75" customHeight="1">
      <c r="A623" s="16"/>
      <c r="B623" s="16"/>
      <c r="I623" s="17"/>
      <c r="J623" s="17"/>
      <c r="K623" s="17"/>
      <c r="L623" s="17"/>
    </row>
    <row r="624" ht="15.75" customHeight="1">
      <c r="A624" s="16"/>
      <c r="B624" s="16"/>
      <c r="I624" s="17"/>
      <c r="J624" s="17"/>
      <c r="K624" s="17"/>
      <c r="L624" s="17"/>
    </row>
    <row r="625" ht="15.75" customHeight="1">
      <c r="A625" s="16"/>
      <c r="B625" s="16"/>
      <c r="I625" s="17"/>
      <c r="J625" s="17"/>
      <c r="K625" s="17"/>
      <c r="L625" s="17"/>
    </row>
    <row r="626" ht="15.75" customHeight="1">
      <c r="A626" s="16"/>
      <c r="B626" s="16"/>
      <c r="I626" s="17"/>
      <c r="J626" s="17"/>
      <c r="K626" s="17"/>
      <c r="L626" s="17"/>
    </row>
    <row r="627" ht="15.75" customHeight="1">
      <c r="A627" s="16"/>
      <c r="B627" s="16"/>
      <c r="I627" s="17"/>
      <c r="J627" s="17"/>
      <c r="K627" s="17"/>
      <c r="L627" s="17"/>
    </row>
    <row r="628" ht="15.75" customHeight="1">
      <c r="A628" s="16"/>
      <c r="B628" s="16"/>
      <c r="I628" s="17"/>
      <c r="J628" s="17"/>
      <c r="K628" s="17"/>
      <c r="L628" s="17"/>
    </row>
    <row r="629" ht="15.75" customHeight="1">
      <c r="A629" s="16"/>
      <c r="B629" s="16"/>
      <c r="I629" s="17"/>
      <c r="J629" s="17"/>
      <c r="K629" s="17"/>
      <c r="L629" s="17"/>
    </row>
    <row r="630" ht="15.75" customHeight="1">
      <c r="A630" s="16"/>
      <c r="B630" s="16"/>
      <c r="I630" s="17"/>
      <c r="J630" s="17"/>
      <c r="K630" s="17"/>
      <c r="L630" s="17"/>
    </row>
    <row r="631" ht="15.75" customHeight="1">
      <c r="A631" s="16"/>
      <c r="B631" s="16"/>
      <c r="I631" s="17"/>
      <c r="J631" s="17"/>
      <c r="K631" s="17"/>
      <c r="L631" s="17"/>
    </row>
    <row r="632" ht="15.75" customHeight="1">
      <c r="A632" s="16"/>
      <c r="B632" s="16"/>
      <c r="I632" s="17"/>
      <c r="J632" s="17"/>
      <c r="K632" s="17"/>
      <c r="L632" s="17"/>
    </row>
    <row r="633" ht="15.75" customHeight="1">
      <c r="A633" s="16"/>
      <c r="B633" s="16"/>
      <c r="I633" s="17"/>
      <c r="J633" s="17"/>
      <c r="K633" s="17"/>
      <c r="L633" s="17"/>
    </row>
    <row r="634" ht="15.75" customHeight="1">
      <c r="A634" s="16"/>
      <c r="B634" s="16"/>
      <c r="I634" s="17"/>
      <c r="J634" s="17"/>
      <c r="K634" s="17"/>
      <c r="L634" s="17"/>
    </row>
    <row r="635" ht="15.75" customHeight="1">
      <c r="A635" s="16"/>
      <c r="B635" s="16"/>
      <c r="I635" s="17"/>
      <c r="J635" s="17"/>
      <c r="K635" s="17"/>
      <c r="L635" s="17"/>
    </row>
    <row r="636" ht="15.75" customHeight="1">
      <c r="A636" s="16"/>
      <c r="B636" s="16"/>
      <c r="I636" s="17"/>
      <c r="J636" s="17"/>
      <c r="K636" s="17"/>
      <c r="L636" s="17"/>
    </row>
    <row r="637" ht="15.75" customHeight="1">
      <c r="A637" s="16"/>
      <c r="B637" s="16"/>
      <c r="I637" s="17"/>
      <c r="J637" s="17"/>
      <c r="K637" s="17"/>
      <c r="L637" s="17"/>
    </row>
    <row r="638" ht="15.75" customHeight="1">
      <c r="A638" s="16"/>
      <c r="B638" s="16"/>
      <c r="I638" s="17"/>
      <c r="J638" s="17"/>
      <c r="K638" s="17"/>
      <c r="L638" s="17"/>
    </row>
    <row r="639" ht="15.75" customHeight="1">
      <c r="A639" s="16"/>
      <c r="B639" s="16"/>
      <c r="I639" s="17"/>
      <c r="J639" s="17"/>
      <c r="K639" s="17"/>
      <c r="L639" s="17"/>
    </row>
    <row r="640" ht="15.75" customHeight="1">
      <c r="A640" s="16"/>
      <c r="B640" s="16"/>
      <c r="I640" s="17"/>
      <c r="J640" s="17"/>
      <c r="K640" s="17"/>
      <c r="L640" s="17"/>
    </row>
    <row r="641" ht="15.75" customHeight="1">
      <c r="A641" s="16"/>
      <c r="B641" s="16"/>
      <c r="I641" s="17"/>
      <c r="J641" s="17"/>
      <c r="K641" s="17"/>
      <c r="L641" s="17"/>
    </row>
    <row r="642" ht="15.75" customHeight="1">
      <c r="A642" s="16"/>
      <c r="B642" s="16"/>
      <c r="I642" s="17"/>
      <c r="J642" s="17"/>
      <c r="K642" s="17"/>
      <c r="L642" s="17"/>
    </row>
    <row r="643" ht="15.75" customHeight="1">
      <c r="A643" s="16"/>
      <c r="B643" s="16"/>
      <c r="I643" s="17"/>
      <c r="J643" s="17"/>
      <c r="K643" s="17"/>
      <c r="L643" s="17"/>
    </row>
    <row r="644" ht="15.75" customHeight="1">
      <c r="A644" s="16"/>
      <c r="B644" s="16"/>
      <c r="I644" s="17"/>
      <c r="J644" s="17"/>
      <c r="K644" s="17"/>
      <c r="L644" s="17"/>
    </row>
    <row r="645" ht="15.75" customHeight="1">
      <c r="A645" s="16"/>
      <c r="B645" s="16"/>
      <c r="I645" s="17"/>
      <c r="J645" s="17"/>
      <c r="K645" s="17"/>
      <c r="L645" s="17"/>
    </row>
    <row r="646" ht="15.75" customHeight="1">
      <c r="A646" s="16"/>
      <c r="B646" s="16"/>
      <c r="I646" s="17"/>
      <c r="J646" s="17"/>
      <c r="K646" s="17"/>
      <c r="L646" s="17"/>
    </row>
    <row r="647" ht="15.75" customHeight="1">
      <c r="A647" s="16"/>
      <c r="B647" s="16"/>
      <c r="I647" s="17"/>
      <c r="J647" s="17"/>
      <c r="K647" s="17"/>
      <c r="L647" s="17"/>
    </row>
    <row r="648" ht="15.75" customHeight="1">
      <c r="A648" s="16"/>
      <c r="B648" s="16"/>
      <c r="I648" s="17"/>
      <c r="J648" s="17"/>
      <c r="K648" s="17"/>
      <c r="L648" s="17"/>
    </row>
    <row r="649" ht="15.75" customHeight="1">
      <c r="A649" s="16"/>
      <c r="B649" s="16"/>
      <c r="I649" s="17"/>
      <c r="J649" s="17"/>
      <c r="K649" s="17"/>
      <c r="L649" s="17"/>
    </row>
    <row r="650" ht="15.75" customHeight="1">
      <c r="A650" s="16"/>
      <c r="B650" s="16"/>
      <c r="I650" s="17"/>
      <c r="J650" s="17"/>
      <c r="K650" s="17"/>
      <c r="L650" s="17"/>
    </row>
    <row r="651" ht="15.75" customHeight="1">
      <c r="A651" s="16"/>
      <c r="B651" s="16"/>
      <c r="I651" s="17"/>
      <c r="J651" s="17"/>
      <c r="K651" s="17"/>
      <c r="L651" s="17"/>
    </row>
    <row r="652" ht="15.75" customHeight="1">
      <c r="A652" s="16"/>
      <c r="B652" s="16"/>
      <c r="I652" s="17"/>
      <c r="J652" s="17"/>
      <c r="K652" s="17"/>
      <c r="L652" s="17"/>
    </row>
    <row r="653" ht="15.75" customHeight="1">
      <c r="A653" s="16"/>
      <c r="B653" s="16"/>
      <c r="I653" s="17"/>
      <c r="J653" s="17"/>
      <c r="K653" s="17"/>
      <c r="L653" s="17"/>
    </row>
    <row r="654" ht="15.75" customHeight="1">
      <c r="A654" s="16"/>
      <c r="B654" s="16"/>
      <c r="I654" s="17"/>
      <c r="J654" s="17"/>
      <c r="K654" s="17"/>
      <c r="L654" s="17"/>
    </row>
    <row r="655" ht="15.75" customHeight="1">
      <c r="A655" s="16"/>
      <c r="B655" s="16"/>
      <c r="I655" s="17"/>
      <c r="J655" s="17"/>
      <c r="K655" s="17"/>
      <c r="L655" s="17"/>
    </row>
    <row r="656" ht="15.75" customHeight="1">
      <c r="A656" s="16"/>
      <c r="B656" s="16"/>
      <c r="I656" s="17"/>
      <c r="J656" s="17"/>
      <c r="K656" s="17"/>
      <c r="L656" s="17"/>
    </row>
    <row r="657" ht="15.75" customHeight="1">
      <c r="A657" s="16"/>
      <c r="B657" s="16"/>
      <c r="I657" s="17"/>
      <c r="J657" s="17"/>
      <c r="K657" s="17"/>
      <c r="L657" s="17"/>
    </row>
    <row r="658" ht="15.75" customHeight="1">
      <c r="A658" s="16"/>
      <c r="B658" s="16"/>
      <c r="I658" s="17"/>
      <c r="J658" s="17"/>
      <c r="K658" s="17"/>
      <c r="L658" s="17"/>
    </row>
    <row r="659" ht="15.75" customHeight="1">
      <c r="A659" s="16"/>
      <c r="B659" s="16"/>
      <c r="I659" s="17"/>
      <c r="J659" s="17"/>
      <c r="K659" s="17"/>
      <c r="L659" s="17"/>
    </row>
    <row r="660" ht="15.75" customHeight="1">
      <c r="A660" s="16"/>
      <c r="B660" s="16"/>
      <c r="I660" s="17"/>
      <c r="J660" s="17"/>
      <c r="K660" s="17"/>
      <c r="L660" s="17"/>
    </row>
    <row r="661" ht="15.75" customHeight="1">
      <c r="A661" s="16"/>
      <c r="B661" s="16"/>
      <c r="I661" s="17"/>
      <c r="J661" s="17"/>
      <c r="K661" s="17"/>
      <c r="L661" s="17"/>
    </row>
    <row r="662" ht="15.75" customHeight="1">
      <c r="A662" s="16"/>
      <c r="B662" s="16"/>
      <c r="I662" s="17"/>
      <c r="J662" s="17"/>
      <c r="K662" s="17"/>
      <c r="L662" s="17"/>
    </row>
    <row r="663" ht="15.75" customHeight="1">
      <c r="A663" s="16"/>
      <c r="B663" s="16"/>
      <c r="I663" s="17"/>
      <c r="J663" s="17"/>
      <c r="K663" s="17"/>
      <c r="L663" s="17"/>
    </row>
    <row r="664" ht="15.75" customHeight="1">
      <c r="A664" s="16"/>
      <c r="B664" s="16"/>
      <c r="I664" s="17"/>
      <c r="J664" s="17"/>
      <c r="K664" s="17"/>
      <c r="L664" s="17"/>
    </row>
    <row r="665" ht="15.75" customHeight="1">
      <c r="A665" s="16"/>
      <c r="B665" s="16"/>
      <c r="I665" s="17"/>
      <c r="J665" s="17"/>
      <c r="K665" s="17"/>
      <c r="L665" s="17"/>
    </row>
    <row r="666" ht="15.75" customHeight="1">
      <c r="A666" s="16"/>
      <c r="B666" s="16"/>
      <c r="I666" s="17"/>
      <c r="J666" s="17"/>
      <c r="K666" s="17"/>
      <c r="L666" s="17"/>
    </row>
    <row r="667" ht="15.75" customHeight="1">
      <c r="A667" s="16"/>
      <c r="B667" s="16"/>
      <c r="I667" s="17"/>
      <c r="J667" s="17"/>
      <c r="K667" s="17"/>
      <c r="L667" s="17"/>
    </row>
    <row r="668" ht="15.75" customHeight="1">
      <c r="A668" s="16"/>
      <c r="B668" s="16"/>
      <c r="I668" s="17"/>
      <c r="J668" s="17"/>
      <c r="K668" s="17"/>
      <c r="L668" s="17"/>
    </row>
    <row r="669" ht="15.75" customHeight="1">
      <c r="A669" s="16"/>
      <c r="B669" s="16"/>
      <c r="I669" s="17"/>
      <c r="J669" s="17"/>
      <c r="K669" s="17"/>
      <c r="L669" s="17"/>
    </row>
    <row r="670" ht="15.75" customHeight="1">
      <c r="A670" s="16"/>
      <c r="B670" s="16"/>
      <c r="I670" s="17"/>
      <c r="J670" s="17"/>
      <c r="K670" s="17"/>
      <c r="L670" s="17"/>
    </row>
    <row r="671" ht="15.75" customHeight="1">
      <c r="A671" s="16"/>
      <c r="B671" s="16"/>
      <c r="I671" s="17"/>
      <c r="J671" s="17"/>
      <c r="K671" s="17"/>
      <c r="L671" s="17"/>
    </row>
    <row r="672" ht="15.75" customHeight="1">
      <c r="A672" s="16"/>
      <c r="B672" s="16"/>
      <c r="I672" s="17"/>
      <c r="J672" s="17"/>
      <c r="K672" s="17"/>
      <c r="L672" s="17"/>
    </row>
    <row r="673" ht="15.75" customHeight="1">
      <c r="A673" s="16"/>
      <c r="B673" s="16"/>
      <c r="I673" s="17"/>
      <c r="J673" s="17"/>
      <c r="K673" s="17"/>
      <c r="L673" s="17"/>
    </row>
    <row r="674" ht="15.75" customHeight="1">
      <c r="A674" s="16"/>
      <c r="B674" s="16"/>
      <c r="I674" s="17"/>
      <c r="J674" s="17"/>
      <c r="K674" s="17"/>
      <c r="L674" s="17"/>
    </row>
    <row r="675" ht="15.75" customHeight="1">
      <c r="A675" s="16"/>
      <c r="B675" s="16"/>
      <c r="I675" s="17"/>
      <c r="J675" s="17"/>
      <c r="K675" s="17"/>
      <c r="L675" s="17"/>
    </row>
    <row r="676" ht="15.75" customHeight="1">
      <c r="A676" s="16"/>
      <c r="B676" s="16"/>
      <c r="I676" s="17"/>
      <c r="J676" s="17"/>
      <c r="K676" s="17"/>
      <c r="L676" s="17"/>
    </row>
    <row r="677" ht="15.75" customHeight="1">
      <c r="A677" s="16"/>
      <c r="B677" s="16"/>
      <c r="I677" s="17"/>
      <c r="J677" s="17"/>
      <c r="K677" s="17"/>
      <c r="L677" s="17"/>
    </row>
    <row r="678" ht="15.75" customHeight="1">
      <c r="A678" s="16"/>
      <c r="B678" s="16"/>
      <c r="I678" s="17"/>
      <c r="J678" s="17"/>
      <c r="K678" s="17"/>
      <c r="L678" s="17"/>
    </row>
    <row r="679" ht="15.75" customHeight="1">
      <c r="A679" s="16"/>
      <c r="B679" s="16"/>
      <c r="I679" s="17"/>
      <c r="J679" s="17"/>
      <c r="K679" s="17"/>
      <c r="L679" s="17"/>
    </row>
    <row r="680" ht="15.75" customHeight="1">
      <c r="A680" s="16"/>
      <c r="B680" s="16"/>
      <c r="I680" s="17"/>
      <c r="J680" s="17"/>
      <c r="K680" s="17"/>
      <c r="L680" s="17"/>
    </row>
    <row r="681" ht="15.75" customHeight="1">
      <c r="A681" s="16"/>
      <c r="B681" s="16"/>
      <c r="I681" s="17"/>
      <c r="J681" s="17"/>
      <c r="K681" s="17"/>
      <c r="L681" s="17"/>
    </row>
    <row r="682" ht="15.75" customHeight="1">
      <c r="A682" s="16"/>
      <c r="B682" s="16"/>
      <c r="I682" s="17"/>
      <c r="J682" s="17"/>
      <c r="K682" s="17"/>
      <c r="L682" s="17"/>
    </row>
    <row r="683" ht="15.75" customHeight="1">
      <c r="A683" s="16"/>
      <c r="B683" s="16"/>
      <c r="I683" s="17"/>
      <c r="J683" s="17"/>
      <c r="K683" s="17"/>
      <c r="L683" s="17"/>
    </row>
    <row r="684" ht="15.75" customHeight="1">
      <c r="A684" s="16"/>
      <c r="B684" s="16"/>
      <c r="I684" s="17"/>
      <c r="J684" s="17"/>
      <c r="K684" s="17"/>
      <c r="L684" s="17"/>
    </row>
    <row r="685" ht="15.75" customHeight="1">
      <c r="A685" s="16"/>
      <c r="B685" s="16"/>
      <c r="I685" s="17"/>
      <c r="J685" s="17"/>
      <c r="K685" s="17"/>
      <c r="L685" s="17"/>
    </row>
    <row r="686" ht="15.75" customHeight="1">
      <c r="A686" s="16"/>
      <c r="B686" s="16"/>
      <c r="I686" s="17"/>
      <c r="J686" s="17"/>
      <c r="K686" s="17"/>
      <c r="L686" s="17"/>
    </row>
    <row r="687" ht="15.75" customHeight="1">
      <c r="A687" s="16"/>
      <c r="B687" s="16"/>
      <c r="I687" s="17"/>
      <c r="J687" s="17"/>
      <c r="K687" s="17"/>
      <c r="L687" s="17"/>
    </row>
    <row r="688" ht="15.75" customHeight="1">
      <c r="A688" s="16"/>
      <c r="B688" s="16"/>
      <c r="I688" s="17"/>
      <c r="J688" s="17"/>
      <c r="K688" s="17"/>
      <c r="L688" s="17"/>
    </row>
    <row r="689" ht="15.75" customHeight="1">
      <c r="A689" s="16"/>
      <c r="B689" s="16"/>
      <c r="I689" s="17"/>
      <c r="J689" s="17"/>
      <c r="K689" s="17"/>
      <c r="L689" s="17"/>
    </row>
    <row r="690" ht="15.75" customHeight="1">
      <c r="A690" s="16"/>
      <c r="B690" s="16"/>
      <c r="I690" s="17"/>
      <c r="J690" s="17"/>
      <c r="K690" s="17"/>
      <c r="L690" s="17"/>
    </row>
    <row r="691" ht="15.75" customHeight="1">
      <c r="A691" s="16"/>
      <c r="B691" s="16"/>
      <c r="I691" s="17"/>
      <c r="J691" s="17"/>
      <c r="K691" s="17"/>
      <c r="L691" s="17"/>
    </row>
    <row r="692" ht="15.75" customHeight="1">
      <c r="A692" s="16"/>
      <c r="B692" s="16"/>
      <c r="I692" s="17"/>
      <c r="J692" s="17"/>
      <c r="K692" s="17"/>
      <c r="L692" s="17"/>
    </row>
    <row r="693" ht="15.75" customHeight="1">
      <c r="A693" s="16"/>
      <c r="B693" s="16"/>
      <c r="I693" s="17"/>
      <c r="J693" s="17"/>
      <c r="K693" s="17"/>
      <c r="L693" s="17"/>
    </row>
    <row r="694" ht="15.75" customHeight="1">
      <c r="A694" s="16"/>
      <c r="B694" s="16"/>
      <c r="I694" s="17"/>
      <c r="J694" s="17"/>
      <c r="K694" s="17"/>
      <c r="L694" s="17"/>
    </row>
    <row r="695" ht="15.75" customHeight="1">
      <c r="A695" s="16"/>
      <c r="B695" s="16"/>
      <c r="I695" s="17"/>
      <c r="J695" s="17"/>
      <c r="K695" s="17"/>
      <c r="L695" s="17"/>
    </row>
    <row r="696" ht="15.75" customHeight="1">
      <c r="A696" s="16"/>
      <c r="B696" s="16"/>
      <c r="I696" s="17"/>
      <c r="J696" s="17"/>
      <c r="K696" s="17"/>
      <c r="L696" s="17"/>
    </row>
    <row r="697" ht="15.75" customHeight="1">
      <c r="A697" s="16"/>
      <c r="B697" s="16"/>
      <c r="I697" s="17"/>
      <c r="J697" s="17"/>
      <c r="K697" s="17"/>
      <c r="L697" s="17"/>
    </row>
    <row r="698" ht="15.75" customHeight="1">
      <c r="A698" s="16"/>
      <c r="B698" s="16"/>
      <c r="I698" s="17"/>
      <c r="J698" s="17"/>
      <c r="K698" s="17"/>
      <c r="L698" s="17"/>
    </row>
    <row r="699" ht="15.75" customHeight="1">
      <c r="A699" s="16"/>
      <c r="B699" s="16"/>
      <c r="I699" s="17"/>
      <c r="J699" s="17"/>
      <c r="K699" s="17"/>
      <c r="L699" s="17"/>
    </row>
    <row r="700" ht="15.75" customHeight="1">
      <c r="A700" s="16"/>
      <c r="B700" s="16"/>
      <c r="I700" s="17"/>
      <c r="J700" s="17"/>
      <c r="K700" s="17"/>
      <c r="L700" s="17"/>
    </row>
    <row r="701" ht="15.75" customHeight="1">
      <c r="A701" s="16"/>
      <c r="B701" s="16"/>
      <c r="I701" s="17"/>
      <c r="J701" s="17"/>
      <c r="K701" s="17"/>
      <c r="L701" s="17"/>
    </row>
    <row r="702" ht="15.75" customHeight="1">
      <c r="A702" s="16"/>
      <c r="B702" s="16"/>
      <c r="I702" s="17"/>
      <c r="J702" s="17"/>
      <c r="K702" s="17"/>
      <c r="L702" s="17"/>
    </row>
    <row r="703" ht="15.75" customHeight="1">
      <c r="A703" s="16"/>
      <c r="B703" s="16"/>
      <c r="I703" s="17"/>
      <c r="J703" s="17"/>
      <c r="K703" s="17"/>
      <c r="L703" s="17"/>
    </row>
    <row r="704" ht="15.75" customHeight="1">
      <c r="A704" s="16"/>
      <c r="B704" s="16"/>
      <c r="I704" s="17"/>
      <c r="J704" s="17"/>
      <c r="K704" s="17"/>
      <c r="L704" s="17"/>
    </row>
    <row r="705" ht="15.75" customHeight="1">
      <c r="A705" s="16"/>
      <c r="B705" s="16"/>
      <c r="I705" s="17"/>
      <c r="J705" s="17"/>
      <c r="K705" s="17"/>
      <c r="L705" s="17"/>
    </row>
    <row r="706" ht="15.75" customHeight="1">
      <c r="A706" s="16"/>
      <c r="B706" s="16"/>
      <c r="I706" s="17"/>
      <c r="J706" s="17"/>
      <c r="K706" s="17"/>
      <c r="L706" s="17"/>
    </row>
    <row r="707" ht="15.75" customHeight="1">
      <c r="A707" s="16"/>
      <c r="B707" s="16"/>
      <c r="I707" s="17"/>
      <c r="J707" s="17"/>
      <c r="K707" s="17"/>
      <c r="L707" s="17"/>
    </row>
    <row r="708" ht="15.75" customHeight="1">
      <c r="A708" s="16"/>
      <c r="B708" s="16"/>
      <c r="I708" s="17"/>
      <c r="J708" s="17"/>
      <c r="K708" s="17"/>
      <c r="L708" s="17"/>
    </row>
    <row r="709" ht="15.75" customHeight="1">
      <c r="A709" s="16"/>
      <c r="B709" s="16"/>
      <c r="I709" s="17"/>
      <c r="J709" s="17"/>
      <c r="K709" s="17"/>
      <c r="L709" s="17"/>
    </row>
    <row r="710" ht="15.75" customHeight="1">
      <c r="A710" s="16"/>
      <c r="B710" s="16"/>
      <c r="I710" s="17"/>
      <c r="J710" s="17"/>
      <c r="K710" s="17"/>
      <c r="L710" s="17"/>
    </row>
    <row r="711" ht="15.75" customHeight="1">
      <c r="A711" s="16"/>
      <c r="B711" s="16"/>
      <c r="I711" s="17"/>
      <c r="J711" s="17"/>
      <c r="K711" s="17"/>
      <c r="L711" s="17"/>
    </row>
    <row r="712" ht="15.75" customHeight="1">
      <c r="A712" s="16"/>
      <c r="B712" s="16"/>
      <c r="I712" s="17"/>
      <c r="J712" s="17"/>
      <c r="K712" s="17"/>
      <c r="L712" s="17"/>
    </row>
    <row r="713" ht="15.75" customHeight="1">
      <c r="A713" s="16"/>
      <c r="B713" s="16"/>
      <c r="I713" s="17"/>
      <c r="J713" s="17"/>
      <c r="K713" s="17"/>
      <c r="L713" s="17"/>
    </row>
    <row r="714" ht="15.75" customHeight="1">
      <c r="A714" s="16"/>
      <c r="B714" s="16"/>
      <c r="I714" s="17"/>
      <c r="J714" s="17"/>
      <c r="K714" s="17"/>
      <c r="L714" s="17"/>
    </row>
    <row r="715" ht="15.75" customHeight="1">
      <c r="A715" s="16"/>
      <c r="B715" s="16"/>
      <c r="I715" s="17"/>
      <c r="J715" s="17"/>
      <c r="K715" s="17"/>
      <c r="L715" s="17"/>
    </row>
    <row r="716" ht="15.75" customHeight="1">
      <c r="A716" s="16"/>
      <c r="B716" s="16"/>
      <c r="I716" s="17"/>
      <c r="J716" s="17"/>
      <c r="K716" s="17"/>
      <c r="L716" s="17"/>
    </row>
    <row r="717" ht="15.75" customHeight="1">
      <c r="A717" s="16"/>
      <c r="B717" s="16"/>
      <c r="I717" s="17"/>
      <c r="J717" s="17"/>
      <c r="K717" s="17"/>
      <c r="L717" s="17"/>
    </row>
    <row r="718" ht="15.75" customHeight="1">
      <c r="A718" s="16"/>
      <c r="B718" s="16"/>
      <c r="I718" s="17"/>
      <c r="J718" s="17"/>
      <c r="K718" s="17"/>
      <c r="L718" s="17"/>
    </row>
    <row r="719" ht="15.75" customHeight="1">
      <c r="A719" s="16"/>
      <c r="B719" s="16"/>
      <c r="I719" s="17"/>
      <c r="J719" s="17"/>
      <c r="K719" s="17"/>
      <c r="L719" s="17"/>
    </row>
    <row r="720" ht="15.75" customHeight="1">
      <c r="A720" s="16"/>
      <c r="B720" s="16"/>
      <c r="I720" s="17"/>
      <c r="J720" s="17"/>
      <c r="K720" s="17"/>
      <c r="L720" s="17"/>
    </row>
    <row r="721" ht="15.75" customHeight="1">
      <c r="A721" s="16"/>
      <c r="B721" s="16"/>
      <c r="I721" s="17"/>
      <c r="J721" s="17"/>
      <c r="K721" s="17"/>
      <c r="L721" s="17"/>
    </row>
    <row r="722" ht="15.75" customHeight="1">
      <c r="A722" s="16"/>
      <c r="B722" s="16"/>
      <c r="I722" s="17"/>
      <c r="J722" s="17"/>
      <c r="K722" s="17"/>
      <c r="L722" s="17"/>
    </row>
    <row r="723" ht="15.75" customHeight="1">
      <c r="A723" s="16"/>
      <c r="B723" s="16"/>
      <c r="I723" s="17"/>
      <c r="J723" s="17"/>
      <c r="K723" s="17"/>
      <c r="L723" s="17"/>
    </row>
    <row r="724" ht="15.75" customHeight="1">
      <c r="A724" s="16"/>
      <c r="B724" s="16"/>
      <c r="I724" s="17"/>
      <c r="J724" s="17"/>
      <c r="K724" s="17"/>
      <c r="L724" s="17"/>
    </row>
    <row r="725" ht="15.75" customHeight="1">
      <c r="A725" s="16"/>
      <c r="B725" s="16"/>
      <c r="I725" s="17"/>
      <c r="J725" s="17"/>
      <c r="K725" s="17"/>
      <c r="L725" s="17"/>
    </row>
    <row r="726" ht="15.75" customHeight="1">
      <c r="A726" s="16"/>
      <c r="B726" s="16"/>
      <c r="I726" s="17"/>
      <c r="J726" s="17"/>
      <c r="K726" s="17"/>
      <c r="L726" s="17"/>
    </row>
    <row r="727" ht="15.75" customHeight="1">
      <c r="A727" s="16"/>
      <c r="B727" s="16"/>
      <c r="I727" s="17"/>
      <c r="J727" s="17"/>
      <c r="K727" s="17"/>
      <c r="L727" s="17"/>
    </row>
    <row r="728" ht="15.75" customHeight="1">
      <c r="A728" s="16"/>
      <c r="B728" s="16"/>
      <c r="I728" s="17"/>
      <c r="J728" s="17"/>
      <c r="K728" s="17"/>
      <c r="L728" s="17"/>
    </row>
    <row r="729" ht="15.75" customHeight="1">
      <c r="A729" s="16"/>
      <c r="B729" s="16"/>
      <c r="I729" s="17"/>
      <c r="J729" s="17"/>
      <c r="K729" s="17"/>
      <c r="L729" s="17"/>
    </row>
    <row r="730" ht="15.75" customHeight="1">
      <c r="A730" s="16"/>
      <c r="B730" s="16"/>
      <c r="I730" s="17"/>
      <c r="J730" s="17"/>
      <c r="K730" s="17"/>
      <c r="L730" s="17"/>
    </row>
    <row r="731" ht="15.75" customHeight="1">
      <c r="A731" s="16"/>
      <c r="B731" s="16"/>
      <c r="I731" s="17"/>
      <c r="J731" s="17"/>
      <c r="K731" s="17"/>
      <c r="L731" s="17"/>
    </row>
    <row r="732" ht="15.75" customHeight="1">
      <c r="A732" s="16"/>
      <c r="B732" s="16"/>
      <c r="I732" s="17"/>
      <c r="J732" s="17"/>
      <c r="K732" s="17"/>
      <c r="L732" s="17"/>
    </row>
    <row r="733" ht="15.75" customHeight="1">
      <c r="A733" s="16"/>
      <c r="B733" s="16"/>
      <c r="I733" s="17"/>
      <c r="J733" s="17"/>
      <c r="K733" s="17"/>
      <c r="L733" s="17"/>
    </row>
    <row r="734" ht="15.75" customHeight="1">
      <c r="A734" s="16"/>
      <c r="B734" s="16"/>
      <c r="I734" s="17"/>
      <c r="J734" s="17"/>
      <c r="K734" s="17"/>
      <c r="L734" s="17"/>
    </row>
    <row r="735" ht="15.75" customHeight="1">
      <c r="A735" s="16"/>
      <c r="B735" s="16"/>
      <c r="I735" s="17"/>
      <c r="J735" s="17"/>
      <c r="K735" s="17"/>
      <c r="L735" s="17"/>
    </row>
    <row r="736" ht="15.75" customHeight="1">
      <c r="A736" s="16"/>
      <c r="B736" s="16"/>
      <c r="I736" s="17"/>
      <c r="J736" s="17"/>
      <c r="K736" s="17"/>
      <c r="L736" s="17"/>
    </row>
    <row r="737" ht="15.75" customHeight="1">
      <c r="A737" s="16"/>
      <c r="B737" s="16"/>
      <c r="I737" s="17"/>
      <c r="J737" s="17"/>
      <c r="K737" s="17"/>
      <c r="L737" s="17"/>
    </row>
    <row r="738" ht="15.75" customHeight="1">
      <c r="A738" s="16"/>
      <c r="B738" s="16"/>
      <c r="I738" s="17"/>
      <c r="J738" s="17"/>
      <c r="K738" s="17"/>
      <c r="L738" s="17"/>
    </row>
    <row r="739" ht="15.75" customHeight="1">
      <c r="A739" s="16"/>
      <c r="B739" s="16"/>
      <c r="I739" s="17"/>
      <c r="J739" s="17"/>
      <c r="K739" s="17"/>
      <c r="L739" s="17"/>
    </row>
    <row r="740" ht="15.75" customHeight="1">
      <c r="A740" s="16"/>
      <c r="B740" s="16"/>
      <c r="I740" s="17"/>
      <c r="J740" s="17"/>
      <c r="K740" s="17"/>
      <c r="L740" s="17"/>
    </row>
    <row r="741" ht="15.75" customHeight="1">
      <c r="A741" s="16"/>
      <c r="B741" s="16"/>
      <c r="I741" s="17"/>
      <c r="J741" s="17"/>
      <c r="K741" s="17"/>
      <c r="L741" s="17"/>
    </row>
    <row r="742" ht="15.75" customHeight="1">
      <c r="A742" s="16"/>
      <c r="B742" s="16"/>
      <c r="I742" s="17"/>
      <c r="J742" s="17"/>
      <c r="K742" s="17"/>
      <c r="L742" s="17"/>
    </row>
    <row r="743" ht="15.75" customHeight="1">
      <c r="A743" s="16"/>
      <c r="B743" s="16"/>
      <c r="I743" s="17"/>
      <c r="J743" s="17"/>
      <c r="K743" s="17"/>
      <c r="L743" s="17"/>
    </row>
    <row r="744" ht="15.75" customHeight="1">
      <c r="A744" s="16"/>
      <c r="B744" s="16"/>
      <c r="I744" s="17"/>
      <c r="J744" s="17"/>
      <c r="K744" s="17"/>
      <c r="L744" s="17"/>
    </row>
    <row r="745" ht="15.75" customHeight="1">
      <c r="A745" s="16"/>
      <c r="B745" s="16"/>
      <c r="I745" s="17"/>
      <c r="J745" s="17"/>
      <c r="K745" s="17"/>
      <c r="L745" s="17"/>
    </row>
    <row r="746" ht="15.75" customHeight="1">
      <c r="A746" s="16"/>
      <c r="B746" s="16"/>
      <c r="I746" s="17"/>
      <c r="J746" s="17"/>
      <c r="K746" s="17"/>
      <c r="L746" s="17"/>
    </row>
    <row r="747" ht="15.75" customHeight="1">
      <c r="A747" s="16"/>
      <c r="B747" s="16"/>
      <c r="I747" s="17"/>
      <c r="J747" s="17"/>
      <c r="K747" s="17"/>
      <c r="L747" s="17"/>
    </row>
    <row r="748" ht="15.75" customHeight="1">
      <c r="A748" s="16"/>
      <c r="B748" s="16"/>
      <c r="I748" s="17"/>
      <c r="J748" s="17"/>
      <c r="K748" s="17"/>
      <c r="L748" s="17"/>
    </row>
    <row r="749" ht="15.75" customHeight="1">
      <c r="A749" s="16"/>
      <c r="B749" s="16"/>
      <c r="I749" s="17"/>
      <c r="J749" s="17"/>
      <c r="K749" s="17"/>
      <c r="L749" s="17"/>
    </row>
    <row r="750" ht="15.75" customHeight="1">
      <c r="A750" s="16"/>
      <c r="B750" s="16"/>
      <c r="I750" s="17"/>
      <c r="J750" s="17"/>
      <c r="K750" s="17"/>
      <c r="L750" s="17"/>
    </row>
    <row r="751" ht="15.75" customHeight="1">
      <c r="A751" s="16"/>
      <c r="B751" s="16"/>
      <c r="I751" s="17"/>
      <c r="J751" s="17"/>
      <c r="K751" s="17"/>
      <c r="L751" s="17"/>
    </row>
    <row r="752" ht="15.75" customHeight="1">
      <c r="A752" s="16"/>
      <c r="B752" s="16"/>
      <c r="I752" s="17"/>
      <c r="J752" s="17"/>
      <c r="K752" s="17"/>
      <c r="L752" s="17"/>
    </row>
    <row r="753" ht="15.75" customHeight="1">
      <c r="A753" s="16"/>
      <c r="B753" s="16"/>
      <c r="I753" s="17"/>
      <c r="J753" s="17"/>
      <c r="K753" s="17"/>
      <c r="L753" s="17"/>
    </row>
    <row r="754" ht="15.75" customHeight="1">
      <c r="A754" s="16"/>
      <c r="B754" s="16"/>
      <c r="I754" s="17"/>
      <c r="J754" s="17"/>
      <c r="K754" s="17"/>
      <c r="L754" s="17"/>
    </row>
    <row r="755" ht="15.75" customHeight="1">
      <c r="A755" s="16"/>
      <c r="B755" s="16"/>
      <c r="I755" s="17"/>
      <c r="J755" s="17"/>
      <c r="K755" s="17"/>
      <c r="L755" s="17"/>
    </row>
    <row r="756" ht="15.75" customHeight="1">
      <c r="A756" s="16"/>
      <c r="B756" s="16"/>
      <c r="I756" s="17"/>
      <c r="J756" s="17"/>
      <c r="K756" s="17"/>
      <c r="L756" s="17"/>
    </row>
    <row r="757" ht="15.75" customHeight="1">
      <c r="A757" s="16"/>
      <c r="B757" s="16"/>
      <c r="I757" s="17"/>
      <c r="J757" s="17"/>
      <c r="K757" s="17"/>
      <c r="L757" s="17"/>
    </row>
    <row r="758" ht="15.75" customHeight="1">
      <c r="A758" s="16"/>
      <c r="B758" s="16"/>
      <c r="I758" s="17"/>
      <c r="J758" s="17"/>
      <c r="K758" s="17"/>
      <c r="L758" s="17"/>
    </row>
    <row r="759" ht="15.75" customHeight="1">
      <c r="A759" s="16"/>
      <c r="B759" s="16"/>
      <c r="I759" s="17"/>
      <c r="J759" s="17"/>
      <c r="K759" s="17"/>
      <c r="L759" s="17"/>
    </row>
    <row r="760" ht="15.75" customHeight="1">
      <c r="A760" s="16"/>
      <c r="B760" s="16"/>
      <c r="I760" s="17"/>
      <c r="J760" s="17"/>
      <c r="K760" s="17"/>
      <c r="L760" s="17"/>
    </row>
    <row r="761" ht="15.75" customHeight="1">
      <c r="A761" s="16"/>
      <c r="B761" s="16"/>
      <c r="I761" s="17"/>
      <c r="J761" s="17"/>
      <c r="K761" s="17"/>
      <c r="L761" s="17"/>
    </row>
    <row r="762" ht="15.75" customHeight="1">
      <c r="A762" s="16"/>
      <c r="B762" s="16"/>
      <c r="I762" s="17"/>
      <c r="J762" s="17"/>
      <c r="K762" s="17"/>
      <c r="L762" s="17"/>
    </row>
    <row r="763" ht="15.75" customHeight="1">
      <c r="A763" s="16"/>
      <c r="B763" s="16"/>
      <c r="I763" s="17"/>
      <c r="J763" s="17"/>
      <c r="K763" s="17"/>
      <c r="L763" s="17"/>
    </row>
    <row r="764" ht="15.75" customHeight="1">
      <c r="A764" s="16"/>
      <c r="B764" s="16"/>
      <c r="I764" s="17"/>
      <c r="J764" s="17"/>
      <c r="K764" s="17"/>
      <c r="L764" s="17"/>
    </row>
    <row r="765" ht="15.75" customHeight="1">
      <c r="A765" s="16"/>
      <c r="B765" s="16"/>
      <c r="I765" s="17"/>
      <c r="J765" s="17"/>
      <c r="K765" s="17"/>
      <c r="L765" s="17"/>
    </row>
    <row r="766" ht="15.75" customHeight="1">
      <c r="A766" s="16"/>
      <c r="B766" s="16"/>
      <c r="I766" s="17"/>
      <c r="J766" s="17"/>
      <c r="K766" s="17"/>
      <c r="L766" s="17"/>
    </row>
    <row r="767" ht="15.75" customHeight="1">
      <c r="A767" s="16"/>
      <c r="B767" s="16"/>
      <c r="I767" s="17"/>
      <c r="J767" s="17"/>
      <c r="K767" s="17"/>
      <c r="L767" s="17"/>
    </row>
    <row r="768" ht="15.75" customHeight="1">
      <c r="A768" s="16"/>
      <c r="B768" s="16"/>
      <c r="I768" s="17"/>
      <c r="J768" s="17"/>
      <c r="K768" s="17"/>
      <c r="L768" s="17"/>
    </row>
    <row r="769" ht="15.75" customHeight="1">
      <c r="A769" s="16"/>
      <c r="B769" s="16"/>
      <c r="I769" s="17"/>
      <c r="J769" s="17"/>
      <c r="K769" s="17"/>
      <c r="L769" s="17"/>
    </row>
    <row r="770" ht="15.75" customHeight="1">
      <c r="A770" s="16"/>
      <c r="B770" s="16"/>
      <c r="I770" s="17"/>
      <c r="J770" s="17"/>
      <c r="K770" s="17"/>
      <c r="L770" s="17"/>
    </row>
    <row r="771" ht="15.75" customHeight="1">
      <c r="A771" s="16"/>
      <c r="B771" s="16"/>
      <c r="I771" s="17"/>
      <c r="J771" s="17"/>
      <c r="K771" s="17"/>
      <c r="L771" s="17"/>
    </row>
    <row r="772" ht="15.75" customHeight="1">
      <c r="A772" s="16"/>
      <c r="B772" s="16"/>
      <c r="I772" s="17"/>
      <c r="J772" s="17"/>
      <c r="K772" s="17"/>
      <c r="L772" s="17"/>
    </row>
    <row r="773" ht="15.75" customHeight="1">
      <c r="A773" s="16"/>
      <c r="B773" s="16"/>
      <c r="I773" s="17"/>
      <c r="J773" s="17"/>
      <c r="K773" s="17"/>
      <c r="L773" s="17"/>
    </row>
    <row r="774" ht="15.75" customHeight="1">
      <c r="A774" s="16"/>
      <c r="B774" s="16"/>
      <c r="I774" s="17"/>
      <c r="J774" s="17"/>
      <c r="K774" s="17"/>
      <c r="L774" s="17"/>
    </row>
    <row r="775" ht="15.75" customHeight="1">
      <c r="A775" s="16"/>
      <c r="B775" s="16"/>
      <c r="I775" s="17"/>
      <c r="J775" s="17"/>
      <c r="K775" s="17"/>
      <c r="L775" s="17"/>
    </row>
    <row r="776" ht="15.75" customHeight="1">
      <c r="A776" s="16"/>
      <c r="B776" s="16"/>
      <c r="I776" s="17"/>
      <c r="J776" s="17"/>
      <c r="K776" s="17"/>
      <c r="L776" s="17"/>
    </row>
    <row r="777" ht="15.75" customHeight="1">
      <c r="A777" s="16"/>
      <c r="B777" s="16"/>
      <c r="I777" s="17"/>
      <c r="J777" s="17"/>
      <c r="K777" s="17"/>
      <c r="L777" s="17"/>
    </row>
    <row r="778" ht="15.75" customHeight="1">
      <c r="A778" s="16"/>
      <c r="B778" s="16"/>
      <c r="I778" s="17"/>
      <c r="J778" s="17"/>
      <c r="K778" s="17"/>
      <c r="L778" s="17"/>
    </row>
    <row r="779" ht="15.75" customHeight="1">
      <c r="A779" s="16"/>
      <c r="B779" s="16"/>
      <c r="I779" s="17"/>
      <c r="J779" s="17"/>
      <c r="K779" s="17"/>
      <c r="L779" s="17"/>
    </row>
    <row r="780" ht="15.75" customHeight="1">
      <c r="A780" s="16"/>
      <c r="B780" s="16"/>
      <c r="I780" s="17"/>
      <c r="J780" s="17"/>
      <c r="K780" s="17"/>
      <c r="L780" s="17"/>
    </row>
    <row r="781" ht="15.75" customHeight="1">
      <c r="A781" s="16"/>
      <c r="B781" s="16"/>
      <c r="I781" s="17"/>
      <c r="J781" s="17"/>
      <c r="K781" s="17"/>
      <c r="L781" s="17"/>
    </row>
    <row r="782" ht="15.75" customHeight="1">
      <c r="A782" s="16"/>
      <c r="B782" s="16"/>
      <c r="I782" s="17"/>
      <c r="J782" s="17"/>
      <c r="K782" s="17"/>
      <c r="L782" s="17"/>
    </row>
    <row r="783" ht="15.75" customHeight="1">
      <c r="A783" s="16"/>
      <c r="B783" s="16"/>
      <c r="I783" s="17"/>
      <c r="J783" s="17"/>
      <c r="K783" s="17"/>
      <c r="L783" s="17"/>
    </row>
    <row r="784" ht="15.75" customHeight="1">
      <c r="A784" s="16"/>
      <c r="B784" s="16"/>
      <c r="I784" s="17"/>
      <c r="J784" s="17"/>
      <c r="K784" s="17"/>
      <c r="L784" s="17"/>
    </row>
    <row r="785" ht="15.75" customHeight="1">
      <c r="A785" s="16"/>
      <c r="B785" s="16"/>
      <c r="I785" s="17"/>
      <c r="J785" s="17"/>
      <c r="K785" s="17"/>
      <c r="L785" s="17"/>
    </row>
    <row r="786" ht="15.75" customHeight="1">
      <c r="A786" s="16"/>
      <c r="B786" s="16"/>
      <c r="I786" s="17"/>
      <c r="J786" s="17"/>
      <c r="K786" s="17"/>
      <c r="L786" s="17"/>
    </row>
    <row r="787" ht="15.75" customHeight="1">
      <c r="A787" s="16"/>
      <c r="B787" s="16"/>
      <c r="I787" s="17"/>
      <c r="J787" s="17"/>
      <c r="K787" s="17"/>
      <c r="L787" s="17"/>
    </row>
    <row r="788" ht="15.75" customHeight="1">
      <c r="A788" s="16"/>
      <c r="B788" s="16"/>
      <c r="I788" s="17"/>
      <c r="J788" s="17"/>
      <c r="K788" s="17"/>
      <c r="L788" s="17"/>
    </row>
    <row r="789" ht="15.75" customHeight="1">
      <c r="A789" s="16"/>
      <c r="B789" s="16"/>
      <c r="I789" s="17"/>
      <c r="J789" s="17"/>
      <c r="K789" s="17"/>
      <c r="L789" s="17"/>
    </row>
    <row r="790" ht="15.75" customHeight="1">
      <c r="A790" s="16"/>
      <c r="B790" s="16"/>
      <c r="I790" s="17"/>
      <c r="J790" s="17"/>
      <c r="K790" s="17"/>
      <c r="L790" s="17"/>
    </row>
    <row r="791" ht="15.75" customHeight="1">
      <c r="A791" s="16"/>
      <c r="B791" s="16"/>
      <c r="I791" s="17"/>
      <c r="J791" s="17"/>
      <c r="K791" s="17"/>
      <c r="L791" s="17"/>
    </row>
    <row r="792" ht="15.75" customHeight="1">
      <c r="A792" s="16"/>
      <c r="B792" s="16"/>
      <c r="I792" s="17"/>
      <c r="J792" s="17"/>
      <c r="K792" s="17"/>
      <c r="L792" s="17"/>
    </row>
    <row r="793" ht="15.75" customHeight="1">
      <c r="A793" s="16"/>
      <c r="B793" s="16"/>
      <c r="I793" s="17"/>
      <c r="J793" s="17"/>
      <c r="K793" s="17"/>
      <c r="L793" s="17"/>
    </row>
    <row r="794" ht="15.75" customHeight="1">
      <c r="A794" s="16"/>
      <c r="B794" s="16"/>
      <c r="I794" s="17"/>
      <c r="J794" s="17"/>
      <c r="K794" s="17"/>
      <c r="L794" s="17"/>
    </row>
    <row r="795" ht="15.75" customHeight="1">
      <c r="A795" s="16"/>
      <c r="B795" s="16"/>
      <c r="I795" s="17"/>
      <c r="J795" s="17"/>
      <c r="K795" s="17"/>
      <c r="L795" s="17"/>
    </row>
    <row r="796" ht="15.75" customHeight="1">
      <c r="A796" s="16"/>
      <c r="B796" s="16"/>
      <c r="I796" s="17"/>
      <c r="J796" s="17"/>
      <c r="K796" s="17"/>
      <c r="L796" s="17"/>
    </row>
    <row r="797" ht="15.75" customHeight="1">
      <c r="A797" s="16"/>
      <c r="B797" s="16"/>
      <c r="I797" s="17"/>
      <c r="J797" s="17"/>
      <c r="K797" s="17"/>
      <c r="L797" s="17"/>
    </row>
    <row r="798" ht="15.75" customHeight="1">
      <c r="A798" s="16"/>
      <c r="B798" s="16"/>
      <c r="I798" s="17"/>
      <c r="J798" s="17"/>
      <c r="K798" s="17"/>
      <c r="L798" s="17"/>
    </row>
    <row r="799" ht="15.75" customHeight="1">
      <c r="A799" s="16"/>
      <c r="B799" s="16"/>
      <c r="I799" s="17"/>
      <c r="J799" s="17"/>
      <c r="K799" s="17"/>
      <c r="L799" s="17"/>
    </row>
    <row r="800" ht="15.75" customHeight="1">
      <c r="A800" s="16"/>
      <c r="B800" s="16"/>
      <c r="I800" s="17"/>
      <c r="J800" s="17"/>
      <c r="K800" s="17"/>
      <c r="L800" s="17"/>
    </row>
    <row r="801" ht="15.75" customHeight="1">
      <c r="A801" s="16"/>
      <c r="B801" s="16"/>
      <c r="I801" s="17"/>
      <c r="J801" s="17"/>
      <c r="K801" s="17"/>
      <c r="L801" s="17"/>
    </row>
    <row r="802" ht="15.75" customHeight="1">
      <c r="A802" s="16"/>
      <c r="B802" s="16"/>
      <c r="I802" s="17"/>
      <c r="J802" s="17"/>
      <c r="K802" s="17"/>
      <c r="L802" s="17"/>
    </row>
    <row r="803" ht="15.75" customHeight="1">
      <c r="A803" s="16"/>
      <c r="B803" s="16"/>
      <c r="I803" s="17"/>
      <c r="J803" s="17"/>
      <c r="K803" s="17"/>
      <c r="L803" s="17"/>
    </row>
    <row r="804" ht="15.75" customHeight="1">
      <c r="A804" s="16"/>
      <c r="B804" s="16"/>
      <c r="I804" s="17"/>
      <c r="J804" s="17"/>
      <c r="K804" s="17"/>
      <c r="L804" s="17"/>
    </row>
    <row r="805" ht="15.75" customHeight="1">
      <c r="A805" s="16"/>
      <c r="B805" s="16"/>
      <c r="I805" s="17"/>
      <c r="J805" s="17"/>
      <c r="K805" s="17"/>
      <c r="L805" s="17"/>
    </row>
    <row r="806" ht="15.75" customHeight="1">
      <c r="A806" s="16"/>
      <c r="B806" s="16"/>
      <c r="I806" s="17"/>
      <c r="J806" s="17"/>
      <c r="K806" s="17"/>
      <c r="L806" s="17"/>
    </row>
    <row r="807" ht="15.75" customHeight="1">
      <c r="A807" s="16"/>
      <c r="B807" s="16"/>
      <c r="I807" s="17"/>
      <c r="J807" s="17"/>
      <c r="K807" s="17"/>
      <c r="L807" s="17"/>
    </row>
    <row r="808" ht="15.75" customHeight="1">
      <c r="A808" s="16"/>
      <c r="B808" s="16"/>
      <c r="I808" s="17"/>
      <c r="J808" s="17"/>
      <c r="K808" s="17"/>
      <c r="L808" s="17"/>
    </row>
    <row r="809" ht="15.75" customHeight="1">
      <c r="A809" s="16"/>
      <c r="B809" s="16"/>
      <c r="I809" s="17"/>
      <c r="J809" s="17"/>
      <c r="K809" s="17"/>
      <c r="L809" s="17"/>
    </row>
    <row r="810" ht="15.75" customHeight="1">
      <c r="A810" s="16"/>
      <c r="B810" s="16"/>
      <c r="I810" s="17"/>
      <c r="J810" s="17"/>
      <c r="K810" s="17"/>
      <c r="L810" s="17"/>
    </row>
    <row r="811" ht="15.75" customHeight="1">
      <c r="A811" s="16"/>
      <c r="B811" s="16"/>
      <c r="I811" s="17"/>
      <c r="J811" s="17"/>
      <c r="K811" s="17"/>
      <c r="L811" s="17"/>
    </row>
    <row r="812" ht="15.75" customHeight="1">
      <c r="A812" s="16"/>
      <c r="B812" s="16"/>
      <c r="I812" s="17"/>
      <c r="J812" s="17"/>
      <c r="K812" s="17"/>
      <c r="L812" s="17"/>
    </row>
    <row r="813" ht="15.75" customHeight="1">
      <c r="A813" s="16"/>
      <c r="B813" s="16"/>
      <c r="I813" s="17"/>
      <c r="J813" s="17"/>
      <c r="K813" s="17"/>
      <c r="L813" s="17"/>
    </row>
    <row r="814" ht="15.75" customHeight="1">
      <c r="A814" s="16"/>
      <c r="B814" s="16"/>
      <c r="I814" s="17"/>
      <c r="J814" s="17"/>
      <c r="K814" s="17"/>
      <c r="L814" s="17"/>
    </row>
    <row r="815" ht="15.75" customHeight="1">
      <c r="A815" s="16"/>
      <c r="B815" s="16"/>
      <c r="I815" s="17"/>
      <c r="J815" s="17"/>
      <c r="K815" s="17"/>
      <c r="L815" s="17"/>
    </row>
    <row r="816" ht="15.75" customHeight="1">
      <c r="A816" s="16"/>
      <c r="B816" s="16"/>
      <c r="I816" s="17"/>
      <c r="J816" s="17"/>
      <c r="K816" s="17"/>
      <c r="L816" s="17"/>
    </row>
    <row r="817" ht="15.75" customHeight="1">
      <c r="A817" s="16"/>
      <c r="B817" s="16"/>
      <c r="I817" s="17"/>
      <c r="J817" s="17"/>
      <c r="K817" s="17"/>
      <c r="L817" s="17"/>
    </row>
    <row r="818" ht="15.75" customHeight="1">
      <c r="A818" s="16"/>
      <c r="B818" s="16"/>
      <c r="I818" s="17"/>
      <c r="J818" s="17"/>
      <c r="K818" s="17"/>
      <c r="L818" s="17"/>
    </row>
    <row r="819" ht="15.75" customHeight="1">
      <c r="A819" s="16"/>
      <c r="B819" s="16"/>
      <c r="I819" s="17"/>
      <c r="J819" s="17"/>
      <c r="K819" s="17"/>
      <c r="L819" s="17"/>
    </row>
    <row r="820" ht="15.75" customHeight="1">
      <c r="A820" s="16"/>
      <c r="B820" s="16"/>
      <c r="I820" s="17"/>
      <c r="J820" s="17"/>
      <c r="K820" s="17"/>
      <c r="L820" s="17"/>
    </row>
    <row r="821" ht="15.75" customHeight="1">
      <c r="A821" s="16"/>
      <c r="B821" s="16"/>
      <c r="I821" s="17"/>
      <c r="J821" s="17"/>
      <c r="K821" s="17"/>
      <c r="L821" s="17"/>
    </row>
    <row r="822" ht="15.75" customHeight="1">
      <c r="A822" s="16"/>
      <c r="B822" s="16"/>
      <c r="I822" s="17"/>
      <c r="J822" s="17"/>
      <c r="K822" s="17"/>
      <c r="L822" s="17"/>
    </row>
    <row r="823" ht="15.75" customHeight="1">
      <c r="A823" s="16"/>
      <c r="B823" s="16"/>
      <c r="I823" s="17"/>
      <c r="J823" s="17"/>
      <c r="K823" s="17"/>
      <c r="L823" s="17"/>
    </row>
    <row r="824" ht="15.75" customHeight="1">
      <c r="A824" s="16"/>
      <c r="B824" s="16"/>
      <c r="I824" s="17"/>
      <c r="J824" s="17"/>
      <c r="K824" s="17"/>
      <c r="L824" s="17"/>
    </row>
    <row r="825" ht="15.75" customHeight="1">
      <c r="A825" s="16"/>
      <c r="B825" s="16"/>
      <c r="I825" s="17"/>
      <c r="J825" s="17"/>
      <c r="K825" s="17"/>
      <c r="L825" s="17"/>
    </row>
    <row r="826" ht="15.75" customHeight="1">
      <c r="A826" s="16"/>
      <c r="B826" s="16"/>
      <c r="I826" s="17"/>
      <c r="J826" s="17"/>
      <c r="K826" s="17"/>
      <c r="L826" s="17"/>
    </row>
    <row r="827" ht="15.75" customHeight="1">
      <c r="A827" s="16"/>
      <c r="B827" s="16"/>
      <c r="I827" s="17"/>
      <c r="J827" s="17"/>
      <c r="K827" s="17"/>
      <c r="L827" s="17"/>
    </row>
    <row r="828" ht="15.75" customHeight="1">
      <c r="A828" s="16"/>
      <c r="B828" s="16"/>
      <c r="I828" s="17"/>
      <c r="J828" s="17"/>
      <c r="K828" s="17"/>
      <c r="L828" s="17"/>
    </row>
    <row r="829" ht="15.75" customHeight="1">
      <c r="A829" s="16"/>
      <c r="B829" s="16"/>
      <c r="I829" s="17"/>
      <c r="J829" s="17"/>
      <c r="K829" s="17"/>
      <c r="L829" s="17"/>
    </row>
    <row r="830" ht="15.75" customHeight="1">
      <c r="A830" s="16"/>
      <c r="B830" s="16"/>
      <c r="I830" s="17"/>
      <c r="J830" s="17"/>
      <c r="K830" s="17"/>
      <c r="L830" s="17"/>
    </row>
    <row r="831" ht="15.75" customHeight="1">
      <c r="A831" s="16"/>
      <c r="B831" s="16"/>
      <c r="I831" s="17"/>
      <c r="J831" s="17"/>
      <c r="K831" s="17"/>
      <c r="L831" s="17"/>
    </row>
    <row r="832" ht="15.75" customHeight="1">
      <c r="A832" s="16"/>
      <c r="B832" s="16"/>
      <c r="I832" s="17"/>
      <c r="J832" s="17"/>
      <c r="K832" s="17"/>
      <c r="L832" s="17"/>
    </row>
    <row r="833" ht="15.75" customHeight="1">
      <c r="A833" s="16"/>
      <c r="B833" s="16"/>
      <c r="I833" s="17"/>
      <c r="J833" s="17"/>
      <c r="K833" s="17"/>
      <c r="L833" s="17"/>
    </row>
    <row r="834" ht="15.75" customHeight="1">
      <c r="A834" s="16"/>
      <c r="B834" s="16"/>
      <c r="I834" s="17"/>
      <c r="J834" s="17"/>
      <c r="K834" s="17"/>
      <c r="L834" s="17"/>
    </row>
    <row r="835" ht="15.75" customHeight="1">
      <c r="A835" s="16"/>
      <c r="B835" s="16"/>
      <c r="I835" s="17"/>
      <c r="J835" s="17"/>
      <c r="K835" s="17"/>
      <c r="L835" s="17"/>
    </row>
    <row r="836" ht="15.75" customHeight="1">
      <c r="A836" s="16"/>
      <c r="B836" s="16"/>
      <c r="I836" s="17"/>
      <c r="J836" s="17"/>
      <c r="K836" s="17"/>
      <c r="L836" s="17"/>
    </row>
    <row r="837" ht="15.75" customHeight="1">
      <c r="A837" s="16"/>
      <c r="B837" s="16"/>
      <c r="I837" s="17"/>
      <c r="J837" s="17"/>
      <c r="K837" s="17"/>
      <c r="L837" s="17"/>
    </row>
    <row r="838" ht="15.75" customHeight="1">
      <c r="A838" s="16"/>
      <c r="B838" s="16"/>
      <c r="I838" s="17"/>
      <c r="J838" s="17"/>
      <c r="K838" s="17"/>
      <c r="L838" s="17"/>
    </row>
    <row r="839" ht="15.75" customHeight="1">
      <c r="A839" s="16"/>
      <c r="B839" s="16"/>
      <c r="I839" s="17"/>
      <c r="J839" s="17"/>
      <c r="K839" s="17"/>
      <c r="L839" s="17"/>
    </row>
    <row r="840" ht="15.75" customHeight="1">
      <c r="A840" s="16"/>
      <c r="B840" s="16"/>
      <c r="I840" s="17"/>
      <c r="J840" s="17"/>
      <c r="K840" s="17"/>
      <c r="L840" s="17"/>
    </row>
    <row r="841" ht="15.75" customHeight="1">
      <c r="A841" s="16"/>
      <c r="B841" s="16"/>
      <c r="I841" s="17"/>
      <c r="J841" s="17"/>
      <c r="K841" s="17"/>
      <c r="L841" s="17"/>
    </row>
    <row r="842" ht="15.75" customHeight="1">
      <c r="A842" s="16"/>
      <c r="B842" s="16"/>
      <c r="I842" s="17"/>
      <c r="J842" s="17"/>
      <c r="K842" s="17"/>
      <c r="L842" s="17"/>
    </row>
    <row r="843" ht="15.75" customHeight="1">
      <c r="A843" s="16"/>
      <c r="B843" s="16"/>
      <c r="I843" s="17"/>
      <c r="J843" s="17"/>
      <c r="K843" s="17"/>
      <c r="L843" s="17"/>
    </row>
    <row r="844" ht="15.75" customHeight="1">
      <c r="A844" s="16"/>
      <c r="B844" s="16"/>
      <c r="I844" s="17"/>
      <c r="J844" s="17"/>
      <c r="K844" s="17"/>
      <c r="L844" s="17"/>
    </row>
    <row r="845" ht="15.75" customHeight="1">
      <c r="A845" s="16"/>
      <c r="B845" s="16"/>
      <c r="I845" s="17"/>
      <c r="J845" s="17"/>
      <c r="K845" s="17"/>
      <c r="L845" s="17"/>
    </row>
    <row r="846" ht="15.75" customHeight="1">
      <c r="A846" s="16"/>
      <c r="B846" s="16"/>
      <c r="I846" s="17"/>
      <c r="J846" s="17"/>
      <c r="K846" s="17"/>
      <c r="L846" s="17"/>
    </row>
    <row r="847" ht="15.75" customHeight="1">
      <c r="A847" s="16"/>
      <c r="B847" s="16"/>
      <c r="I847" s="17"/>
      <c r="J847" s="17"/>
      <c r="K847" s="17"/>
      <c r="L847" s="17"/>
    </row>
    <row r="848" ht="15.75" customHeight="1">
      <c r="A848" s="16"/>
      <c r="B848" s="16"/>
      <c r="I848" s="17"/>
      <c r="J848" s="17"/>
      <c r="K848" s="17"/>
      <c r="L848" s="17"/>
    </row>
    <row r="849" ht="15.75" customHeight="1">
      <c r="A849" s="16"/>
      <c r="B849" s="16"/>
      <c r="I849" s="17"/>
      <c r="J849" s="17"/>
      <c r="K849" s="17"/>
      <c r="L849" s="17"/>
    </row>
    <row r="850" ht="15.75" customHeight="1">
      <c r="A850" s="16"/>
      <c r="B850" s="16"/>
      <c r="I850" s="17"/>
      <c r="J850" s="17"/>
      <c r="K850" s="17"/>
      <c r="L850" s="17"/>
    </row>
    <row r="851" ht="15.75" customHeight="1">
      <c r="A851" s="16"/>
      <c r="B851" s="16"/>
      <c r="I851" s="17"/>
      <c r="J851" s="17"/>
      <c r="K851" s="17"/>
      <c r="L851" s="17"/>
    </row>
    <row r="852" ht="15.75" customHeight="1">
      <c r="A852" s="16"/>
      <c r="B852" s="16"/>
      <c r="I852" s="17"/>
      <c r="J852" s="17"/>
      <c r="K852" s="17"/>
      <c r="L852" s="17"/>
    </row>
    <row r="853" ht="15.75" customHeight="1">
      <c r="A853" s="16"/>
      <c r="B853" s="16"/>
      <c r="I853" s="17"/>
      <c r="J853" s="17"/>
      <c r="K853" s="17"/>
      <c r="L853" s="17"/>
    </row>
    <row r="854" ht="15.75" customHeight="1">
      <c r="A854" s="16"/>
      <c r="B854" s="16"/>
      <c r="I854" s="17"/>
      <c r="J854" s="17"/>
      <c r="K854" s="17"/>
      <c r="L854" s="17"/>
    </row>
    <row r="855" ht="15.75" customHeight="1">
      <c r="A855" s="16"/>
      <c r="B855" s="16"/>
      <c r="I855" s="17"/>
      <c r="J855" s="17"/>
      <c r="K855" s="17"/>
      <c r="L855" s="17"/>
    </row>
    <row r="856" ht="15.75" customHeight="1">
      <c r="A856" s="16"/>
      <c r="B856" s="16"/>
      <c r="I856" s="17"/>
      <c r="J856" s="17"/>
      <c r="K856" s="17"/>
      <c r="L856" s="17"/>
    </row>
    <row r="857" ht="15.75" customHeight="1">
      <c r="A857" s="16"/>
      <c r="B857" s="16"/>
      <c r="I857" s="17"/>
      <c r="J857" s="17"/>
      <c r="K857" s="17"/>
      <c r="L857" s="17"/>
    </row>
    <row r="858" ht="15.75" customHeight="1">
      <c r="A858" s="16"/>
      <c r="B858" s="16"/>
      <c r="I858" s="17"/>
      <c r="J858" s="17"/>
      <c r="K858" s="17"/>
      <c r="L858" s="17"/>
    </row>
    <row r="859" ht="15.75" customHeight="1">
      <c r="A859" s="16"/>
      <c r="B859" s="16"/>
      <c r="I859" s="17"/>
      <c r="J859" s="17"/>
      <c r="K859" s="17"/>
      <c r="L859" s="17"/>
    </row>
    <row r="860" ht="15.75" customHeight="1">
      <c r="A860" s="16"/>
      <c r="B860" s="16"/>
      <c r="I860" s="17"/>
      <c r="J860" s="17"/>
      <c r="K860" s="17"/>
      <c r="L860" s="17"/>
    </row>
    <row r="861" ht="15.75" customHeight="1">
      <c r="A861" s="16"/>
      <c r="B861" s="16"/>
      <c r="I861" s="17"/>
      <c r="J861" s="17"/>
      <c r="K861" s="17"/>
      <c r="L861" s="17"/>
    </row>
    <row r="862" ht="15.75" customHeight="1">
      <c r="A862" s="16"/>
      <c r="B862" s="16"/>
      <c r="I862" s="17"/>
      <c r="J862" s="17"/>
      <c r="K862" s="17"/>
      <c r="L862" s="17"/>
    </row>
    <row r="863" ht="15.75" customHeight="1">
      <c r="A863" s="16"/>
      <c r="B863" s="16"/>
      <c r="I863" s="17"/>
      <c r="J863" s="17"/>
      <c r="K863" s="17"/>
      <c r="L863" s="17"/>
    </row>
    <row r="864" ht="15.75" customHeight="1">
      <c r="A864" s="16"/>
      <c r="B864" s="16"/>
      <c r="I864" s="17"/>
      <c r="J864" s="17"/>
      <c r="K864" s="17"/>
      <c r="L864" s="17"/>
    </row>
    <row r="865" ht="15.75" customHeight="1">
      <c r="A865" s="16"/>
      <c r="B865" s="16"/>
      <c r="I865" s="17"/>
      <c r="J865" s="17"/>
      <c r="K865" s="17"/>
      <c r="L865" s="17"/>
    </row>
    <row r="866" ht="15.75" customHeight="1">
      <c r="A866" s="16"/>
      <c r="B866" s="16"/>
      <c r="I866" s="17"/>
      <c r="J866" s="17"/>
      <c r="K866" s="17"/>
      <c r="L866" s="17"/>
    </row>
    <row r="867" ht="15.75" customHeight="1">
      <c r="A867" s="16"/>
      <c r="B867" s="16"/>
      <c r="I867" s="17"/>
      <c r="J867" s="17"/>
      <c r="K867" s="17"/>
      <c r="L867" s="17"/>
    </row>
    <row r="868" ht="15.75" customHeight="1">
      <c r="A868" s="16"/>
      <c r="B868" s="16"/>
      <c r="I868" s="17"/>
      <c r="J868" s="17"/>
      <c r="K868" s="17"/>
      <c r="L868" s="17"/>
    </row>
    <row r="869" ht="15.75" customHeight="1">
      <c r="A869" s="16"/>
      <c r="B869" s="16"/>
      <c r="I869" s="17"/>
      <c r="J869" s="17"/>
      <c r="K869" s="17"/>
      <c r="L869" s="17"/>
    </row>
    <row r="870" ht="15.75" customHeight="1">
      <c r="A870" s="16"/>
      <c r="B870" s="16"/>
      <c r="I870" s="17"/>
      <c r="J870" s="17"/>
      <c r="K870" s="17"/>
      <c r="L870" s="17"/>
    </row>
    <row r="871" ht="15.75" customHeight="1">
      <c r="A871" s="16"/>
      <c r="B871" s="16"/>
      <c r="I871" s="17"/>
      <c r="J871" s="17"/>
      <c r="K871" s="17"/>
      <c r="L871" s="17"/>
    </row>
    <row r="872" ht="15.75" customHeight="1">
      <c r="A872" s="16"/>
      <c r="B872" s="16"/>
      <c r="I872" s="17"/>
      <c r="J872" s="17"/>
      <c r="K872" s="17"/>
      <c r="L872" s="17"/>
    </row>
    <row r="873" ht="15.75" customHeight="1">
      <c r="A873" s="16"/>
      <c r="B873" s="16"/>
      <c r="I873" s="17"/>
      <c r="J873" s="17"/>
      <c r="K873" s="17"/>
      <c r="L873" s="17"/>
    </row>
    <row r="874" ht="15.75" customHeight="1">
      <c r="A874" s="16"/>
      <c r="B874" s="16"/>
      <c r="I874" s="17"/>
      <c r="J874" s="17"/>
      <c r="K874" s="17"/>
      <c r="L874" s="17"/>
    </row>
    <row r="875" ht="15.75" customHeight="1">
      <c r="A875" s="16"/>
      <c r="B875" s="16"/>
      <c r="I875" s="17"/>
      <c r="J875" s="17"/>
      <c r="K875" s="17"/>
      <c r="L875" s="17"/>
    </row>
    <row r="876" ht="15.75" customHeight="1">
      <c r="A876" s="16"/>
      <c r="B876" s="16"/>
      <c r="I876" s="17"/>
      <c r="J876" s="17"/>
      <c r="K876" s="17"/>
      <c r="L876" s="17"/>
    </row>
    <row r="877" ht="15.75" customHeight="1">
      <c r="A877" s="16"/>
      <c r="B877" s="16"/>
      <c r="I877" s="17"/>
      <c r="J877" s="17"/>
      <c r="K877" s="17"/>
      <c r="L877" s="17"/>
    </row>
    <row r="878" ht="15.75" customHeight="1">
      <c r="A878" s="16"/>
      <c r="B878" s="16"/>
      <c r="I878" s="17"/>
      <c r="J878" s="17"/>
      <c r="K878" s="17"/>
      <c r="L878" s="17"/>
    </row>
    <row r="879" ht="15.75" customHeight="1">
      <c r="A879" s="16"/>
      <c r="B879" s="16"/>
      <c r="I879" s="17"/>
      <c r="J879" s="17"/>
      <c r="K879" s="17"/>
      <c r="L879" s="17"/>
    </row>
    <row r="880" ht="15.75" customHeight="1">
      <c r="A880" s="16"/>
      <c r="B880" s="16"/>
      <c r="I880" s="17"/>
      <c r="J880" s="17"/>
      <c r="K880" s="17"/>
      <c r="L880" s="17"/>
    </row>
    <row r="881" ht="15.75" customHeight="1">
      <c r="A881" s="16"/>
      <c r="B881" s="16"/>
      <c r="I881" s="17"/>
      <c r="J881" s="17"/>
      <c r="K881" s="17"/>
      <c r="L881" s="17"/>
    </row>
    <row r="882" ht="15.75" customHeight="1">
      <c r="A882" s="16"/>
      <c r="B882" s="16"/>
      <c r="I882" s="17"/>
      <c r="J882" s="17"/>
      <c r="K882" s="17"/>
      <c r="L882" s="17"/>
    </row>
    <row r="883" ht="15.75" customHeight="1">
      <c r="A883" s="16"/>
      <c r="B883" s="16"/>
      <c r="I883" s="17"/>
      <c r="J883" s="17"/>
      <c r="K883" s="17"/>
      <c r="L883" s="17"/>
    </row>
    <row r="884" ht="15.75" customHeight="1">
      <c r="A884" s="16"/>
      <c r="B884" s="16"/>
      <c r="I884" s="17"/>
      <c r="J884" s="17"/>
      <c r="K884" s="17"/>
      <c r="L884" s="17"/>
    </row>
    <row r="885" ht="15.75" customHeight="1">
      <c r="A885" s="16"/>
      <c r="B885" s="16"/>
      <c r="I885" s="17"/>
      <c r="J885" s="17"/>
      <c r="K885" s="17"/>
      <c r="L885" s="17"/>
    </row>
    <row r="886" ht="15.75" customHeight="1">
      <c r="A886" s="16"/>
      <c r="B886" s="16"/>
      <c r="I886" s="17"/>
      <c r="J886" s="17"/>
      <c r="K886" s="17"/>
      <c r="L886" s="17"/>
    </row>
    <row r="887" ht="15.75" customHeight="1">
      <c r="A887" s="16"/>
      <c r="B887" s="16"/>
      <c r="I887" s="17"/>
      <c r="J887" s="17"/>
      <c r="K887" s="17"/>
      <c r="L887" s="17"/>
    </row>
    <row r="888" ht="15.75" customHeight="1">
      <c r="A888" s="16"/>
      <c r="B888" s="16"/>
      <c r="I888" s="17"/>
      <c r="J888" s="17"/>
      <c r="K888" s="17"/>
      <c r="L888" s="17"/>
    </row>
    <row r="889" ht="15.75" customHeight="1">
      <c r="A889" s="16"/>
      <c r="B889" s="16"/>
      <c r="I889" s="17"/>
      <c r="J889" s="17"/>
      <c r="K889" s="17"/>
      <c r="L889" s="17"/>
    </row>
    <row r="890" ht="15.75" customHeight="1">
      <c r="A890" s="16"/>
      <c r="B890" s="16"/>
      <c r="I890" s="17"/>
      <c r="J890" s="17"/>
      <c r="K890" s="17"/>
      <c r="L890" s="17"/>
    </row>
    <row r="891" ht="15.75" customHeight="1">
      <c r="A891" s="16"/>
      <c r="B891" s="16"/>
      <c r="I891" s="17"/>
      <c r="J891" s="17"/>
      <c r="K891" s="17"/>
      <c r="L891" s="17"/>
    </row>
    <row r="892" ht="15.75" customHeight="1">
      <c r="A892" s="16"/>
      <c r="B892" s="16"/>
      <c r="I892" s="17"/>
      <c r="J892" s="17"/>
      <c r="K892" s="17"/>
      <c r="L892" s="17"/>
    </row>
    <row r="893" ht="15.75" customHeight="1">
      <c r="A893" s="16"/>
      <c r="B893" s="16"/>
      <c r="I893" s="17"/>
      <c r="J893" s="17"/>
      <c r="K893" s="17"/>
      <c r="L893" s="17"/>
    </row>
    <row r="894" ht="15.75" customHeight="1">
      <c r="A894" s="16"/>
      <c r="B894" s="16"/>
      <c r="I894" s="17"/>
      <c r="J894" s="17"/>
      <c r="K894" s="17"/>
      <c r="L894" s="17"/>
    </row>
    <row r="895" ht="15.75" customHeight="1">
      <c r="A895" s="16"/>
      <c r="B895" s="16"/>
      <c r="I895" s="17"/>
      <c r="J895" s="17"/>
      <c r="K895" s="17"/>
      <c r="L895" s="17"/>
    </row>
    <row r="896" ht="15.75" customHeight="1">
      <c r="A896" s="16"/>
      <c r="B896" s="16"/>
      <c r="I896" s="17"/>
      <c r="J896" s="17"/>
      <c r="K896" s="17"/>
      <c r="L896" s="17"/>
    </row>
    <row r="897" ht="15.75" customHeight="1">
      <c r="A897" s="16"/>
      <c r="B897" s="16"/>
      <c r="I897" s="17"/>
      <c r="J897" s="17"/>
      <c r="K897" s="17"/>
      <c r="L897" s="17"/>
    </row>
    <row r="898" ht="15.75" customHeight="1">
      <c r="A898" s="16"/>
      <c r="B898" s="16"/>
      <c r="I898" s="17"/>
      <c r="J898" s="17"/>
      <c r="K898" s="17"/>
      <c r="L898" s="17"/>
    </row>
    <row r="899" ht="15.75" customHeight="1">
      <c r="A899" s="16"/>
      <c r="B899" s="16"/>
      <c r="I899" s="17"/>
      <c r="J899" s="17"/>
      <c r="K899" s="17"/>
      <c r="L899" s="17"/>
    </row>
    <row r="900" ht="15.75" customHeight="1">
      <c r="A900" s="16"/>
      <c r="B900" s="16"/>
      <c r="I900" s="17"/>
      <c r="J900" s="17"/>
      <c r="K900" s="17"/>
      <c r="L900" s="17"/>
    </row>
    <row r="901" ht="15.75" customHeight="1">
      <c r="A901" s="16"/>
      <c r="B901" s="16"/>
      <c r="I901" s="17"/>
      <c r="J901" s="17"/>
      <c r="K901" s="17"/>
      <c r="L901" s="17"/>
    </row>
    <row r="902" ht="15.75" customHeight="1">
      <c r="A902" s="16"/>
      <c r="B902" s="16"/>
      <c r="I902" s="17"/>
      <c r="J902" s="17"/>
      <c r="K902" s="17"/>
      <c r="L902" s="17"/>
    </row>
    <row r="903" ht="15.75" customHeight="1">
      <c r="A903" s="16"/>
      <c r="B903" s="16"/>
      <c r="I903" s="17"/>
      <c r="J903" s="17"/>
      <c r="K903" s="17"/>
      <c r="L903" s="17"/>
    </row>
    <row r="904" ht="15.75" customHeight="1">
      <c r="A904" s="16"/>
      <c r="B904" s="16"/>
      <c r="I904" s="17"/>
      <c r="J904" s="17"/>
      <c r="K904" s="17"/>
      <c r="L904" s="17"/>
    </row>
    <row r="905" ht="15.75" customHeight="1">
      <c r="A905" s="16"/>
      <c r="B905" s="16"/>
      <c r="I905" s="17"/>
      <c r="J905" s="17"/>
      <c r="K905" s="17"/>
      <c r="L905" s="17"/>
    </row>
    <row r="906" ht="15.75" customHeight="1">
      <c r="A906" s="16"/>
      <c r="B906" s="16"/>
      <c r="I906" s="17"/>
      <c r="J906" s="17"/>
      <c r="K906" s="17"/>
      <c r="L906" s="17"/>
    </row>
    <row r="907" ht="15.75" customHeight="1">
      <c r="A907" s="16"/>
      <c r="B907" s="16"/>
      <c r="I907" s="17"/>
      <c r="J907" s="17"/>
      <c r="K907" s="17"/>
      <c r="L907" s="17"/>
    </row>
    <row r="908" ht="15.75" customHeight="1">
      <c r="A908" s="16"/>
      <c r="B908" s="16"/>
      <c r="I908" s="17"/>
      <c r="J908" s="17"/>
      <c r="K908" s="17"/>
      <c r="L908" s="17"/>
    </row>
    <row r="909" ht="15.75" customHeight="1">
      <c r="A909" s="16"/>
      <c r="B909" s="16"/>
      <c r="I909" s="17"/>
      <c r="J909" s="17"/>
      <c r="K909" s="17"/>
      <c r="L909" s="17"/>
    </row>
    <row r="910" ht="15.75" customHeight="1">
      <c r="A910" s="16"/>
      <c r="B910" s="16"/>
      <c r="I910" s="17"/>
      <c r="J910" s="17"/>
      <c r="K910" s="17"/>
      <c r="L910" s="17"/>
    </row>
    <row r="911" ht="15.75" customHeight="1">
      <c r="A911" s="16"/>
      <c r="B911" s="16"/>
      <c r="I911" s="17"/>
      <c r="J911" s="17"/>
      <c r="K911" s="17"/>
      <c r="L911" s="17"/>
    </row>
    <row r="912" ht="15.75" customHeight="1">
      <c r="A912" s="16"/>
      <c r="B912" s="16"/>
      <c r="I912" s="17"/>
      <c r="J912" s="17"/>
      <c r="K912" s="17"/>
      <c r="L912" s="17"/>
    </row>
    <row r="913" ht="15.75" customHeight="1">
      <c r="A913" s="16"/>
      <c r="B913" s="16"/>
      <c r="I913" s="17"/>
      <c r="J913" s="17"/>
      <c r="K913" s="17"/>
      <c r="L913" s="17"/>
    </row>
    <row r="914" ht="15.75" customHeight="1">
      <c r="A914" s="16"/>
      <c r="B914" s="16"/>
      <c r="I914" s="17"/>
      <c r="J914" s="17"/>
      <c r="K914" s="17"/>
      <c r="L914" s="17"/>
    </row>
    <row r="915" ht="15.75" customHeight="1">
      <c r="A915" s="16"/>
      <c r="B915" s="16"/>
      <c r="I915" s="17"/>
      <c r="J915" s="17"/>
      <c r="K915" s="17"/>
      <c r="L915" s="17"/>
    </row>
    <row r="916" ht="15.75" customHeight="1">
      <c r="A916" s="16"/>
      <c r="B916" s="16"/>
      <c r="I916" s="17"/>
      <c r="J916" s="17"/>
      <c r="K916" s="17"/>
      <c r="L916" s="17"/>
    </row>
    <row r="917" ht="15.75" customHeight="1">
      <c r="A917" s="16"/>
      <c r="B917" s="16"/>
      <c r="I917" s="17"/>
      <c r="J917" s="17"/>
      <c r="K917" s="17"/>
      <c r="L917" s="17"/>
    </row>
    <row r="918" ht="15.75" customHeight="1">
      <c r="A918" s="16"/>
      <c r="B918" s="16"/>
      <c r="I918" s="17"/>
      <c r="J918" s="17"/>
      <c r="K918" s="17"/>
      <c r="L918" s="17"/>
    </row>
    <row r="919" ht="15.75" customHeight="1">
      <c r="A919" s="16"/>
      <c r="B919" s="16"/>
      <c r="I919" s="17"/>
      <c r="J919" s="17"/>
      <c r="K919" s="17"/>
      <c r="L919" s="17"/>
    </row>
    <row r="920" ht="15.75" customHeight="1">
      <c r="A920" s="16"/>
      <c r="B920" s="16"/>
      <c r="I920" s="17"/>
      <c r="J920" s="17"/>
      <c r="K920" s="17"/>
      <c r="L920" s="17"/>
    </row>
    <row r="921" ht="15.75" customHeight="1">
      <c r="A921" s="16"/>
      <c r="B921" s="16"/>
      <c r="I921" s="17"/>
      <c r="J921" s="17"/>
      <c r="K921" s="17"/>
      <c r="L921" s="17"/>
    </row>
    <row r="922" ht="15.75" customHeight="1">
      <c r="A922" s="16"/>
      <c r="B922" s="16"/>
      <c r="I922" s="17"/>
      <c r="J922" s="17"/>
      <c r="K922" s="17"/>
      <c r="L922" s="17"/>
    </row>
    <row r="923" ht="15.75" customHeight="1">
      <c r="A923" s="16"/>
      <c r="B923" s="16"/>
      <c r="I923" s="17"/>
      <c r="J923" s="17"/>
      <c r="K923" s="17"/>
      <c r="L923" s="17"/>
    </row>
    <row r="924" ht="15.75" customHeight="1">
      <c r="A924" s="16"/>
      <c r="B924" s="16"/>
      <c r="I924" s="17"/>
      <c r="J924" s="17"/>
      <c r="K924" s="17"/>
      <c r="L924" s="17"/>
    </row>
    <row r="925" ht="15.75" customHeight="1">
      <c r="A925" s="16"/>
      <c r="B925" s="16"/>
      <c r="I925" s="17"/>
      <c r="J925" s="17"/>
      <c r="K925" s="17"/>
      <c r="L925" s="17"/>
    </row>
    <row r="926" ht="15.75" customHeight="1">
      <c r="A926" s="16"/>
      <c r="B926" s="16"/>
      <c r="I926" s="17"/>
      <c r="J926" s="17"/>
      <c r="K926" s="17"/>
      <c r="L926" s="17"/>
    </row>
    <row r="927" ht="15.75" customHeight="1">
      <c r="A927" s="16"/>
      <c r="B927" s="16"/>
      <c r="I927" s="17"/>
      <c r="J927" s="17"/>
      <c r="K927" s="17"/>
      <c r="L927" s="17"/>
    </row>
    <row r="928" ht="15.75" customHeight="1">
      <c r="A928" s="16"/>
      <c r="B928" s="16"/>
      <c r="I928" s="17"/>
      <c r="J928" s="17"/>
      <c r="K928" s="17"/>
      <c r="L928" s="17"/>
    </row>
    <row r="929" ht="15.75" customHeight="1">
      <c r="A929" s="16"/>
      <c r="B929" s="16"/>
      <c r="I929" s="17"/>
      <c r="J929" s="17"/>
      <c r="K929" s="17"/>
      <c r="L929" s="17"/>
    </row>
    <row r="930" ht="15.75" customHeight="1">
      <c r="A930" s="16"/>
      <c r="B930" s="16"/>
      <c r="I930" s="17"/>
      <c r="J930" s="17"/>
      <c r="K930" s="17"/>
      <c r="L930" s="17"/>
    </row>
    <row r="931" ht="15.75" customHeight="1">
      <c r="A931" s="16"/>
      <c r="B931" s="16"/>
      <c r="I931" s="17"/>
      <c r="J931" s="17"/>
      <c r="K931" s="17"/>
      <c r="L931" s="17"/>
    </row>
    <row r="932" ht="15.75" customHeight="1">
      <c r="A932" s="16"/>
      <c r="B932" s="16"/>
      <c r="I932" s="17"/>
      <c r="J932" s="17"/>
      <c r="K932" s="17"/>
      <c r="L932" s="17"/>
    </row>
    <row r="933" ht="15.75" customHeight="1">
      <c r="A933" s="16"/>
      <c r="B933" s="16"/>
      <c r="I933" s="17"/>
      <c r="J933" s="17"/>
      <c r="K933" s="17"/>
      <c r="L933" s="17"/>
    </row>
    <row r="934" ht="15.75" customHeight="1">
      <c r="A934" s="16"/>
      <c r="B934" s="16"/>
      <c r="I934" s="17"/>
      <c r="J934" s="17"/>
      <c r="K934" s="17"/>
      <c r="L934" s="17"/>
    </row>
    <row r="935" ht="15.75" customHeight="1">
      <c r="A935" s="16"/>
      <c r="B935" s="16"/>
      <c r="I935" s="17"/>
      <c r="J935" s="17"/>
      <c r="K935" s="17"/>
      <c r="L935" s="17"/>
    </row>
    <row r="936" ht="15.75" customHeight="1">
      <c r="A936" s="16"/>
      <c r="B936" s="16"/>
      <c r="I936" s="17"/>
      <c r="J936" s="17"/>
      <c r="K936" s="17"/>
      <c r="L936" s="17"/>
    </row>
    <row r="937" ht="15.75" customHeight="1">
      <c r="A937" s="16"/>
      <c r="B937" s="16"/>
      <c r="I937" s="17"/>
      <c r="J937" s="17"/>
      <c r="K937" s="17"/>
      <c r="L937" s="17"/>
    </row>
    <row r="938" ht="15.75" customHeight="1">
      <c r="A938" s="16"/>
      <c r="B938" s="16"/>
      <c r="I938" s="17"/>
      <c r="J938" s="17"/>
      <c r="K938" s="17"/>
      <c r="L938" s="17"/>
    </row>
    <row r="939" ht="15.75" customHeight="1">
      <c r="A939" s="16"/>
      <c r="B939" s="16"/>
      <c r="I939" s="17"/>
      <c r="J939" s="17"/>
      <c r="K939" s="17"/>
      <c r="L939" s="17"/>
    </row>
    <row r="940" ht="15.75" customHeight="1">
      <c r="A940" s="16"/>
      <c r="B940" s="16"/>
      <c r="I940" s="17"/>
      <c r="J940" s="17"/>
      <c r="K940" s="17"/>
      <c r="L940" s="17"/>
    </row>
    <row r="941" ht="15.75" customHeight="1">
      <c r="A941" s="16"/>
      <c r="B941" s="16"/>
      <c r="I941" s="17"/>
      <c r="J941" s="17"/>
      <c r="K941" s="17"/>
      <c r="L941" s="17"/>
    </row>
    <row r="942" ht="15.75" customHeight="1">
      <c r="A942" s="16"/>
      <c r="B942" s="16"/>
      <c r="I942" s="17"/>
      <c r="J942" s="17"/>
      <c r="K942" s="17"/>
      <c r="L942" s="17"/>
    </row>
    <row r="943" ht="15.75" customHeight="1">
      <c r="A943" s="16"/>
      <c r="B943" s="16"/>
      <c r="I943" s="17"/>
      <c r="J943" s="17"/>
      <c r="K943" s="17"/>
      <c r="L943" s="17"/>
    </row>
    <row r="944" ht="15.75" customHeight="1">
      <c r="A944" s="16"/>
      <c r="B944" s="16"/>
      <c r="I944" s="17"/>
      <c r="J944" s="17"/>
      <c r="K944" s="17"/>
      <c r="L944" s="17"/>
    </row>
    <row r="945" ht="15.75" customHeight="1">
      <c r="A945" s="16"/>
      <c r="B945" s="16"/>
      <c r="I945" s="17"/>
      <c r="J945" s="17"/>
      <c r="K945" s="17"/>
      <c r="L945" s="17"/>
    </row>
    <row r="946" ht="15.75" customHeight="1">
      <c r="A946" s="16"/>
      <c r="B946" s="16"/>
      <c r="I946" s="17"/>
      <c r="J946" s="17"/>
      <c r="K946" s="17"/>
      <c r="L946" s="17"/>
    </row>
    <row r="947" ht="15.75" customHeight="1">
      <c r="A947" s="16"/>
      <c r="B947" s="16"/>
      <c r="I947" s="17"/>
      <c r="J947" s="17"/>
      <c r="K947" s="17"/>
      <c r="L947" s="17"/>
    </row>
    <row r="948" ht="15.75" customHeight="1">
      <c r="A948" s="16"/>
      <c r="B948" s="16"/>
      <c r="I948" s="17"/>
      <c r="J948" s="17"/>
      <c r="K948" s="17"/>
      <c r="L948" s="17"/>
    </row>
    <row r="949" ht="15.75" customHeight="1">
      <c r="A949" s="16"/>
      <c r="B949" s="16"/>
      <c r="I949" s="17"/>
      <c r="J949" s="17"/>
      <c r="K949" s="17"/>
      <c r="L949" s="17"/>
    </row>
    <row r="950" ht="15.75" customHeight="1">
      <c r="A950" s="16"/>
      <c r="B950" s="16"/>
      <c r="I950" s="17"/>
      <c r="J950" s="17"/>
      <c r="K950" s="17"/>
      <c r="L950" s="17"/>
    </row>
    <row r="951" ht="15.75" customHeight="1">
      <c r="A951" s="16"/>
      <c r="B951" s="16"/>
      <c r="I951" s="17"/>
      <c r="J951" s="17"/>
      <c r="K951" s="17"/>
      <c r="L951" s="17"/>
    </row>
    <row r="952" ht="15.75" customHeight="1">
      <c r="A952" s="16"/>
      <c r="B952" s="16"/>
      <c r="I952" s="17"/>
      <c r="J952" s="17"/>
      <c r="K952" s="17"/>
      <c r="L952" s="17"/>
    </row>
    <row r="953" ht="15.75" customHeight="1">
      <c r="A953" s="16"/>
      <c r="B953" s="16"/>
      <c r="I953" s="17"/>
      <c r="J953" s="17"/>
      <c r="K953" s="17"/>
      <c r="L953" s="17"/>
    </row>
    <row r="954" ht="15.75" customHeight="1">
      <c r="A954" s="16"/>
      <c r="B954" s="16"/>
      <c r="I954" s="17"/>
      <c r="J954" s="17"/>
      <c r="K954" s="17"/>
      <c r="L954" s="17"/>
    </row>
    <row r="955" ht="15.75" customHeight="1">
      <c r="A955" s="16"/>
      <c r="B955" s="16"/>
      <c r="I955" s="17"/>
      <c r="J955" s="17"/>
      <c r="K955" s="17"/>
      <c r="L955" s="17"/>
    </row>
    <row r="956" ht="15.75" customHeight="1">
      <c r="A956" s="16"/>
      <c r="B956" s="16"/>
      <c r="I956" s="17"/>
      <c r="J956" s="17"/>
      <c r="K956" s="17"/>
      <c r="L956" s="17"/>
    </row>
    <row r="957" ht="15.75" customHeight="1">
      <c r="A957" s="16"/>
      <c r="B957" s="16"/>
      <c r="I957" s="17"/>
      <c r="J957" s="17"/>
      <c r="K957" s="17"/>
      <c r="L957" s="17"/>
    </row>
    <row r="958" ht="15.75" customHeight="1">
      <c r="A958" s="16"/>
      <c r="B958" s="16"/>
      <c r="I958" s="17"/>
      <c r="J958" s="17"/>
      <c r="K958" s="17"/>
      <c r="L958" s="17"/>
    </row>
    <row r="959" ht="15.75" customHeight="1">
      <c r="A959" s="16"/>
      <c r="B959" s="16"/>
      <c r="I959" s="17"/>
      <c r="J959" s="17"/>
      <c r="K959" s="17"/>
      <c r="L959" s="17"/>
    </row>
    <row r="960" ht="15.75" customHeight="1">
      <c r="A960" s="16"/>
      <c r="B960" s="16"/>
      <c r="I960" s="17"/>
      <c r="J960" s="17"/>
      <c r="K960" s="17"/>
      <c r="L960" s="17"/>
    </row>
    <row r="961" ht="15.75" customHeight="1">
      <c r="A961" s="16"/>
      <c r="B961" s="16"/>
      <c r="I961" s="17"/>
      <c r="J961" s="17"/>
      <c r="K961" s="17"/>
      <c r="L961" s="17"/>
    </row>
    <row r="962" ht="15.75" customHeight="1">
      <c r="A962" s="16"/>
      <c r="B962" s="16"/>
      <c r="I962" s="17"/>
      <c r="J962" s="17"/>
      <c r="K962" s="17"/>
      <c r="L962" s="17"/>
    </row>
    <row r="963" ht="15.75" customHeight="1">
      <c r="A963" s="16"/>
      <c r="B963" s="16"/>
      <c r="I963" s="17"/>
      <c r="J963" s="17"/>
      <c r="K963" s="17"/>
      <c r="L963" s="17"/>
    </row>
    <row r="964" ht="15.75" customHeight="1">
      <c r="A964" s="16"/>
      <c r="B964" s="16"/>
      <c r="I964" s="17"/>
      <c r="J964" s="17"/>
      <c r="K964" s="17"/>
      <c r="L964" s="17"/>
    </row>
    <row r="965" ht="15.75" customHeight="1">
      <c r="A965" s="16"/>
      <c r="B965" s="16"/>
      <c r="I965" s="17"/>
      <c r="J965" s="17"/>
      <c r="K965" s="17"/>
      <c r="L965" s="17"/>
    </row>
    <row r="966" ht="15.75" customHeight="1">
      <c r="A966" s="16"/>
      <c r="B966" s="16"/>
      <c r="I966" s="17"/>
      <c r="J966" s="17"/>
      <c r="K966" s="17"/>
      <c r="L966" s="17"/>
    </row>
    <row r="967" ht="15.75" customHeight="1">
      <c r="A967" s="16"/>
      <c r="B967" s="16"/>
      <c r="I967" s="17"/>
      <c r="J967" s="17"/>
      <c r="K967" s="17"/>
      <c r="L967" s="17"/>
    </row>
    <row r="968" ht="15.75" customHeight="1">
      <c r="A968" s="16"/>
      <c r="B968" s="16"/>
      <c r="I968" s="17"/>
      <c r="J968" s="17"/>
      <c r="K968" s="17"/>
      <c r="L968" s="17"/>
    </row>
    <row r="969" ht="15.75" customHeight="1">
      <c r="A969" s="16"/>
      <c r="B969" s="16"/>
      <c r="I969" s="17"/>
      <c r="J969" s="17"/>
      <c r="K969" s="17"/>
      <c r="L969" s="17"/>
    </row>
    <row r="970" ht="15.75" customHeight="1">
      <c r="A970" s="16"/>
      <c r="B970" s="16"/>
      <c r="I970" s="17"/>
      <c r="J970" s="17"/>
      <c r="K970" s="17"/>
      <c r="L970" s="17"/>
    </row>
    <row r="971" ht="15.75" customHeight="1">
      <c r="A971" s="16"/>
      <c r="B971" s="16"/>
      <c r="I971" s="17"/>
      <c r="J971" s="17"/>
      <c r="K971" s="17"/>
      <c r="L971" s="17"/>
    </row>
    <row r="972" ht="15.75" customHeight="1">
      <c r="A972" s="16"/>
      <c r="B972" s="16"/>
      <c r="I972" s="17"/>
      <c r="J972" s="17"/>
      <c r="K972" s="17"/>
      <c r="L972" s="17"/>
    </row>
    <row r="973" ht="15.75" customHeight="1">
      <c r="A973" s="16"/>
      <c r="B973" s="16"/>
      <c r="I973" s="17"/>
      <c r="J973" s="17"/>
      <c r="K973" s="17"/>
      <c r="L973" s="17"/>
    </row>
    <row r="974" ht="15.75" customHeight="1">
      <c r="A974" s="16"/>
      <c r="B974" s="16"/>
      <c r="I974" s="17"/>
      <c r="J974" s="17"/>
      <c r="K974" s="17"/>
      <c r="L974" s="17"/>
    </row>
    <row r="975" ht="15.75" customHeight="1">
      <c r="A975" s="16"/>
      <c r="B975" s="16"/>
      <c r="I975" s="17"/>
      <c r="J975" s="17"/>
      <c r="K975" s="17"/>
      <c r="L975" s="17"/>
    </row>
    <row r="976" ht="15.75" customHeight="1">
      <c r="A976" s="16"/>
      <c r="B976" s="16"/>
      <c r="I976" s="17"/>
      <c r="J976" s="17"/>
      <c r="K976" s="17"/>
      <c r="L976" s="17"/>
    </row>
    <row r="977" ht="15.75" customHeight="1">
      <c r="A977" s="16"/>
      <c r="B977" s="16"/>
      <c r="I977" s="17"/>
      <c r="J977" s="17"/>
      <c r="K977" s="17"/>
      <c r="L977" s="17"/>
    </row>
    <row r="978" ht="15.75" customHeight="1">
      <c r="A978" s="16"/>
      <c r="B978" s="16"/>
      <c r="I978" s="17"/>
      <c r="J978" s="17"/>
      <c r="K978" s="17"/>
      <c r="L978" s="17"/>
    </row>
    <row r="979" ht="15.75" customHeight="1">
      <c r="A979" s="16"/>
      <c r="B979" s="16"/>
      <c r="I979" s="17"/>
      <c r="J979" s="17"/>
      <c r="K979" s="17"/>
      <c r="L979" s="17"/>
    </row>
    <row r="980" ht="15.75" customHeight="1">
      <c r="A980" s="16"/>
      <c r="B980" s="16"/>
      <c r="I980" s="17"/>
      <c r="J980" s="17"/>
      <c r="K980" s="17"/>
      <c r="L980" s="17"/>
    </row>
    <row r="981" ht="15.75" customHeight="1">
      <c r="A981" s="16"/>
      <c r="B981" s="16"/>
      <c r="I981" s="17"/>
      <c r="J981" s="17"/>
      <c r="K981" s="17"/>
      <c r="L981" s="17"/>
    </row>
    <row r="982" ht="15.75" customHeight="1">
      <c r="A982" s="16"/>
      <c r="B982" s="16"/>
      <c r="I982" s="17"/>
      <c r="J982" s="17"/>
      <c r="K982" s="17"/>
      <c r="L982" s="17"/>
    </row>
    <row r="983" ht="15.75" customHeight="1">
      <c r="A983" s="16"/>
      <c r="B983" s="16"/>
      <c r="I983" s="17"/>
      <c r="J983" s="17"/>
      <c r="K983" s="17"/>
      <c r="L983" s="17"/>
    </row>
    <row r="984" ht="15.75" customHeight="1">
      <c r="A984" s="16"/>
      <c r="B984" s="16"/>
      <c r="I984" s="17"/>
      <c r="J984" s="17"/>
      <c r="K984" s="17"/>
      <c r="L984" s="17"/>
    </row>
    <row r="985" ht="15.75" customHeight="1">
      <c r="A985" s="16"/>
      <c r="B985" s="16"/>
      <c r="I985" s="17"/>
      <c r="J985" s="17"/>
      <c r="K985" s="17"/>
      <c r="L985" s="17"/>
    </row>
    <row r="986" ht="15.75" customHeight="1">
      <c r="A986" s="16"/>
      <c r="B986" s="16"/>
      <c r="I986" s="17"/>
      <c r="J986" s="17"/>
      <c r="K986" s="17"/>
      <c r="L986" s="17"/>
    </row>
    <row r="987" ht="15.75" customHeight="1">
      <c r="A987" s="16"/>
      <c r="B987" s="16"/>
      <c r="I987" s="17"/>
      <c r="J987" s="17"/>
      <c r="K987" s="17"/>
      <c r="L987" s="17"/>
    </row>
    <row r="988" ht="15.75" customHeight="1">
      <c r="A988" s="16"/>
      <c r="B988" s="16"/>
      <c r="I988" s="17"/>
      <c r="J988" s="17"/>
      <c r="K988" s="17"/>
      <c r="L988" s="17"/>
    </row>
    <row r="989" ht="15.75" customHeight="1">
      <c r="A989" s="16"/>
      <c r="B989" s="16"/>
      <c r="I989" s="17"/>
      <c r="J989" s="17"/>
      <c r="K989" s="17"/>
      <c r="L989" s="17"/>
    </row>
    <row r="990" ht="15.75" customHeight="1">
      <c r="A990" s="16"/>
      <c r="B990" s="16"/>
      <c r="I990" s="17"/>
      <c r="J990" s="17"/>
      <c r="K990" s="17"/>
      <c r="L990" s="17"/>
    </row>
    <row r="991" ht="15.75" customHeight="1">
      <c r="A991" s="16"/>
      <c r="B991" s="16"/>
      <c r="I991" s="17"/>
      <c r="J991" s="17"/>
      <c r="K991" s="17"/>
      <c r="L991" s="17"/>
    </row>
    <row r="992" ht="15.75" customHeight="1">
      <c r="A992" s="16"/>
      <c r="B992" s="16"/>
      <c r="I992" s="17"/>
      <c r="J992" s="17"/>
      <c r="K992" s="17"/>
      <c r="L992" s="17"/>
    </row>
    <row r="993" ht="15.75" customHeight="1">
      <c r="A993" s="16"/>
      <c r="B993" s="16"/>
      <c r="I993" s="17"/>
      <c r="J993" s="17"/>
      <c r="K993" s="17"/>
      <c r="L993" s="17"/>
    </row>
    <row r="994" ht="15.75" customHeight="1">
      <c r="A994" s="16"/>
      <c r="B994" s="16"/>
      <c r="I994" s="17"/>
      <c r="J994" s="17"/>
      <c r="K994" s="17"/>
      <c r="L994" s="17"/>
    </row>
    <row r="995" ht="15.75" customHeight="1">
      <c r="A995" s="16"/>
      <c r="B995" s="16"/>
      <c r="I995" s="17"/>
      <c r="J995" s="17"/>
      <c r="K995" s="17"/>
      <c r="L995" s="17"/>
    </row>
    <row r="996" ht="15.75" customHeight="1">
      <c r="A996" s="16"/>
      <c r="B996" s="16"/>
      <c r="I996" s="17"/>
      <c r="J996" s="17"/>
      <c r="K996" s="17"/>
      <c r="L996" s="17"/>
    </row>
    <row r="997" ht="15.75" customHeight="1">
      <c r="A997" s="16"/>
      <c r="B997" s="16"/>
      <c r="I997" s="17"/>
      <c r="J997" s="17"/>
      <c r="K997" s="17"/>
      <c r="L997" s="17"/>
    </row>
    <row r="998" ht="15.75" customHeight="1">
      <c r="A998" s="16"/>
      <c r="B998" s="16"/>
      <c r="I998" s="17"/>
      <c r="J998" s="17"/>
      <c r="K998" s="17"/>
      <c r="L998" s="17"/>
    </row>
    <row r="999" ht="15.75" customHeight="1">
      <c r="A999" s="16"/>
      <c r="B999" s="16"/>
      <c r="I999" s="17"/>
      <c r="J999" s="17"/>
      <c r="K999" s="17"/>
      <c r="L999" s="17"/>
    </row>
    <row r="1000" ht="15.75" customHeight="1">
      <c r="A1000" s="16"/>
      <c r="B1000" s="16"/>
      <c r="I1000" s="17"/>
      <c r="J1000" s="17"/>
      <c r="K1000" s="17"/>
      <c r="L1000" s="17"/>
    </row>
  </sheetData>
  <autoFilter ref="$A$1:$M$254">
    <filterColumn colId="1">
      <filters blank="1">
        <filter val="10-Apr"/>
        <filter val="8-Mar"/>
        <filter val="11-Aug"/>
        <filter val="19-Jan"/>
        <filter val="10-Oct"/>
        <filter val="19-Apr"/>
        <filter val="19-Oct"/>
        <filter val="22-May"/>
        <filter val="15-Nov"/>
        <filter val="24-Jul"/>
        <filter val="4-Oct"/>
        <filter val="4-Apr"/>
        <filter val="22-Sep"/>
        <filter val="9-Nov"/>
        <filter val="14-Mar"/>
        <filter val="24-Feb"/>
        <filter val="24-Jun"/>
        <filter val="10-Jan"/>
        <filter val="20-Mar"/>
        <filter val="3-Jul"/>
        <filter val="25-Oct"/>
        <filter val="15-Dec"/>
        <filter val="25-Apr"/>
        <filter val="4-Jan"/>
        <filter val="3-Feb"/>
        <filter val="3-Jun"/>
        <filter val="30-Jul"/>
        <filter val="16-May"/>
        <filter val="23-Aug"/>
        <filter val="30-Jun"/>
        <filter val="29-Mar"/>
        <filter val="27-Dec"/>
        <filter val="16-Sep"/>
        <filter val="21-Nov"/>
        <filter val="25-Jan"/>
        <filter val="6-Feb"/>
        <filter val="6-Jun"/>
        <filter val="27-Nov"/>
        <filter val="28-May"/>
        <filter val="6-Jul"/>
        <filter val="12-Dec"/>
        <filter val="28-Sep"/>
        <filter val="13-Jan"/>
        <filter val="21-Dec"/>
        <filter val="8-Aug"/>
        <filter val="13-Oct"/>
        <filter val="26-Mar"/>
        <filter val="13-Apr"/>
        <filter val="1-May"/>
        <filter val="14-Aug"/>
        <filter val="1-Sep"/>
        <filter val="7-Apr"/>
        <filter val="18-Jul"/>
        <filter val="11-Mar"/>
        <filter val="18-Feb"/>
        <filter val="18-Jun"/>
        <filter val="7-Oct"/>
        <filter val="9-Dec"/>
        <filter val="12-Nov"/>
        <filter val="7-Jan"/>
        <filter val="28-Apr"/>
        <filter val="23-Mar"/>
        <filter val="28-Oct"/>
        <filter val="30-Nov"/>
        <filter val="29-Aug"/>
        <filter val="20-Aug"/>
        <filter val="28-Jan"/>
        <filter val="6-Nov"/>
        <filter val="13-Sep"/>
        <filter val="1-Jan"/>
        <filter val="24-Dec"/>
        <filter val="31-May"/>
        <filter val="13-May"/>
        <filter val="1-Apr"/>
        <filter val="15-Jul"/>
        <filter val="5-Mar"/>
        <filter val="15-Feb"/>
        <filter val="15-Jun"/>
        <filter val="1-Oct"/>
        <filter val="3-Dec"/>
        <filter val="17-Mar"/>
        <filter val="2-Aug"/>
        <filter val="7-May"/>
        <filter val="30-Dec"/>
        <filter val="7-Sep"/>
        <filter val="27-Feb"/>
        <filter val="27-Jun"/>
        <filter val="27-Jul"/>
        <filter val="10-May"/>
        <filter val="22-Jan"/>
        <filter val="12-Feb"/>
        <filter val="12-Jun"/>
        <filter val="6-Dec"/>
        <filter val="12-Jul"/>
        <filter val="31-Jan"/>
        <filter val="10-Sep"/>
        <filter val="18-Nov"/>
        <filter val="21-Jul"/>
        <filter val="21-Feb"/>
        <filter val="21-Jun"/>
        <filter val="19-Sep"/>
        <filter val="17-Aug"/>
        <filter val="4-Sep"/>
        <filter val="22-Oct"/>
        <filter val="22-Apr"/>
        <filter val="4-May"/>
        <filter val="31-Oct"/>
        <filter val="16-Jan"/>
        <filter val="25-Sep"/>
        <filter val="25-May"/>
        <filter val="26-Aug"/>
        <filter val="24-Nov"/>
        <filter val="16-Apr"/>
        <filter val="16-Oct"/>
        <filter val="18-Dec"/>
        <filter val="2-Mar"/>
        <filter val="9-Jul"/>
        <filter val="19-May"/>
        <filter val="9-Feb"/>
        <filter val="9-Jun"/>
        <filter val="5-Aug"/>
        <filter val="3-Nov"/>
      </filters>
    </filterColumn>
  </autoFilter>
  <mergeCells count="9">
    <mergeCell ref="A253:F253"/>
    <mergeCell ref="A254:F254"/>
    <mergeCell ref="A246:F246"/>
    <mergeCell ref="A247:F247"/>
    <mergeCell ref="A248:F248"/>
    <mergeCell ref="A249:F249"/>
    <mergeCell ref="A250:F250"/>
    <mergeCell ref="A251:F251"/>
    <mergeCell ref="A252:F25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7.78"/>
    <col customWidth="1" min="2" max="2" width="7.0"/>
    <col customWidth="1" min="3" max="3" width="9.44"/>
    <col customWidth="1" min="4" max="4" width="14.44"/>
    <col customWidth="1" min="5" max="5" width="8.89"/>
    <col customWidth="1" min="6" max="6" width="18.11"/>
    <col customWidth="1" min="7" max="7" width="6.0"/>
    <col customWidth="1" min="8" max="8" width="9.78"/>
    <col customWidth="1" min="9" max="11" width="6.78"/>
    <col customWidth="1" min="12" max="12" width="15.56"/>
    <col customWidth="1" min="13" max="13" width="16.22"/>
    <col customWidth="1" min="14" max="29" width="8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ht="15.75" hidden="1" customHeight="1">
      <c r="A2" s="4" t="s">
        <v>13</v>
      </c>
      <c r="B2" s="5">
        <v>44562.0</v>
      </c>
      <c r="C2" s="6" t="s">
        <v>14</v>
      </c>
      <c r="D2" s="6" t="s">
        <v>15</v>
      </c>
      <c r="E2" s="6" t="s">
        <v>16</v>
      </c>
      <c r="F2" s="6" t="s">
        <v>17</v>
      </c>
      <c r="G2" s="6">
        <v>33.0</v>
      </c>
      <c r="H2" s="6">
        <v>1.7699999999999998</v>
      </c>
      <c r="I2" s="7">
        <f t="shared" ref="I2:I254" si="1">DAY(B2:B245)</f>
        <v>1</v>
      </c>
      <c r="J2" s="7">
        <f t="shared" ref="J2:J254" si="2">MONTH(B2:B245)</f>
        <v>1</v>
      </c>
      <c r="K2" s="7">
        <f t="shared" ref="K2:K254" si="3">YEAR(B2:B245)</f>
        <v>2022</v>
      </c>
      <c r="L2" s="7">
        <f t="shared" ref="L2:L245" si="4">G2*H2</f>
        <v>58.41</v>
      </c>
      <c r="M2" s="6" t="str">
        <f t="shared" ref="M2:M254" si="5">IF(L2&gt;100,"Expensive","Cheap")</f>
        <v>Cheap</v>
      </c>
    </row>
    <row r="3" ht="15.75" hidden="1" customHeight="1">
      <c r="A3" s="4" t="s">
        <v>18</v>
      </c>
      <c r="B3" s="5">
        <v>44565.0</v>
      </c>
      <c r="C3" s="6" t="s">
        <v>14</v>
      </c>
      <c r="D3" s="6" t="s">
        <v>15</v>
      </c>
      <c r="E3" s="6" t="s">
        <v>19</v>
      </c>
      <c r="F3" s="6" t="s">
        <v>20</v>
      </c>
      <c r="G3" s="6">
        <v>87.0</v>
      </c>
      <c r="H3" s="6">
        <v>3.4899999999999998</v>
      </c>
      <c r="I3" s="7">
        <f t="shared" si="1"/>
        <v>4</v>
      </c>
      <c r="J3" s="7">
        <f t="shared" si="2"/>
        <v>1</v>
      </c>
      <c r="K3" s="7">
        <f t="shared" si="3"/>
        <v>2022</v>
      </c>
      <c r="L3" s="7">
        <f t="shared" si="4"/>
        <v>303.63</v>
      </c>
      <c r="M3" s="6" t="str">
        <f t="shared" si="5"/>
        <v>Expensive</v>
      </c>
      <c r="P3" s="8" t="s">
        <v>21</v>
      </c>
      <c r="Q3" s="9"/>
      <c r="R3" s="9"/>
      <c r="S3" s="9"/>
      <c r="T3" s="9"/>
      <c r="U3" s="9"/>
      <c r="V3" s="9"/>
    </row>
    <row r="4" ht="15.75" hidden="1" customHeight="1">
      <c r="A4" s="4" t="s">
        <v>181</v>
      </c>
      <c r="B4" s="5">
        <v>44568.0</v>
      </c>
      <c r="C4" s="6" t="s">
        <v>182</v>
      </c>
      <c r="D4" s="6" t="s">
        <v>183</v>
      </c>
      <c r="E4" s="6" t="s">
        <v>24</v>
      </c>
      <c r="F4" s="6" t="s">
        <v>25</v>
      </c>
      <c r="G4" s="6">
        <v>58.0</v>
      </c>
      <c r="H4" s="6">
        <v>1.8699999999999999</v>
      </c>
      <c r="I4" s="7">
        <f t="shared" si="1"/>
        <v>7</v>
      </c>
      <c r="J4" s="7">
        <f t="shared" si="2"/>
        <v>1</v>
      </c>
      <c r="K4" s="7">
        <f t="shared" si="3"/>
        <v>2022</v>
      </c>
      <c r="L4" s="7">
        <f t="shared" si="4"/>
        <v>108.46</v>
      </c>
      <c r="M4" s="6" t="str">
        <f t="shared" si="5"/>
        <v>Expensive</v>
      </c>
      <c r="P4" s="8" t="s">
        <v>26</v>
      </c>
      <c r="Q4" s="9"/>
      <c r="R4" s="9"/>
      <c r="S4" s="9"/>
      <c r="T4" s="9"/>
      <c r="U4" s="9"/>
      <c r="V4" s="9"/>
    </row>
    <row r="5" ht="15.75" hidden="1" customHeight="1">
      <c r="A5" s="4" t="s">
        <v>22</v>
      </c>
      <c r="B5" s="5">
        <v>44571.0</v>
      </c>
      <c r="C5" s="6" t="s">
        <v>14</v>
      </c>
      <c r="D5" s="6" t="s">
        <v>23</v>
      </c>
      <c r="E5" s="6" t="s">
        <v>24</v>
      </c>
      <c r="F5" s="6" t="s">
        <v>25</v>
      </c>
      <c r="G5" s="6">
        <v>82.0</v>
      </c>
      <c r="H5" s="6">
        <v>1.87</v>
      </c>
      <c r="I5" s="7">
        <f t="shared" si="1"/>
        <v>10</v>
      </c>
      <c r="J5" s="7">
        <f t="shared" si="2"/>
        <v>1</v>
      </c>
      <c r="K5" s="7">
        <f t="shared" si="3"/>
        <v>2022</v>
      </c>
      <c r="L5" s="7">
        <f t="shared" si="4"/>
        <v>153.34</v>
      </c>
      <c r="M5" s="6" t="str">
        <f t="shared" si="5"/>
        <v>Expensive</v>
      </c>
    </row>
    <row r="6" ht="15.75" hidden="1" customHeight="1">
      <c r="A6" s="4" t="s">
        <v>27</v>
      </c>
      <c r="B6" s="5">
        <v>44574.0</v>
      </c>
      <c r="C6" s="6" t="s">
        <v>14</v>
      </c>
      <c r="D6" s="6" t="s">
        <v>15</v>
      </c>
      <c r="E6" s="6" t="s">
        <v>24</v>
      </c>
      <c r="F6" s="6" t="s">
        <v>28</v>
      </c>
      <c r="G6" s="6">
        <v>38.0</v>
      </c>
      <c r="H6" s="6">
        <v>2.18</v>
      </c>
      <c r="I6" s="7">
        <f t="shared" si="1"/>
        <v>13</v>
      </c>
      <c r="J6" s="7">
        <f t="shared" si="2"/>
        <v>1</v>
      </c>
      <c r="K6" s="7">
        <f t="shared" si="3"/>
        <v>2022</v>
      </c>
      <c r="L6" s="7">
        <f t="shared" si="4"/>
        <v>82.84</v>
      </c>
      <c r="M6" s="6" t="str">
        <f t="shared" si="5"/>
        <v>Cheap</v>
      </c>
    </row>
    <row r="7" ht="15.75" hidden="1" customHeight="1">
      <c r="A7" s="4" t="s">
        <v>29</v>
      </c>
      <c r="B7" s="5">
        <v>44577.0</v>
      </c>
      <c r="C7" s="6" t="s">
        <v>14</v>
      </c>
      <c r="D7" s="6" t="s">
        <v>15</v>
      </c>
      <c r="E7" s="6" t="s">
        <v>16</v>
      </c>
      <c r="F7" s="6" t="s">
        <v>17</v>
      </c>
      <c r="G7" s="6">
        <v>54.0</v>
      </c>
      <c r="H7" s="6">
        <v>1.77</v>
      </c>
      <c r="I7" s="7">
        <f t="shared" si="1"/>
        <v>16</v>
      </c>
      <c r="J7" s="7">
        <f t="shared" si="2"/>
        <v>1</v>
      </c>
      <c r="K7" s="7">
        <f t="shared" si="3"/>
        <v>2022</v>
      </c>
      <c r="L7" s="7">
        <f t="shared" si="4"/>
        <v>95.58</v>
      </c>
      <c r="M7" s="6" t="str">
        <f t="shared" si="5"/>
        <v>Cheap</v>
      </c>
    </row>
    <row r="8" ht="15.75" hidden="1" customHeight="1">
      <c r="A8" s="4" t="s">
        <v>30</v>
      </c>
      <c r="B8" s="5">
        <v>44580.0</v>
      </c>
      <c r="C8" s="6" t="s">
        <v>14</v>
      </c>
      <c r="D8" s="6" t="s">
        <v>15</v>
      </c>
      <c r="E8" s="6" t="s">
        <v>19</v>
      </c>
      <c r="F8" s="6" t="s">
        <v>20</v>
      </c>
      <c r="G8" s="6">
        <v>149.0</v>
      </c>
      <c r="H8" s="6">
        <v>3.4899999999999998</v>
      </c>
      <c r="I8" s="7">
        <f t="shared" si="1"/>
        <v>19</v>
      </c>
      <c r="J8" s="7">
        <f t="shared" si="2"/>
        <v>1</v>
      </c>
      <c r="K8" s="7">
        <f t="shared" si="3"/>
        <v>2022</v>
      </c>
      <c r="L8" s="7">
        <f t="shared" si="4"/>
        <v>520.01</v>
      </c>
      <c r="M8" s="6" t="str">
        <f t="shared" si="5"/>
        <v>Expensive</v>
      </c>
    </row>
    <row r="9" ht="15.75" hidden="1" customHeight="1">
      <c r="A9" s="4" t="s">
        <v>184</v>
      </c>
      <c r="B9" s="5">
        <v>44583.0</v>
      </c>
      <c r="C9" s="6" t="s">
        <v>182</v>
      </c>
      <c r="D9" s="6" t="s">
        <v>183</v>
      </c>
      <c r="E9" s="6" t="s">
        <v>16</v>
      </c>
      <c r="F9" s="6" t="s">
        <v>17</v>
      </c>
      <c r="G9" s="6">
        <v>51.0</v>
      </c>
      <c r="H9" s="6">
        <v>1.77</v>
      </c>
      <c r="I9" s="7">
        <f t="shared" si="1"/>
        <v>22</v>
      </c>
      <c r="J9" s="7">
        <f t="shared" si="2"/>
        <v>1</v>
      </c>
      <c r="K9" s="7">
        <f t="shared" si="3"/>
        <v>2022</v>
      </c>
      <c r="L9" s="7">
        <f t="shared" si="4"/>
        <v>90.27</v>
      </c>
      <c r="M9" s="6" t="str">
        <f t="shared" si="5"/>
        <v>Cheap</v>
      </c>
    </row>
    <row r="10" ht="15.75" hidden="1" customHeight="1">
      <c r="A10" s="4" t="s">
        <v>31</v>
      </c>
      <c r="B10" s="5">
        <v>44586.0</v>
      </c>
      <c r="C10" s="6" t="s">
        <v>14</v>
      </c>
      <c r="D10" s="6" t="s">
        <v>23</v>
      </c>
      <c r="E10" s="6" t="s">
        <v>16</v>
      </c>
      <c r="F10" s="6" t="s">
        <v>17</v>
      </c>
      <c r="G10" s="6">
        <v>100.0</v>
      </c>
      <c r="H10" s="6">
        <v>1.77</v>
      </c>
      <c r="I10" s="7">
        <f t="shared" si="1"/>
        <v>25</v>
      </c>
      <c r="J10" s="7">
        <f t="shared" si="2"/>
        <v>1</v>
      </c>
      <c r="K10" s="7">
        <f t="shared" si="3"/>
        <v>2022</v>
      </c>
      <c r="L10" s="7">
        <f t="shared" si="4"/>
        <v>177</v>
      </c>
      <c r="M10" s="6" t="str">
        <f t="shared" si="5"/>
        <v>Expensive</v>
      </c>
    </row>
    <row r="11" ht="15.75" hidden="1" customHeight="1">
      <c r="A11" s="4" t="s">
        <v>32</v>
      </c>
      <c r="B11" s="5">
        <v>44589.0</v>
      </c>
      <c r="C11" s="6" t="s">
        <v>14</v>
      </c>
      <c r="D11" s="6" t="s">
        <v>23</v>
      </c>
      <c r="E11" s="6" t="s">
        <v>33</v>
      </c>
      <c r="F11" s="6" t="s">
        <v>34</v>
      </c>
      <c r="G11" s="6">
        <v>28.0</v>
      </c>
      <c r="H11" s="6">
        <v>1.35</v>
      </c>
      <c r="I11" s="7">
        <f t="shared" si="1"/>
        <v>28</v>
      </c>
      <c r="J11" s="7">
        <f t="shared" si="2"/>
        <v>1</v>
      </c>
      <c r="K11" s="7">
        <f t="shared" si="3"/>
        <v>2022</v>
      </c>
      <c r="L11" s="7">
        <f t="shared" si="4"/>
        <v>37.8</v>
      </c>
      <c r="M11" s="6" t="str">
        <f t="shared" si="5"/>
        <v>Cheap</v>
      </c>
    </row>
    <row r="12" ht="15.75" hidden="1" customHeight="1">
      <c r="A12" s="4" t="s">
        <v>35</v>
      </c>
      <c r="B12" s="5">
        <v>44592.0</v>
      </c>
      <c r="C12" s="6" t="s">
        <v>14</v>
      </c>
      <c r="D12" s="6" t="s">
        <v>15</v>
      </c>
      <c r="E12" s="6" t="s">
        <v>24</v>
      </c>
      <c r="F12" s="6" t="s">
        <v>28</v>
      </c>
      <c r="G12" s="6">
        <v>36.0</v>
      </c>
      <c r="H12" s="6">
        <v>2.18</v>
      </c>
      <c r="I12" s="7">
        <f t="shared" si="1"/>
        <v>31</v>
      </c>
      <c r="J12" s="7">
        <f t="shared" si="2"/>
        <v>1</v>
      </c>
      <c r="K12" s="7">
        <f t="shared" si="3"/>
        <v>2022</v>
      </c>
      <c r="L12" s="7">
        <f t="shared" si="4"/>
        <v>78.48</v>
      </c>
      <c r="M12" s="6" t="str">
        <f t="shared" si="5"/>
        <v>Cheap</v>
      </c>
    </row>
    <row r="13" ht="15.75" hidden="1" customHeight="1">
      <c r="A13" s="4" t="s">
        <v>36</v>
      </c>
      <c r="B13" s="5">
        <v>44595.0</v>
      </c>
      <c r="C13" s="6" t="s">
        <v>14</v>
      </c>
      <c r="D13" s="6" t="s">
        <v>15</v>
      </c>
      <c r="E13" s="6" t="s">
        <v>24</v>
      </c>
      <c r="F13" s="6" t="s">
        <v>25</v>
      </c>
      <c r="G13" s="6">
        <v>31.0</v>
      </c>
      <c r="H13" s="6">
        <v>1.8699999999999999</v>
      </c>
      <c r="I13" s="7">
        <f t="shared" si="1"/>
        <v>3</v>
      </c>
      <c r="J13" s="7">
        <f t="shared" si="2"/>
        <v>2</v>
      </c>
      <c r="K13" s="7">
        <f t="shared" si="3"/>
        <v>2022</v>
      </c>
      <c r="L13" s="7">
        <f t="shared" si="4"/>
        <v>57.97</v>
      </c>
      <c r="M13" s="6" t="str">
        <f t="shared" si="5"/>
        <v>Cheap</v>
      </c>
    </row>
    <row r="14" ht="15.75" hidden="1" customHeight="1">
      <c r="A14" s="4" t="s">
        <v>37</v>
      </c>
      <c r="B14" s="5">
        <v>44598.0</v>
      </c>
      <c r="C14" s="6" t="s">
        <v>14</v>
      </c>
      <c r="D14" s="6" t="s">
        <v>15</v>
      </c>
      <c r="E14" s="6" t="s">
        <v>19</v>
      </c>
      <c r="F14" s="6" t="s">
        <v>20</v>
      </c>
      <c r="G14" s="6">
        <v>28.0</v>
      </c>
      <c r="H14" s="6">
        <v>3.4899999999999998</v>
      </c>
      <c r="I14" s="7">
        <f t="shared" si="1"/>
        <v>6</v>
      </c>
      <c r="J14" s="7">
        <f t="shared" si="2"/>
        <v>2</v>
      </c>
      <c r="K14" s="7">
        <f t="shared" si="3"/>
        <v>2022</v>
      </c>
      <c r="L14" s="7">
        <f t="shared" si="4"/>
        <v>97.72</v>
      </c>
      <c r="M14" s="6" t="str">
        <f t="shared" si="5"/>
        <v>Cheap</v>
      </c>
    </row>
    <row r="15" ht="15.75" hidden="1" customHeight="1">
      <c r="A15" s="4" t="s">
        <v>185</v>
      </c>
      <c r="B15" s="5">
        <v>44601.0</v>
      </c>
      <c r="C15" s="6" t="s">
        <v>182</v>
      </c>
      <c r="D15" s="6" t="s">
        <v>183</v>
      </c>
      <c r="E15" s="6" t="s">
        <v>16</v>
      </c>
      <c r="F15" s="6" t="s">
        <v>17</v>
      </c>
      <c r="G15" s="6">
        <v>44.0</v>
      </c>
      <c r="H15" s="6">
        <v>1.7699999999999998</v>
      </c>
      <c r="I15" s="7">
        <f t="shared" si="1"/>
        <v>9</v>
      </c>
      <c r="J15" s="7">
        <f t="shared" si="2"/>
        <v>2</v>
      </c>
      <c r="K15" s="7">
        <f t="shared" si="3"/>
        <v>2022</v>
      </c>
      <c r="L15" s="7">
        <f t="shared" si="4"/>
        <v>77.88</v>
      </c>
      <c r="M15" s="6" t="str">
        <f t="shared" si="5"/>
        <v>Cheap</v>
      </c>
    </row>
    <row r="16" ht="15.75" hidden="1" customHeight="1">
      <c r="A16" s="4" t="s">
        <v>38</v>
      </c>
      <c r="B16" s="5">
        <v>44604.0</v>
      </c>
      <c r="C16" s="6" t="s">
        <v>14</v>
      </c>
      <c r="D16" s="6" t="s">
        <v>23</v>
      </c>
      <c r="E16" s="6" t="s">
        <v>16</v>
      </c>
      <c r="F16" s="6" t="s">
        <v>17</v>
      </c>
      <c r="G16" s="6">
        <v>23.0</v>
      </c>
      <c r="H16" s="6">
        <v>1.77</v>
      </c>
      <c r="I16" s="7">
        <f t="shared" si="1"/>
        <v>12</v>
      </c>
      <c r="J16" s="7">
        <f t="shared" si="2"/>
        <v>2</v>
      </c>
      <c r="K16" s="7">
        <f t="shared" si="3"/>
        <v>2022</v>
      </c>
      <c r="L16" s="7">
        <f t="shared" si="4"/>
        <v>40.71</v>
      </c>
      <c r="M16" s="6" t="str">
        <f t="shared" si="5"/>
        <v>Cheap</v>
      </c>
    </row>
    <row r="17" ht="15.75" hidden="1" customHeight="1">
      <c r="A17" s="4" t="s">
        <v>39</v>
      </c>
      <c r="B17" s="5">
        <v>44607.0</v>
      </c>
      <c r="C17" s="6" t="s">
        <v>14</v>
      </c>
      <c r="D17" s="6" t="s">
        <v>23</v>
      </c>
      <c r="E17" s="6" t="s">
        <v>33</v>
      </c>
      <c r="F17" s="6" t="s">
        <v>34</v>
      </c>
      <c r="G17" s="6">
        <v>27.0</v>
      </c>
      <c r="H17" s="6">
        <v>1.35</v>
      </c>
      <c r="I17" s="7">
        <f t="shared" si="1"/>
        <v>15</v>
      </c>
      <c r="J17" s="7">
        <f t="shared" si="2"/>
        <v>2</v>
      </c>
      <c r="K17" s="7">
        <f t="shared" si="3"/>
        <v>2022</v>
      </c>
      <c r="L17" s="7">
        <f t="shared" si="4"/>
        <v>36.45</v>
      </c>
      <c r="M17" s="6" t="str">
        <f t="shared" si="5"/>
        <v>Cheap</v>
      </c>
    </row>
    <row r="18" ht="15.75" hidden="1" customHeight="1">
      <c r="A18" s="4" t="s">
        <v>40</v>
      </c>
      <c r="B18" s="5">
        <v>44610.0</v>
      </c>
      <c r="C18" s="6" t="s">
        <v>14</v>
      </c>
      <c r="D18" s="6" t="s">
        <v>15</v>
      </c>
      <c r="E18" s="6" t="s">
        <v>24</v>
      </c>
      <c r="F18" s="6" t="s">
        <v>28</v>
      </c>
      <c r="G18" s="6">
        <v>43.0</v>
      </c>
      <c r="H18" s="6">
        <v>2.1799999999999997</v>
      </c>
      <c r="I18" s="7">
        <f t="shared" si="1"/>
        <v>18</v>
      </c>
      <c r="J18" s="7">
        <f t="shared" si="2"/>
        <v>2</v>
      </c>
      <c r="K18" s="7">
        <f t="shared" si="3"/>
        <v>2022</v>
      </c>
      <c r="L18" s="7">
        <f t="shared" si="4"/>
        <v>93.74</v>
      </c>
      <c r="M18" s="6" t="str">
        <f t="shared" si="5"/>
        <v>Cheap</v>
      </c>
    </row>
    <row r="19" ht="15.75" hidden="1" customHeight="1">
      <c r="A19" s="4" t="s">
        <v>41</v>
      </c>
      <c r="B19" s="5">
        <v>44613.0</v>
      </c>
      <c r="C19" s="6" t="s">
        <v>14</v>
      </c>
      <c r="D19" s="6" t="s">
        <v>15</v>
      </c>
      <c r="E19" s="6" t="s">
        <v>24</v>
      </c>
      <c r="F19" s="6" t="s">
        <v>42</v>
      </c>
      <c r="G19" s="6">
        <v>123.0</v>
      </c>
      <c r="H19" s="6">
        <v>2.84</v>
      </c>
      <c r="I19" s="7">
        <f t="shared" si="1"/>
        <v>21</v>
      </c>
      <c r="J19" s="7">
        <f t="shared" si="2"/>
        <v>2</v>
      </c>
      <c r="K19" s="7">
        <f t="shared" si="3"/>
        <v>2022</v>
      </c>
      <c r="L19" s="7">
        <f t="shared" si="4"/>
        <v>349.32</v>
      </c>
      <c r="M19" s="6" t="str">
        <f t="shared" si="5"/>
        <v>Expensive</v>
      </c>
    </row>
    <row r="20" ht="15.75" hidden="1" customHeight="1">
      <c r="A20" s="4" t="s">
        <v>186</v>
      </c>
      <c r="B20" s="5">
        <v>44616.0</v>
      </c>
      <c r="C20" s="6" t="s">
        <v>182</v>
      </c>
      <c r="D20" s="6" t="s">
        <v>183</v>
      </c>
      <c r="E20" s="6" t="s">
        <v>16</v>
      </c>
      <c r="F20" s="6" t="s">
        <v>49</v>
      </c>
      <c r="G20" s="6">
        <v>42.0</v>
      </c>
      <c r="H20" s="6">
        <v>1.87</v>
      </c>
      <c r="I20" s="7">
        <f t="shared" si="1"/>
        <v>24</v>
      </c>
      <c r="J20" s="7">
        <f t="shared" si="2"/>
        <v>2</v>
      </c>
      <c r="K20" s="7">
        <f t="shared" si="3"/>
        <v>2022</v>
      </c>
      <c r="L20" s="7">
        <f t="shared" si="4"/>
        <v>78.54</v>
      </c>
      <c r="M20" s="6" t="str">
        <f t="shared" si="5"/>
        <v>Cheap</v>
      </c>
    </row>
    <row r="21" ht="15.75" hidden="1" customHeight="1">
      <c r="A21" s="4" t="s">
        <v>187</v>
      </c>
      <c r="B21" s="5">
        <v>44619.0</v>
      </c>
      <c r="C21" s="6" t="s">
        <v>182</v>
      </c>
      <c r="D21" s="6" t="s">
        <v>183</v>
      </c>
      <c r="E21" s="6" t="s">
        <v>24</v>
      </c>
      <c r="F21" s="6" t="s">
        <v>42</v>
      </c>
      <c r="G21" s="6">
        <v>33.0</v>
      </c>
      <c r="H21" s="6">
        <v>2.84</v>
      </c>
      <c r="I21" s="7">
        <f t="shared" si="1"/>
        <v>27</v>
      </c>
      <c r="J21" s="7">
        <f t="shared" si="2"/>
        <v>2</v>
      </c>
      <c r="K21" s="7">
        <f t="shared" si="3"/>
        <v>2022</v>
      </c>
      <c r="L21" s="7">
        <f t="shared" si="4"/>
        <v>93.72</v>
      </c>
      <c r="M21" s="6" t="str">
        <f t="shared" si="5"/>
        <v>Cheap</v>
      </c>
    </row>
    <row r="22" ht="15.75" hidden="1" customHeight="1">
      <c r="A22" s="4" t="s">
        <v>43</v>
      </c>
      <c r="B22" s="5">
        <v>44622.0</v>
      </c>
      <c r="C22" s="6" t="s">
        <v>14</v>
      </c>
      <c r="D22" s="6" t="s">
        <v>23</v>
      </c>
      <c r="E22" s="6" t="s">
        <v>24</v>
      </c>
      <c r="F22" s="6" t="s">
        <v>25</v>
      </c>
      <c r="G22" s="6">
        <v>85.0</v>
      </c>
      <c r="H22" s="6">
        <v>1.8699999999999999</v>
      </c>
      <c r="I22" s="7">
        <f t="shared" si="1"/>
        <v>2</v>
      </c>
      <c r="J22" s="7">
        <f t="shared" si="2"/>
        <v>3</v>
      </c>
      <c r="K22" s="7">
        <f t="shared" si="3"/>
        <v>2022</v>
      </c>
      <c r="L22" s="7">
        <f t="shared" si="4"/>
        <v>158.95</v>
      </c>
      <c r="M22" s="6" t="str">
        <f t="shared" si="5"/>
        <v>Expensive</v>
      </c>
    </row>
    <row r="23" ht="15.75" hidden="1" customHeight="1">
      <c r="A23" s="4" t="s">
        <v>188</v>
      </c>
      <c r="B23" s="5">
        <v>44625.0</v>
      </c>
      <c r="C23" s="6" t="s">
        <v>182</v>
      </c>
      <c r="D23" s="6" t="s">
        <v>189</v>
      </c>
      <c r="E23" s="6" t="s">
        <v>24</v>
      </c>
      <c r="F23" s="6" t="s">
        <v>42</v>
      </c>
      <c r="G23" s="6">
        <v>30.0</v>
      </c>
      <c r="H23" s="6">
        <v>2.8400000000000003</v>
      </c>
      <c r="I23" s="7">
        <f t="shared" si="1"/>
        <v>5</v>
      </c>
      <c r="J23" s="7">
        <f t="shared" si="2"/>
        <v>3</v>
      </c>
      <c r="K23" s="7">
        <f t="shared" si="3"/>
        <v>2022</v>
      </c>
      <c r="L23" s="7">
        <f t="shared" si="4"/>
        <v>85.2</v>
      </c>
      <c r="M23" s="6" t="str">
        <f t="shared" si="5"/>
        <v>Cheap</v>
      </c>
    </row>
    <row r="24" ht="15.75" hidden="1" customHeight="1">
      <c r="A24" s="4" t="s">
        <v>44</v>
      </c>
      <c r="B24" s="5">
        <v>44628.0</v>
      </c>
      <c r="C24" s="6" t="s">
        <v>14</v>
      </c>
      <c r="D24" s="6" t="s">
        <v>15</v>
      </c>
      <c r="E24" s="6" t="s">
        <v>16</v>
      </c>
      <c r="F24" s="6" t="s">
        <v>17</v>
      </c>
      <c r="G24" s="6">
        <v>61.0</v>
      </c>
      <c r="H24" s="6">
        <v>1.77</v>
      </c>
      <c r="I24" s="7">
        <f t="shared" si="1"/>
        <v>8</v>
      </c>
      <c r="J24" s="7">
        <f t="shared" si="2"/>
        <v>3</v>
      </c>
      <c r="K24" s="7">
        <f t="shared" si="3"/>
        <v>2022</v>
      </c>
      <c r="L24" s="7">
        <f t="shared" si="4"/>
        <v>107.97</v>
      </c>
      <c r="M24" s="6" t="str">
        <f t="shared" si="5"/>
        <v>Expensive</v>
      </c>
    </row>
    <row r="25" ht="15.75" hidden="1" customHeight="1">
      <c r="A25" s="4" t="s">
        <v>45</v>
      </c>
      <c r="B25" s="5">
        <v>44631.0</v>
      </c>
      <c r="C25" s="6" t="s">
        <v>14</v>
      </c>
      <c r="D25" s="6" t="s">
        <v>15</v>
      </c>
      <c r="E25" s="6" t="s">
        <v>19</v>
      </c>
      <c r="F25" s="6" t="s">
        <v>20</v>
      </c>
      <c r="G25" s="6">
        <v>40.0</v>
      </c>
      <c r="H25" s="6">
        <v>3.4899999999999998</v>
      </c>
      <c r="I25" s="7">
        <f t="shared" si="1"/>
        <v>11</v>
      </c>
      <c r="J25" s="7">
        <f t="shared" si="2"/>
        <v>3</v>
      </c>
      <c r="K25" s="7">
        <f t="shared" si="3"/>
        <v>2022</v>
      </c>
      <c r="L25" s="7">
        <f t="shared" si="4"/>
        <v>139.6</v>
      </c>
      <c r="M25" s="6" t="str">
        <f t="shared" si="5"/>
        <v>Expensive</v>
      </c>
    </row>
    <row r="26" ht="15.75" hidden="1" customHeight="1">
      <c r="A26" s="4" t="s">
        <v>190</v>
      </c>
      <c r="B26" s="5">
        <v>44634.0</v>
      </c>
      <c r="C26" s="6" t="s">
        <v>182</v>
      </c>
      <c r="D26" s="6" t="s">
        <v>183</v>
      </c>
      <c r="E26" s="6" t="s">
        <v>24</v>
      </c>
      <c r="F26" s="6" t="s">
        <v>25</v>
      </c>
      <c r="G26" s="6">
        <v>86.0</v>
      </c>
      <c r="H26" s="6">
        <v>1.8699999999999999</v>
      </c>
      <c r="I26" s="7">
        <f t="shared" si="1"/>
        <v>14</v>
      </c>
      <c r="J26" s="7">
        <f t="shared" si="2"/>
        <v>3</v>
      </c>
      <c r="K26" s="7">
        <f t="shared" si="3"/>
        <v>2022</v>
      </c>
      <c r="L26" s="7">
        <f t="shared" si="4"/>
        <v>160.82</v>
      </c>
      <c r="M26" s="6" t="str">
        <f t="shared" si="5"/>
        <v>Expensive</v>
      </c>
    </row>
    <row r="27" ht="15.75" hidden="1" customHeight="1">
      <c r="A27" s="4" t="s">
        <v>46</v>
      </c>
      <c r="B27" s="5">
        <v>44637.0</v>
      </c>
      <c r="C27" s="6" t="s">
        <v>14</v>
      </c>
      <c r="D27" s="6" t="s">
        <v>23</v>
      </c>
      <c r="E27" s="6" t="s">
        <v>16</v>
      </c>
      <c r="F27" s="6" t="s">
        <v>17</v>
      </c>
      <c r="G27" s="6">
        <v>38.0</v>
      </c>
      <c r="H27" s="6">
        <v>1.7700000000000002</v>
      </c>
      <c r="I27" s="7">
        <f t="shared" si="1"/>
        <v>17</v>
      </c>
      <c r="J27" s="7">
        <f t="shared" si="2"/>
        <v>3</v>
      </c>
      <c r="K27" s="7">
        <f t="shared" si="3"/>
        <v>2022</v>
      </c>
      <c r="L27" s="7">
        <f t="shared" si="4"/>
        <v>67.26</v>
      </c>
      <c r="M27" s="6" t="str">
        <f t="shared" si="5"/>
        <v>Cheap</v>
      </c>
    </row>
    <row r="28" ht="15.75" hidden="1" customHeight="1">
      <c r="A28" s="4" t="s">
        <v>47</v>
      </c>
      <c r="B28" s="5">
        <v>44640.0</v>
      </c>
      <c r="C28" s="6" t="s">
        <v>14</v>
      </c>
      <c r="D28" s="6" t="s">
        <v>23</v>
      </c>
      <c r="E28" s="6" t="s">
        <v>33</v>
      </c>
      <c r="F28" s="6" t="s">
        <v>34</v>
      </c>
      <c r="G28" s="6">
        <v>68.0</v>
      </c>
      <c r="H28" s="6">
        <v>1.68</v>
      </c>
      <c r="I28" s="7">
        <f t="shared" si="1"/>
        <v>20</v>
      </c>
      <c r="J28" s="7">
        <f t="shared" si="2"/>
        <v>3</v>
      </c>
      <c r="K28" s="7">
        <f t="shared" si="3"/>
        <v>2022</v>
      </c>
      <c r="L28" s="7">
        <f t="shared" si="4"/>
        <v>114.24</v>
      </c>
      <c r="M28" s="6" t="str">
        <f t="shared" si="5"/>
        <v>Expensive</v>
      </c>
    </row>
    <row r="29" ht="15.75" hidden="1" customHeight="1">
      <c r="A29" s="4" t="s">
        <v>191</v>
      </c>
      <c r="B29" s="5">
        <v>44643.0</v>
      </c>
      <c r="C29" s="6" t="s">
        <v>182</v>
      </c>
      <c r="D29" s="6" t="s">
        <v>189</v>
      </c>
      <c r="E29" s="6" t="s">
        <v>24</v>
      </c>
      <c r="F29" s="6" t="s">
        <v>25</v>
      </c>
      <c r="G29" s="6">
        <v>39.0</v>
      </c>
      <c r="H29" s="6">
        <v>1.87</v>
      </c>
      <c r="I29" s="7">
        <f t="shared" si="1"/>
        <v>23</v>
      </c>
      <c r="J29" s="7">
        <f t="shared" si="2"/>
        <v>3</v>
      </c>
      <c r="K29" s="7">
        <f t="shared" si="3"/>
        <v>2022</v>
      </c>
      <c r="L29" s="7">
        <f t="shared" si="4"/>
        <v>72.93</v>
      </c>
      <c r="M29" s="6" t="str">
        <f t="shared" si="5"/>
        <v>Cheap</v>
      </c>
    </row>
    <row r="30" ht="15.75" hidden="1" customHeight="1">
      <c r="A30" s="4" t="s">
        <v>48</v>
      </c>
      <c r="B30" s="5">
        <v>44646.0</v>
      </c>
      <c r="C30" s="6" t="s">
        <v>14</v>
      </c>
      <c r="D30" s="6" t="s">
        <v>15</v>
      </c>
      <c r="E30" s="6" t="s">
        <v>16</v>
      </c>
      <c r="F30" s="6" t="s">
        <v>49</v>
      </c>
      <c r="G30" s="6">
        <v>103.0</v>
      </c>
      <c r="H30" s="6">
        <v>1.87</v>
      </c>
      <c r="I30" s="7">
        <f t="shared" si="1"/>
        <v>26</v>
      </c>
      <c r="J30" s="7">
        <f t="shared" si="2"/>
        <v>3</v>
      </c>
      <c r="K30" s="7">
        <f t="shared" si="3"/>
        <v>2022</v>
      </c>
      <c r="L30" s="7">
        <f t="shared" si="4"/>
        <v>192.61</v>
      </c>
      <c r="M30" s="6" t="str">
        <f t="shared" si="5"/>
        <v>Expensive</v>
      </c>
    </row>
    <row r="31" ht="15.75" hidden="1" customHeight="1">
      <c r="A31" s="4" t="s">
        <v>50</v>
      </c>
      <c r="B31" s="5">
        <v>44649.0</v>
      </c>
      <c r="C31" s="6" t="s">
        <v>14</v>
      </c>
      <c r="D31" s="6" t="s">
        <v>15</v>
      </c>
      <c r="E31" s="6" t="s">
        <v>24</v>
      </c>
      <c r="F31" s="6" t="s">
        <v>42</v>
      </c>
      <c r="G31" s="6">
        <v>193.0</v>
      </c>
      <c r="H31" s="6">
        <v>2.84</v>
      </c>
      <c r="I31" s="7">
        <f t="shared" si="1"/>
        <v>29</v>
      </c>
      <c r="J31" s="7">
        <f t="shared" si="2"/>
        <v>3</v>
      </c>
      <c r="K31" s="7">
        <f t="shared" si="3"/>
        <v>2022</v>
      </c>
      <c r="L31" s="7">
        <f t="shared" si="4"/>
        <v>548.12</v>
      </c>
      <c r="M31" s="6" t="str">
        <f t="shared" si="5"/>
        <v>Expensive</v>
      </c>
    </row>
    <row r="32" ht="15.75" hidden="1" customHeight="1">
      <c r="A32" s="4" t="s">
        <v>192</v>
      </c>
      <c r="B32" s="5">
        <v>44652.0</v>
      </c>
      <c r="C32" s="6" t="s">
        <v>182</v>
      </c>
      <c r="D32" s="6" t="s">
        <v>183</v>
      </c>
      <c r="E32" s="6" t="s">
        <v>16</v>
      </c>
      <c r="F32" s="6" t="s">
        <v>17</v>
      </c>
      <c r="G32" s="6">
        <v>58.0</v>
      </c>
      <c r="H32" s="6">
        <v>1.77</v>
      </c>
      <c r="I32" s="7">
        <f t="shared" si="1"/>
        <v>1</v>
      </c>
      <c r="J32" s="7">
        <f t="shared" si="2"/>
        <v>4</v>
      </c>
      <c r="K32" s="7">
        <f t="shared" si="3"/>
        <v>2022</v>
      </c>
      <c r="L32" s="7">
        <f t="shared" si="4"/>
        <v>102.66</v>
      </c>
      <c r="M32" s="6" t="str">
        <f t="shared" si="5"/>
        <v>Expensive</v>
      </c>
    </row>
    <row r="33" ht="15.75" hidden="1" customHeight="1">
      <c r="A33" s="4" t="s">
        <v>193</v>
      </c>
      <c r="B33" s="5">
        <v>44655.0</v>
      </c>
      <c r="C33" s="6" t="s">
        <v>182</v>
      </c>
      <c r="D33" s="6" t="s">
        <v>183</v>
      </c>
      <c r="E33" s="6" t="s">
        <v>33</v>
      </c>
      <c r="F33" s="6" t="s">
        <v>34</v>
      </c>
      <c r="G33" s="6">
        <v>68.0</v>
      </c>
      <c r="H33" s="6">
        <v>1.68</v>
      </c>
      <c r="I33" s="7">
        <f t="shared" si="1"/>
        <v>4</v>
      </c>
      <c r="J33" s="7">
        <f t="shared" si="2"/>
        <v>4</v>
      </c>
      <c r="K33" s="7">
        <f t="shared" si="3"/>
        <v>2022</v>
      </c>
      <c r="L33" s="7">
        <f t="shared" si="4"/>
        <v>114.24</v>
      </c>
      <c r="M33" s="6" t="str">
        <f t="shared" si="5"/>
        <v>Expensive</v>
      </c>
    </row>
    <row r="34" ht="15.75" hidden="1" customHeight="1">
      <c r="A34" s="4" t="s">
        <v>51</v>
      </c>
      <c r="B34" s="5">
        <v>44658.0</v>
      </c>
      <c r="C34" s="6" t="s">
        <v>14</v>
      </c>
      <c r="D34" s="6" t="s">
        <v>23</v>
      </c>
      <c r="E34" s="6" t="s">
        <v>16</v>
      </c>
      <c r="F34" s="6" t="s">
        <v>17</v>
      </c>
      <c r="G34" s="6">
        <v>91.0</v>
      </c>
      <c r="H34" s="6">
        <v>1.77</v>
      </c>
      <c r="I34" s="7">
        <f t="shared" si="1"/>
        <v>7</v>
      </c>
      <c r="J34" s="7">
        <f t="shared" si="2"/>
        <v>4</v>
      </c>
      <c r="K34" s="7">
        <f t="shared" si="3"/>
        <v>2022</v>
      </c>
      <c r="L34" s="7">
        <f t="shared" si="4"/>
        <v>161.07</v>
      </c>
      <c r="M34" s="6" t="str">
        <f t="shared" si="5"/>
        <v>Expensive</v>
      </c>
    </row>
    <row r="35" ht="15.75" hidden="1" customHeight="1">
      <c r="A35" s="4" t="s">
        <v>52</v>
      </c>
      <c r="B35" s="5">
        <v>44661.0</v>
      </c>
      <c r="C35" s="6" t="s">
        <v>14</v>
      </c>
      <c r="D35" s="6" t="s">
        <v>23</v>
      </c>
      <c r="E35" s="6" t="s">
        <v>19</v>
      </c>
      <c r="F35" s="6" t="s">
        <v>20</v>
      </c>
      <c r="G35" s="6">
        <v>23.0</v>
      </c>
      <c r="H35" s="6">
        <v>3.4899999999999998</v>
      </c>
      <c r="I35" s="7">
        <f t="shared" si="1"/>
        <v>10</v>
      </c>
      <c r="J35" s="7">
        <f t="shared" si="2"/>
        <v>4</v>
      </c>
      <c r="K35" s="7">
        <f t="shared" si="3"/>
        <v>2022</v>
      </c>
      <c r="L35" s="7">
        <f t="shared" si="4"/>
        <v>80.27</v>
      </c>
      <c r="M35" s="6" t="str">
        <f t="shared" si="5"/>
        <v>Cheap</v>
      </c>
    </row>
    <row r="36" ht="15.75" hidden="1" customHeight="1">
      <c r="A36" s="4" t="s">
        <v>194</v>
      </c>
      <c r="B36" s="5">
        <v>44664.0</v>
      </c>
      <c r="C36" s="6" t="s">
        <v>182</v>
      </c>
      <c r="D36" s="6" t="s">
        <v>189</v>
      </c>
      <c r="E36" s="6" t="s">
        <v>33</v>
      </c>
      <c r="F36" s="6" t="s">
        <v>34</v>
      </c>
      <c r="G36" s="6">
        <v>28.0</v>
      </c>
      <c r="H36" s="6">
        <v>1.68</v>
      </c>
      <c r="I36" s="7">
        <f t="shared" si="1"/>
        <v>13</v>
      </c>
      <c r="J36" s="7">
        <f t="shared" si="2"/>
        <v>4</v>
      </c>
      <c r="K36" s="7">
        <f t="shared" si="3"/>
        <v>2022</v>
      </c>
      <c r="L36" s="7">
        <f t="shared" si="4"/>
        <v>47.04</v>
      </c>
      <c r="M36" s="6" t="str">
        <f t="shared" si="5"/>
        <v>Cheap</v>
      </c>
    </row>
    <row r="37" ht="15.75" hidden="1" customHeight="1">
      <c r="A37" s="4" t="s">
        <v>53</v>
      </c>
      <c r="B37" s="5">
        <v>44667.0</v>
      </c>
      <c r="C37" s="6" t="s">
        <v>14</v>
      </c>
      <c r="D37" s="6" t="s">
        <v>15</v>
      </c>
      <c r="E37" s="6" t="s">
        <v>16</v>
      </c>
      <c r="F37" s="6" t="s">
        <v>17</v>
      </c>
      <c r="G37" s="6">
        <v>48.0</v>
      </c>
      <c r="H37" s="6">
        <v>1.7699999999999998</v>
      </c>
      <c r="I37" s="7">
        <f t="shared" si="1"/>
        <v>16</v>
      </c>
      <c r="J37" s="7">
        <f t="shared" si="2"/>
        <v>4</v>
      </c>
      <c r="K37" s="7">
        <f t="shared" si="3"/>
        <v>2022</v>
      </c>
      <c r="L37" s="7">
        <f t="shared" si="4"/>
        <v>84.96</v>
      </c>
      <c r="M37" s="6" t="str">
        <f t="shared" si="5"/>
        <v>Cheap</v>
      </c>
    </row>
    <row r="38" ht="15.75" hidden="1" customHeight="1">
      <c r="A38" s="4" t="s">
        <v>54</v>
      </c>
      <c r="B38" s="5">
        <v>44670.0</v>
      </c>
      <c r="C38" s="6" t="s">
        <v>14</v>
      </c>
      <c r="D38" s="6" t="s">
        <v>15</v>
      </c>
      <c r="E38" s="6" t="s">
        <v>33</v>
      </c>
      <c r="F38" s="6" t="s">
        <v>34</v>
      </c>
      <c r="G38" s="6">
        <v>134.0</v>
      </c>
      <c r="H38" s="6">
        <v>1.68</v>
      </c>
      <c r="I38" s="7">
        <f t="shared" si="1"/>
        <v>19</v>
      </c>
      <c r="J38" s="7">
        <f t="shared" si="2"/>
        <v>4</v>
      </c>
      <c r="K38" s="7">
        <f t="shared" si="3"/>
        <v>2022</v>
      </c>
      <c r="L38" s="7">
        <f t="shared" si="4"/>
        <v>225.12</v>
      </c>
      <c r="M38" s="6" t="str">
        <f t="shared" si="5"/>
        <v>Expensive</v>
      </c>
    </row>
    <row r="39" ht="15.75" hidden="1" customHeight="1">
      <c r="A39" s="4" t="s">
        <v>195</v>
      </c>
      <c r="B39" s="5">
        <v>44673.0</v>
      </c>
      <c r="C39" s="6" t="s">
        <v>182</v>
      </c>
      <c r="D39" s="6" t="s">
        <v>183</v>
      </c>
      <c r="E39" s="6" t="s">
        <v>16</v>
      </c>
      <c r="F39" s="6" t="s">
        <v>17</v>
      </c>
      <c r="G39" s="6">
        <v>20.0</v>
      </c>
      <c r="H39" s="6">
        <v>1.77</v>
      </c>
      <c r="I39" s="7">
        <f t="shared" si="1"/>
        <v>22</v>
      </c>
      <c r="J39" s="7">
        <f t="shared" si="2"/>
        <v>4</v>
      </c>
      <c r="K39" s="7">
        <f t="shared" si="3"/>
        <v>2022</v>
      </c>
      <c r="L39" s="7">
        <f t="shared" si="4"/>
        <v>35.4</v>
      </c>
      <c r="M39" s="6" t="str">
        <f t="shared" si="5"/>
        <v>Cheap</v>
      </c>
    </row>
    <row r="40" ht="15.75" hidden="1" customHeight="1">
      <c r="A40" s="4" t="s">
        <v>55</v>
      </c>
      <c r="B40" s="5">
        <v>44676.0</v>
      </c>
      <c r="C40" s="6" t="s">
        <v>14</v>
      </c>
      <c r="D40" s="6" t="s">
        <v>23</v>
      </c>
      <c r="E40" s="6" t="s">
        <v>16</v>
      </c>
      <c r="F40" s="6" t="s">
        <v>17</v>
      </c>
      <c r="G40" s="6">
        <v>53.0</v>
      </c>
      <c r="H40" s="6">
        <v>1.77</v>
      </c>
      <c r="I40" s="7">
        <f t="shared" si="1"/>
        <v>25</v>
      </c>
      <c r="J40" s="7">
        <f t="shared" si="2"/>
        <v>4</v>
      </c>
      <c r="K40" s="7">
        <f t="shared" si="3"/>
        <v>2022</v>
      </c>
      <c r="L40" s="7">
        <f t="shared" si="4"/>
        <v>93.81</v>
      </c>
      <c r="M40" s="6" t="str">
        <f t="shared" si="5"/>
        <v>Cheap</v>
      </c>
    </row>
    <row r="41" ht="15.75" hidden="1" customHeight="1">
      <c r="A41" s="4" t="s">
        <v>56</v>
      </c>
      <c r="B41" s="5">
        <v>44679.0</v>
      </c>
      <c r="C41" s="6" t="s">
        <v>14</v>
      </c>
      <c r="D41" s="6" t="s">
        <v>23</v>
      </c>
      <c r="E41" s="6" t="s">
        <v>33</v>
      </c>
      <c r="F41" s="6" t="s">
        <v>34</v>
      </c>
      <c r="G41" s="6">
        <v>64.0</v>
      </c>
      <c r="H41" s="6">
        <v>1.68</v>
      </c>
      <c r="I41" s="7">
        <f t="shared" si="1"/>
        <v>28</v>
      </c>
      <c r="J41" s="7">
        <f t="shared" si="2"/>
        <v>4</v>
      </c>
      <c r="K41" s="7">
        <f t="shared" si="3"/>
        <v>2022</v>
      </c>
      <c r="L41" s="7">
        <f t="shared" si="4"/>
        <v>107.52</v>
      </c>
      <c r="M41" s="6" t="str">
        <f t="shared" si="5"/>
        <v>Expensive</v>
      </c>
    </row>
    <row r="42" ht="15.75" hidden="1" customHeight="1">
      <c r="A42" s="4" t="s">
        <v>196</v>
      </c>
      <c r="B42" s="5">
        <v>44682.0</v>
      </c>
      <c r="C42" s="6" t="s">
        <v>182</v>
      </c>
      <c r="D42" s="6" t="s">
        <v>189</v>
      </c>
      <c r="E42" s="6" t="s">
        <v>24</v>
      </c>
      <c r="F42" s="6" t="s">
        <v>25</v>
      </c>
      <c r="G42" s="6">
        <v>63.0</v>
      </c>
      <c r="H42" s="6">
        <v>1.87</v>
      </c>
      <c r="I42" s="7">
        <f t="shared" si="1"/>
        <v>1</v>
      </c>
      <c r="J42" s="7">
        <f t="shared" si="2"/>
        <v>5</v>
      </c>
      <c r="K42" s="7">
        <f t="shared" si="3"/>
        <v>2022</v>
      </c>
      <c r="L42" s="7">
        <f t="shared" si="4"/>
        <v>117.81</v>
      </c>
      <c r="M42" s="6" t="str">
        <f t="shared" si="5"/>
        <v>Expensive</v>
      </c>
    </row>
    <row r="43" ht="15.75" hidden="1" customHeight="1">
      <c r="A43" s="4" t="s">
        <v>57</v>
      </c>
      <c r="B43" s="5">
        <v>44685.0</v>
      </c>
      <c r="C43" s="6" t="s">
        <v>14</v>
      </c>
      <c r="D43" s="6" t="s">
        <v>15</v>
      </c>
      <c r="E43" s="6" t="s">
        <v>16</v>
      </c>
      <c r="F43" s="6" t="s">
        <v>49</v>
      </c>
      <c r="G43" s="6">
        <v>105.0</v>
      </c>
      <c r="H43" s="6">
        <v>1.8699999999999999</v>
      </c>
      <c r="I43" s="7">
        <f t="shared" si="1"/>
        <v>4</v>
      </c>
      <c r="J43" s="7">
        <f t="shared" si="2"/>
        <v>5</v>
      </c>
      <c r="K43" s="7">
        <f t="shared" si="3"/>
        <v>2022</v>
      </c>
      <c r="L43" s="7">
        <f t="shared" si="4"/>
        <v>196.35</v>
      </c>
      <c r="M43" s="6" t="str">
        <f t="shared" si="5"/>
        <v>Expensive</v>
      </c>
    </row>
    <row r="44" ht="15.75" hidden="1" customHeight="1">
      <c r="A44" s="4" t="s">
        <v>58</v>
      </c>
      <c r="B44" s="5">
        <v>44688.0</v>
      </c>
      <c r="C44" s="6" t="s">
        <v>14</v>
      </c>
      <c r="D44" s="6" t="s">
        <v>15</v>
      </c>
      <c r="E44" s="6" t="s">
        <v>24</v>
      </c>
      <c r="F44" s="6" t="s">
        <v>42</v>
      </c>
      <c r="G44" s="6">
        <v>138.0</v>
      </c>
      <c r="H44" s="6">
        <v>2.8400000000000003</v>
      </c>
      <c r="I44" s="7">
        <f t="shared" si="1"/>
        <v>7</v>
      </c>
      <c r="J44" s="7">
        <f t="shared" si="2"/>
        <v>5</v>
      </c>
      <c r="K44" s="7">
        <f t="shared" si="3"/>
        <v>2022</v>
      </c>
      <c r="L44" s="7">
        <f t="shared" si="4"/>
        <v>391.92</v>
      </c>
      <c r="M44" s="6" t="str">
        <f t="shared" si="5"/>
        <v>Expensive</v>
      </c>
    </row>
    <row r="45" ht="15.75" hidden="1" customHeight="1">
      <c r="A45" s="4" t="s">
        <v>197</v>
      </c>
      <c r="B45" s="5">
        <v>44691.0</v>
      </c>
      <c r="C45" s="6" t="s">
        <v>182</v>
      </c>
      <c r="D45" s="6" t="s">
        <v>183</v>
      </c>
      <c r="E45" s="6" t="s">
        <v>16</v>
      </c>
      <c r="F45" s="6" t="s">
        <v>17</v>
      </c>
      <c r="G45" s="6">
        <v>25.0</v>
      </c>
      <c r="H45" s="6">
        <v>1.77</v>
      </c>
      <c r="I45" s="7">
        <f t="shared" si="1"/>
        <v>10</v>
      </c>
      <c r="J45" s="7">
        <f t="shared" si="2"/>
        <v>5</v>
      </c>
      <c r="K45" s="7">
        <f t="shared" si="3"/>
        <v>2022</v>
      </c>
      <c r="L45" s="7">
        <f t="shared" si="4"/>
        <v>44.25</v>
      </c>
      <c r="M45" s="6" t="str">
        <f t="shared" si="5"/>
        <v>Cheap</v>
      </c>
    </row>
    <row r="46" ht="15.75" hidden="1" customHeight="1">
      <c r="A46" s="4" t="s">
        <v>198</v>
      </c>
      <c r="B46" s="5">
        <v>44694.0</v>
      </c>
      <c r="C46" s="6" t="s">
        <v>182</v>
      </c>
      <c r="D46" s="6" t="s">
        <v>183</v>
      </c>
      <c r="E46" s="6" t="s">
        <v>19</v>
      </c>
      <c r="F46" s="6" t="s">
        <v>20</v>
      </c>
      <c r="G46" s="6">
        <v>21.0</v>
      </c>
      <c r="H46" s="6">
        <v>3.49</v>
      </c>
      <c r="I46" s="7">
        <f t="shared" si="1"/>
        <v>13</v>
      </c>
      <c r="J46" s="7">
        <f t="shared" si="2"/>
        <v>5</v>
      </c>
      <c r="K46" s="7">
        <f t="shared" si="3"/>
        <v>2022</v>
      </c>
      <c r="L46" s="7">
        <f t="shared" si="4"/>
        <v>73.29</v>
      </c>
      <c r="M46" s="6" t="str">
        <f t="shared" si="5"/>
        <v>Cheap</v>
      </c>
    </row>
    <row r="47" ht="15.75" hidden="1" customHeight="1">
      <c r="A47" s="4" t="s">
        <v>59</v>
      </c>
      <c r="B47" s="5">
        <v>44697.0</v>
      </c>
      <c r="C47" s="6" t="s">
        <v>14</v>
      </c>
      <c r="D47" s="6" t="s">
        <v>23</v>
      </c>
      <c r="E47" s="6" t="s">
        <v>16</v>
      </c>
      <c r="F47" s="6" t="s">
        <v>17</v>
      </c>
      <c r="G47" s="6">
        <v>61.0</v>
      </c>
      <c r="H47" s="6">
        <v>1.77</v>
      </c>
      <c r="I47" s="7">
        <f t="shared" si="1"/>
        <v>16</v>
      </c>
      <c r="J47" s="7">
        <f t="shared" si="2"/>
        <v>5</v>
      </c>
      <c r="K47" s="7">
        <f t="shared" si="3"/>
        <v>2022</v>
      </c>
      <c r="L47" s="7">
        <f t="shared" si="4"/>
        <v>107.97</v>
      </c>
      <c r="M47" s="6" t="str">
        <f t="shared" si="5"/>
        <v>Expensive</v>
      </c>
    </row>
    <row r="48" ht="15.75" hidden="1" customHeight="1">
      <c r="A48" s="4" t="s">
        <v>60</v>
      </c>
      <c r="B48" s="5">
        <v>44700.0</v>
      </c>
      <c r="C48" s="6" t="s">
        <v>14</v>
      </c>
      <c r="D48" s="6" t="s">
        <v>23</v>
      </c>
      <c r="E48" s="6" t="s">
        <v>33</v>
      </c>
      <c r="F48" s="6" t="s">
        <v>34</v>
      </c>
      <c r="G48" s="6">
        <v>49.0</v>
      </c>
      <c r="H48" s="6">
        <v>1.68</v>
      </c>
      <c r="I48" s="7">
        <f t="shared" si="1"/>
        <v>19</v>
      </c>
      <c r="J48" s="7">
        <f t="shared" si="2"/>
        <v>5</v>
      </c>
      <c r="K48" s="7">
        <f t="shared" si="3"/>
        <v>2022</v>
      </c>
      <c r="L48" s="7">
        <f t="shared" si="4"/>
        <v>82.32</v>
      </c>
      <c r="M48" s="6" t="str">
        <f t="shared" si="5"/>
        <v>Cheap</v>
      </c>
    </row>
    <row r="49" ht="15.75" hidden="1" customHeight="1">
      <c r="A49" s="4" t="s">
        <v>199</v>
      </c>
      <c r="B49" s="5">
        <v>44703.0</v>
      </c>
      <c r="C49" s="6" t="s">
        <v>182</v>
      </c>
      <c r="D49" s="6" t="s">
        <v>189</v>
      </c>
      <c r="E49" s="6" t="s">
        <v>24</v>
      </c>
      <c r="F49" s="6" t="s">
        <v>25</v>
      </c>
      <c r="G49" s="6">
        <v>55.0</v>
      </c>
      <c r="H49" s="6">
        <v>1.8699999999999999</v>
      </c>
      <c r="I49" s="7">
        <f t="shared" si="1"/>
        <v>22</v>
      </c>
      <c r="J49" s="7">
        <f t="shared" si="2"/>
        <v>5</v>
      </c>
      <c r="K49" s="7">
        <f t="shared" si="3"/>
        <v>2022</v>
      </c>
      <c r="L49" s="7">
        <f t="shared" si="4"/>
        <v>102.85</v>
      </c>
      <c r="M49" s="6" t="str">
        <f t="shared" si="5"/>
        <v>Expensive</v>
      </c>
    </row>
    <row r="50" ht="15.75" hidden="1" customHeight="1">
      <c r="A50" s="4" t="s">
        <v>61</v>
      </c>
      <c r="B50" s="5">
        <v>44706.0</v>
      </c>
      <c r="C50" s="6" t="s">
        <v>14</v>
      </c>
      <c r="D50" s="6" t="s">
        <v>15</v>
      </c>
      <c r="E50" s="6" t="s">
        <v>24</v>
      </c>
      <c r="F50" s="6" t="s">
        <v>28</v>
      </c>
      <c r="G50" s="6">
        <v>27.0</v>
      </c>
      <c r="H50" s="6">
        <v>2.18</v>
      </c>
      <c r="I50" s="7">
        <f t="shared" si="1"/>
        <v>25</v>
      </c>
      <c r="J50" s="7">
        <f t="shared" si="2"/>
        <v>5</v>
      </c>
      <c r="K50" s="7">
        <f t="shared" si="3"/>
        <v>2022</v>
      </c>
      <c r="L50" s="7">
        <f t="shared" si="4"/>
        <v>58.86</v>
      </c>
      <c r="M50" s="6" t="str">
        <f t="shared" si="5"/>
        <v>Cheap</v>
      </c>
    </row>
    <row r="51" ht="15.75" hidden="1" customHeight="1">
      <c r="A51" s="4" t="s">
        <v>62</v>
      </c>
      <c r="B51" s="5">
        <v>44709.0</v>
      </c>
      <c r="C51" s="6" t="s">
        <v>14</v>
      </c>
      <c r="D51" s="6" t="s">
        <v>15</v>
      </c>
      <c r="E51" s="6" t="s">
        <v>16</v>
      </c>
      <c r="F51" s="6" t="s">
        <v>17</v>
      </c>
      <c r="G51" s="6">
        <v>58.0</v>
      </c>
      <c r="H51" s="6">
        <v>1.77</v>
      </c>
      <c r="I51" s="7">
        <f t="shared" si="1"/>
        <v>28</v>
      </c>
      <c r="J51" s="7">
        <f t="shared" si="2"/>
        <v>5</v>
      </c>
      <c r="K51" s="7">
        <f t="shared" si="3"/>
        <v>2022</v>
      </c>
      <c r="L51" s="7">
        <f t="shared" si="4"/>
        <v>102.66</v>
      </c>
      <c r="M51" s="6" t="str">
        <f t="shared" si="5"/>
        <v>Expensive</v>
      </c>
    </row>
    <row r="52" ht="15.75" hidden="1" customHeight="1">
      <c r="A52" s="4" t="s">
        <v>63</v>
      </c>
      <c r="B52" s="5">
        <v>44712.0</v>
      </c>
      <c r="C52" s="6" t="s">
        <v>14</v>
      </c>
      <c r="D52" s="6" t="s">
        <v>15</v>
      </c>
      <c r="E52" s="6" t="s">
        <v>19</v>
      </c>
      <c r="F52" s="6" t="s">
        <v>20</v>
      </c>
      <c r="G52" s="6">
        <v>33.0</v>
      </c>
      <c r="H52" s="6">
        <v>3.49</v>
      </c>
      <c r="I52" s="7">
        <f t="shared" si="1"/>
        <v>31</v>
      </c>
      <c r="J52" s="7">
        <f t="shared" si="2"/>
        <v>5</v>
      </c>
      <c r="K52" s="7">
        <f t="shared" si="3"/>
        <v>2022</v>
      </c>
      <c r="L52" s="7">
        <f t="shared" si="4"/>
        <v>115.17</v>
      </c>
      <c r="M52" s="6" t="str">
        <f t="shared" si="5"/>
        <v>Expensive</v>
      </c>
    </row>
    <row r="53" ht="15.75" hidden="1" customHeight="1">
      <c r="A53" s="4" t="s">
        <v>200</v>
      </c>
      <c r="B53" s="5">
        <v>44715.0</v>
      </c>
      <c r="C53" s="6" t="s">
        <v>182</v>
      </c>
      <c r="D53" s="6" t="s">
        <v>183</v>
      </c>
      <c r="E53" s="6" t="s">
        <v>24</v>
      </c>
      <c r="F53" s="6" t="s">
        <v>42</v>
      </c>
      <c r="G53" s="6">
        <v>288.0</v>
      </c>
      <c r="H53" s="6">
        <v>2.84</v>
      </c>
      <c r="I53" s="7">
        <f t="shared" si="1"/>
        <v>3</v>
      </c>
      <c r="J53" s="7">
        <f t="shared" si="2"/>
        <v>6</v>
      </c>
      <c r="K53" s="7">
        <f t="shared" si="3"/>
        <v>2022</v>
      </c>
      <c r="L53" s="7">
        <f t="shared" si="4"/>
        <v>817.92</v>
      </c>
      <c r="M53" s="6" t="str">
        <f t="shared" si="5"/>
        <v>Expensive</v>
      </c>
    </row>
    <row r="54" ht="15.75" hidden="1" customHeight="1">
      <c r="A54" s="4" t="s">
        <v>64</v>
      </c>
      <c r="B54" s="5">
        <v>44718.0</v>
      </c>
      <c r="C54" s="6" t="s">
        <v>14</v>
      </c>
      <c r="D54" s="6" t="s">
        <v>23</v>
      </c>
      <c r="E54" s="6" t="s">
        <v>24</v>
      </c>
      <c r="F54" s="6" t="s">
        <v>25</v>
      </c>
      <c r="G54" s="6">
        <v>76.0</v>
      </c>
      <c r="H54" s="6">
        <v>1.87</v>
      </c>
      <c r="I54" s="7">
        <f t="shared" si="1"/>
        <v>6</v>
      </c>
      <c r="J54" s="7">
        <f t="shared" si="2"/>
        <v>6</v>
      </c>
      <c r="K54" s="7">
        <f t="shared" si="3"/>
        <v>2022</v>
      </c>
      <c r="L54" s="7">
        <f t="shared" si="4"/>
        <v>142.12</v>
      </c>
      <c r="M54" s="6" t="str">
        <f t="shared" si="5"/>
        <v>Expensive</v>
      </c>
    </row>
    <row r="55" ht="15.75" hidden="1" customHeight="1">
      <c r="A55" s="4" t="s">
        <v>201</v>
      </c>
      <c r="B55" s="5">
        <v>44721.0</v>
      </c>
      <c r="C55" s="6" t="s">
        <v>182</v>
      </c>
      <c r="D55" s="6" t="s">
        <v>189</v>
      </c>
      <c r="E55" s="6" t="s">
        <v>16</v>
      </c>
      <c r="F55" s="6" t="s">
        <v>17</v>
      </c>
      <c r="G55" s="6">
        <v>42.0</v>
      </c>
      <c r="H55" s="6">
        <v>1.77</v>
      </c>
      <c r="I55" s="7">
        <f t="shared" si="1"/>
        <v>9</v>
      </c>
      <c r="J55" s="7">
        <f t="shared" si="2"/>
        <v>6</v>
      </c>
      <c r="K55" s="7">
        <f t="shared" si="3"/>
        <v>2022</v>
      </c>
      <c r="L55" s="7">
        <f t="shared" si="4"/>
        <v>74.34</v>
      </c>
      <c r="M55" s="6" t="str">
        <f t="shared" si="5"/>
        <v>Cheap</v>
      </c>
    </row>
    <row r="56" ht="15.75" hidden="1" customHeight="1">
      <c r="A56" s="4" t="s">
        <v>202</v>
      </c>
      <c r="B56" s="5">
        <v>44724.0</v>
      </c>
      <c r="C56" s="6" t="s">
        <v>182</v>
      </c>
      <c r="D56" s="6" t="s">
        <v>189</v>
      </c>
      <c r="E56" s="6" t="s">
        <v>19</v>
      </c>
      <c r="F56" s="6" t="s">
        <v>20</v>
      </c>
      <c r="G56" s="6">
        <v>20.0</v>
      </c>
      <c r="H56" s="6">
        <v>3.4899999999999998</v>
      </c>
      <c r="I56" s="7">
        <f t="shared" si="1"/>
        <v>12</v>
      </c>
      <c r="J56" s="7">
        <f t="shared" si="2"/>
        <v>6</v>
      </c>
      <c r="K56" s="7">
        <f t="shared" si="3"/>
        <v>2022</v>
      </c>
      <c r="L56" s="7">
        <f t="shared" si="4"/>
        <v>69.8</v>
      </c>
      <c r="M56" s="6" t="str">
        <f t="shared" si="5"/>
        <v>Cheap</v>
      </c>
    </row>
    <row r="57" ht="15.75" hidden="1" customHeight="1">
      <c r="A57" s="4" t="s">
        <v>65</v>
      </c>
      <c r="B57" s="5">
        <v>44727.0</v>
      </c>
      <c r="C57" s="6" t="s">
        <v>14</v>
      </c>
      <c r="D57" s="6" t="s">
        <v>15</v>
      </c>
      <c r="E57" s="6" t="s">
        <v>16</v>
      </c>
      <c r="F57" s="6" t="s">
        <v>17</v>
      </c>
      <c r="G57" s="6">
        <v>75.0</v>
      </c>
      <c r="H57" s="6">
        <v>1.77</v>
      </c>
      <c r="I57" s="7">
        <f t="shared" si="1"/>
        <v>15</v>
      </c>
      <c r="J57" s="7">
        <f t="shared" si="2"/>
        <v>6</v>
      </c>
      <c r="K57" s="7">
        <f t="shared" si="3"/>
        <v>2022</v>
      </c>
      <c r="L57" s="7">
        <f t="shared" si="4"/>
        <v>132.75</v>
      </c>
      <c r="M57" s="6" t="str">
        <f t="shared" si="5"/>
        <v>Expensive</v>
      </c>
    </row>
    <row r="58" ht="15.75" hidden="1" customHeight="1">
      <c r="A58" s="4" t="s">
        <v>66</v>
      </c>
      <c r="B58" s="5">
        <v>44730.0</v>
      </c>
      <c r="C58" s="6" t="s">
        <v>14</v>
      </c>
      <c r="D58" s="6" t="s">
        <v>15</v>
      </c>
      <c r="E58" s="6" t="s">
        <v>19</v>
      </c>
      <c r="F58" s="6" t="s">
        <v>20</v>
      </c>
      <c r="G58" s="6">
        <v>38.0</v>
      </c>
      <c r="H58" s="6">
        <v>3.49</v>
      </c>
      <c r="I58" s="7">
        <f t="shared" si="1"/>
        <v>18</v>
      </c>
      <c r="J58" s="7">
        <f t="shared" si="2"/>
        <v>6</v>
      </c>
      <c r="K58" s="7">
        <f t="shared" si="3"/>
        <v>2022</v>
      </c>
      <c r="L58" s="7">
        <f t="shared" si="4"/>
        <v>132.62</v>
      </c>
      <c r="M58" s="6" t="str">
        <f t="shared" si="5"/>
        <v>Expensive</v>
      </c>
    </row>
    <row r="59" ht="15.75" hidden="1" customHeight="1">
      <c r="A59" s="4" t="s">
        <v>203</v>
      </c>
      <c r="B59" s="5">
        <v>44733.0</v>
      </c>
      <c r="C59" s="6" t="s">
        <v>182</v>
      </c>
      <c r="D59" s="6" t="s">
        <v>183</v>
      </c>
      <c r="E59" s="6" t="s">
        <v>16</v>
      </c>
      <c r="F59" s="6" t="s">
        <v>17</v>
      </c>
      <c r="G59" s="6">
        <v>306.0</v>
      </c>
      <c r="H59" s="6">
        <v>1.77</v>
      </c>
      <c r="I59" s="7">
        <f t="shared" si="1"/>
        <v>21</v>
      </c>
      <c r="J59" s="7">
        <f t="shared" si="2"/>
        <v>6</v>
      </c>
      <c r="K59" s="7">
        <f t="shared" si="3"/>
        <v>2022</v>
      </c>
      <c r="L59" s="7">
        <f t="shared" si="4"/>
        <v>541.62</v>
      </c>
      <c r="M59" s="6" t="str">
        <f t="shared" si="5"/>
        <v>Expensive</v>
      </c>
    </row>
    <row r="60" ht="15.75" hidden="1" customHeight="1">
      <c r="A60" s="4" t="s">
        <v>204</v>
      </c>
      <c r="B60" s="5">
        <v>44736.0</v>
      </c>
      <c r="C60" s="6" t="s">
        <v>182</v>
      </c>
      <c r="D60" s="6" t="s">
        <v>183</v>
      </c>
      <c r="E60" s="6" t="s">
        <v>33</v>
      </c>
      <c r="F60" s="6" t="s">
        <v>34</v>
      </c>
      <c r="G60" s="6">
        <v>28.0</v>
      </c>
      <c r="H60" s="6">
        <v>1.68</v>
      </c>
      <c r="I60" s="7">
        <f t="shared" si="1"/>
        <v>24</v>
      </c>
      <c r="J60" s="7">
        <f t="shared" si="2"/>
        <v>6</v>
      </c>
      <c r="K60" s="7">
        <f t="shared" si="3"/>
        <v>2022</v>
      </c>
      <c r="L60" s="7">
        <f t="shared" si="4"/>
        <v>47.04</v>
      </c>
      <c r="M60" s="6" t="str">
        <f t="shared" si="5"/>
        <v>Cheap</v>
      </c>
    </row>
    <row r="61" ht="15.75" hidden="1" customHeight="1">
      <c r="A61" s="4" t="s">
        <v>67</v>
      </c>
      <c r="B61" s="5">
        <v>44739.0</v>
      </c>
      <c r="C61" s="6" t="s">
        <v>14</v>
      </c>
      <c r="D61" s="6" t="s">
        <v>23</v>
      </c>
      <c r="E61" s="6" t="s">
        <v>16</v>
      </c>
      <c r="F61" s="6" t="s">
        <v>49</v>
      </c>
      <c r="G61" s="6">
        <v>110.0</v>
      </c>
      <c r="H61" s="6">
        <v>1.8699999999999999</v>
      </c>
      <c r="I61" s="7">
        <f t="shared" si="1"/>
        <v>27</v>
      </c>
      <c r="J61" s="7">
        <f t="shared" si="2"/>
        <v>6</v>
      </c>
      <c r="K61" s="7">
        <f t="shared" si="3"/>
        <v>2022</v>
      </c>
      <c r="L61" s="7">
        <f t="shared" si="4"/>
        <v>205.7</v>
      </c>
      <c r="M61" s="6" t="str">
        <f t="shared" si="5"/>
        <v>Expensive</v>
      </c>
    </row>
    <row r="62" ht="15.75" hidden="1" customHeight="1">
      <c r="A62" s="4" t="s">
        <v>68</v>
      </c>
      <c r="B62" s="5">
        <v>44742.0</v>
      </c>
      <c r="C62" s="6" t="s">
        <v>14</v>
      </c>
      <c r="D62" s="6" t="s">
        <v>23</v>
      </c>
      <c r="E62" s="6" t="s">
        <v>24</v>
      </c>
      <c r="F62" s="6" t="s">
        <v>42</v>
      </c>
      <c r="G62" s="6">
        <v>51.0</v>
      </c>
      <c r="H62" s="6">
        <v>2.84</v>
      </c>
      <c r="I62" s="7">
        <f t="shared" si="1"/>
        <v>30</v>
      </c>
      <c r="J62" s="7">
        <f t="shared" si="2"/>
        <v>6</v>
      </c>
      <c r="K62" s="7">
        <f t="shared" si="3"/>
        <v>2022</v>
      </c>
      <c r="L62" s="7">
        <f t="shared" si="4"/>
        <v>144.84</v>
      </c>
      <c r="M62" s="6" t="str">
        <f t="shared" si="5"/>
        <v>Expensive</v>
      </c>
    </row>
    <row r="63" ht="15.75" hidden="1" customHeight="1">
      <c r="A63" s="4" t="s">
        <v>205</v>
      </c>
      <c r="B63" s="5">
        <v>44745.0</v>
      </c>
      <c r="C63" s="6" t="s">
        <v>182</v>
      </c>
      <c r="D63" s="6" t="s">
        <v>189</v>
      </c>
      <c r="E63" s="6" t="s">
        <v>16</v>
      </c>
      <c r="F63" s="6" t="s">
        <v>17</v>
      </c>
      <c r="G63" s="6">
        <v>52.0</v>
      </c>
      <c r="H63" s="6">
        <v>1.77</v>
      </c>
      <c r="I63" s="7">
        <f t="shared" si="1"/>
        <v>3</v>
      </c>
      <c r="J63" s="7">
        <f t="shared" si="2"/>
        <v>7</v>
      </c>
      <c r="K63" s="7">
        <f t="shared" si="3"/>
        <v>2022</v>
      </c>
      <c r="L63" s="7">
        <f t="shared" si="4"/>
        <v>92.04</v>
      </c>
      <c r="M63" s="6" t="str">
        <f t="shared" si="5"/>
        <v>Cheap</v>
      </c>
    </row>
    <row r="64" ht="15.75" hidden="1" customHeight="1">
      <c r="A64" s="4" t="s">
        <v>206</v>
      </c>
      <c r="B64" s="5">
        <v>44748.0</v>
      </c>
      <c r="C64" s="6" t="s">
        <v>182</v>
      </c>
      <c r="D64" s="6" t="s">
        <v>189</v>
      </c>
      <c r="E64" s="6" t="s">
        <v>19</v>
      </c>
      <c r="F64" s="6" t="s">
        <v>20</v>
      </c>
      <c r="G64" s="6">
        <v>28.0</v>
      </c>
      <c r="H64" s="6">
        <v>3.4899999999999998</v>
      </c>
      <c r="I64" s="7">
        <f t="shared" si="1"/>
        <v>6</v>
      </c>
      <c r="J64" s="7">
        <f t="shared" si="2"/>
        <v>7</v>
      </c>
      <c r="K64" s="7">
        <f t="shared" si="3"/>
        <v>2022</v>
      </c>
      <c r="L64" s="7">
        <f t="shared" si="4"/>
        <v>97.72</v>
      </c>
      <c r="M64" s="6" t="str">
        <f t="shared" si="5"/>
        <v>Cheap</v>
      </c>
    </row>
    <row r="65" ht="15.75" hidden="1" customHeight="1">
      <c r="A65" s="4" t="s">
        <v>69</v>
      </c>
      <c r="B65" s="5">
        <v>44751.0</v>
      </c>
      <c r="C65" s="6" t="s">
        <v>14</v>
      </c>
      <c r="D65" s="6" t="s">
        <v>15</v>
      </c>
      <c r="E65" s="6" t="s">
        <v>16</v>
      </c>
      <c r="F65" s="6" t="s">
        <v>17</v>
      </c>
      <c r="G65" s="6">
        <v>136.0</v>
      </c>
      <c r="H65" s="6">
        <v>1.77</v>
      </c>
      <c r="I65" s="7">
        <f t="shared" si="1"/>
        <v>9</v>
      </c>
      <c r="J65" s="7">
        <f t="shared" si="2"/>
        <v>7</v>
      </c>
      <c r="K65" s="7">
        <f t="shared" si="3"/>
        <v>2022</v>
      </c>
      <c r="L65" s="7">
        <f t="shared" si="4"/>
        <v>240.72</v>
      </c>
      <c r="M65" s="6" t="str">
        <f t="shared" si="5"/>
        <v>Expensive</v>
      </c>
    </row>
    <row r="66" ht="15.75" hidden="1" customHeight="1">
      <c r="A66" s="4" t="s">
        <v>70</v>
      </c>
      <c r="B66" s="5">
        <v>44754.0</v>
      </c>
      <c r="C66" s="6" t="s">
        <v>14</v>
      </c>
      <c r="D66" s="6" t="s">
        <v>15</v>
      </c>
      <c r="E66" s="6" t="s">
        <v>19</v>
      </c>
      <c r="F66" s="6" t="s">
        <v>20</v>
      </c>
      <c r="G66" s="6">
        <v>42.0</v>
      </c>
      <c r="H66" s="6">
        <v>3.49</v>
      </c>
      <c r="I66" s="7">
        <f t="shared" si="1"/>
        <v>12</v>
      </c>
      <c r="J66" s="7">
        <f t="shared" si="2"/>
        <v>7</v>
      </c>
      <c r="K66" s="7">
        <f t="shared" si="3"/>
        <v>2022</v>
      </c>
      <c r="L66" s="7">
        <f t="shared" si="4"/>
        <v>146.58</v>
      </c>
      <c r="M66" s="6" t="str">
        <f t="shared" si="5"/>
        <v>Expensive</v>
      </c>
    </row>
    <row r="67" ht="15.75" hidden="1" customHeight="1">
      <c r="A67" s="4" t="s">
        <v>207</v>
      </c>
      <c r="B67" s="5">
        <v>44757.0</v>
      </c>
      <c r="C67" s="6" t="s">
        <v>182</v>
      </c>
      <c r="D67" s="6" t="s">
        <v>183</v>
      </c>
      <c r="E67" s="6" t="s">
        <v>24</v>
      </c>
      <c r="F67" s="6" t="s">
        <v>25</v>
      </c>
      <c r="G67" s="6">
        <v>75.0</v>
      </c>
      <c r="H67" s="6">
        <v>1.87</v>
      </c>
      <c r="I67" s="7">
        <f t="shared" si="1"/>
        <v>15</v>
      </c>
      <c r="J67" s="7">
        <f t="shared" si="2"/>
        <v>7</v>
      </c>
      <c r="K67" s="7">
        <f t="shared" si="3"/>
        <v>2022</v>
      </c>
      <c r="L67" s="7">
        <f t="shared" si="4"/>
        <v>140.25</v>
      </c>
      <c r="M67" s="6" t="str">
        <f t="shared" si="5"/>
        <v>Expensive</v>
      </c>
    </row>
    <row r="68" ht="15.75" hidden="1" customHeight="1">
      <c r="A68" s="4" t="s">
        <v>71</v>
      </c>
      <c r="B68" s="5">
        <v>44760.0</v>
      </c>
      <c r="C68" s="6" t="s">
        <v>14</v>
      </c>
      <c r="D68" s="6" t="s">
        <v>23</v>
      </c>
      <c r="E68" s="6" t="s">
        <v>16</v>
      </c>
      <c r="F68" s="6" t="s">
        <v>49</v>
      </c>
      <c r="G68" s="6">
        <v>72.0</v>
      </c>
      <c r="H68" s="6">
        <v>1.8699999999999999</v>
      </c>
      <c r="I68" s="7">
        <f t="shared" si="1"/>
        <v>18</v>
      </c>
      <c r="J68" s="7">
        <f t="shared" si="2"/>
        <v>7</v>
      </c>
      <c r="K68" s="7">
        <f t="shared" si="3"/>
        <v>2022</v>
      </c>
      <c r="L68" s="7">
        <f t="shared" si="4"/>
        <v>134.64</v>
      </c>
      <c r="M68" s="6" t="str">
        <f t="shared" si="5"/>
        <v>Expensive</v>
      </c>
    </row>
    <row r="69" ht="15.75" hidden="1" customHeight="1">
      <c r="A69" s="4" t="s">
        <v>72</v>
      </c>
      <c r="B69" s="5">
        <v>44763.0</v>
      </c>
      <c r="C69" s="6" t="s">
        <v>14</v>
      </c>
      <c r="D69" s="6" t="s">
        <v>23</v>
      </c>
      <c r="E69" s="6" t="s">
        <v>24</v>
      </c>
      <c r="F69" s="6" t="s">
        <v>42</v>
      </c>
      <c r="G69" s="6">
        <v>56.0</v>
      </c>
      <c r="H69" s="6">
        <v>2.84</v>
      </c>
      <c r="I69" s="7">
        <f t="shared" si="1"/>
        <v>21</v>
      </c>
      <c r="J69" s="7">
        <f t="shared" si="2"/>
        <v>7</v>
      </c>
      <c r="K69" s="7">
        <f t="shared" si="3"/>
        <v>2022</v>
      </c>
      <c r="L69" s="7">
        <f t="shared" si="4"/>
        <v>159.04</v>
      </c>
      <c r="M69" s="6" t="str">
        <f t="shared" si="5"/>
        <v>Expensive</v>
      </c>
    </row>
    <row r="70" ht="15.75" hidden="1" customHeight="1">
      <c r="A70" s="4" t="s">
        <v>208</v>
      </c>
      <c r="B70" s="5">
        <v>44766.0</v>
      </c>
      <c r="C70" s="6" t="s">
        <v>182</v>
      </c>
      <c r="D70" s="6" t="s">
        <v>189</v>
      </c>
      <c r="E70" s="6" t="s">
        <v>16</v>
      </c>
      <c r="F70" s="6" t="s">
        <v>49</v>
      </c>
      <c r="G70" s="6">
        <v>51.0</v>
      </c>
      <c r="H70" s="6">
        <v>1.87</v>
      </c>
      <c r="I70" s="7">
        <f t="shared" si="1"/>
        <v>24</v>
      </c>
      <c r="J70" s="7">
        <f t="shared" si="2"/>
        <v>7</v>
      </c>
      <c r="K70" s="7">
        <f t="shared" si="3"/>
        <v>2022</v>
      </c>
      <c r="L70" s="7">
        <f t="shared" si="4"/>
        <v>95.37</v>
      </c>
      <c r="M70" s="6" t="str">
        <f t="shared" si="5"/>
        <v>Cheap</v>
      </c>
    </row>
    <row r="71" ht="15.75" hidden="1" customHeight="1">
      <c r="A71" s="4" t="s">
        <v>209</v>
      </c>
      <c r="B71" s="5">
        <v>44769.0</v>
      </c>
      <c r="C71" s="6" t="s">
        <v>182</v>
      </c>
      <c r="D71" s="6" t="s">
        <v>189</v>
      </c>
      <c r="E71" s="6" t="s">
        <v>33</v>
      </c>
      <c r="F71" s="6" t="s">
        <v>34</v>
      </c>
      <c r="G71" s="6">
        <v>31.0</v>
      </c>
      <c r="H71" s="6">
        <v>1.68</v>
      </c>
      <c r="I71" s="7">
        <f t="shared" si="1"/>
        <v>27</v>
      </c>
      <c r="J71" s="7">
        <f t="shared" si="2"/>
        <v>7</v>
      </c>
      <c r="K71" s="7">
        <f t="shared" si="3"/>
        <v>2022</v>
      </c>
      <c r="L71" s="7">
        <f t="shared" si="4"/>
        <v>52.08</v>
      </c>
      <c r="M71" s="6" t="str">
        <f t="shared" si="5"/>
        <v>Cheap</v>
      </c>
    </row>
    <row r="72" ht="15.75" hidden="1" customHeight="1">
      <c r="A72" s="4" t="s">
        <v>73</v>
      </c>
      <c r="B72" s="5">
        <v>44772.0</v>
      </c>
      <c r="C72" s="6" t="s">
        <v>14</v>
      </c>
      <c r="D72" s="6" t="s">
        <v>15</v>
      </c>
      <c r="E72" s="6" t="s">
        <v>16</v>
      </c>
      <c r="F72" s="6" t="s">
        <v>49</v>
      </c>
      <c r="G72" s="6">
        <v>56.0</v>
      </c>
      <c r="H72" s="6">
        <v>1.8699999999999999</v>
      </c>
      <c r="I72" s="7">
        <f t="shared" si="1"/>
        <v>30</v>
      </c>
      <c r="J72" s="7">
        <f t="shared" si="2"/>
        <v>7</v>
      </c>
      <c r="K72" s="7">
        <f t="shared" si="3"/>
        <v>2022</v>
      </c>
      <c r="L72" s="7">
        <f t="shared" si="4"/>
        <v>104.72</v>
      </c>
      <c r="M72" s="6" t="str">
        <f t="shared" si="5"/>
        <v>Expensive</v>
      </c>
    </row>
    <row r="73" ht="15.75" hidden="1" customHeight="1">
      <c r="A73" s="4" t="s">
        <v>74</v>
      </c>
      <c r="B73" s="5">
        <v>44775.0</v>
      </c>
      <c r="C73" s="6" t="s">
        <v>14</v>
      </c>
      <c r="D73" s="6" t="s">
        <v>15</v>
      </c>
      <c r="E73" s="6" t="s">
        <v>24</v>
      </c>
      <c r="F73" s="6" t="s">
        <v>42</v>
      </c>
      <c r="G73" s="6">
        <v>137.0</v>
      </c>
      <c r="H73" s="6">
        <v>2.84</v>
      </c>
      <c r="I73" s="7">
        <f t="shared" si="1"/>
        <v>2</v>
      </c>
      <c r="J73" s="7">
        <f t="shared" si="2"/>
        <v>8</v>
      </c>
      <c r="K73" s="7">
        <f t="shared" si="3"/>
        <v>2022</v>
      </c>
      <c r="L73" s="7">
        <f t="shared" si="4"/>
        <v>389.08</v>
      </c>
      <c r="M73" s="6" t="str">
        <f t="shared" si="5"/>
        <v>Expensive</v>
      </c>
    </row>
    <row r="74" ht="15.75" hidden="1" customHeight="1">
      <c r="A74" s="4" t="s">
        <v>210</v>
      </c>
      <c r="B74" s="5">
        <v>44778.0</v>
      </c>
      <c r="C74" s="6" t="s">
        <v>182</v>
      </c>
      <c r="D74" s="6" t="s">
        <v>183</v>
      </c>
      <c r="E74" s="6" t="s">
        <v>24</v>
      </c>
      <c r="F74" s="6" t="s">
        <v>25</v>
      </c>
      <c r="G74" s="6">
        <v>107.0</v>
      </c>
      <c r="H74" s="6">
        <v>1.87</v>
      </c>
      <c r="I74" s="7">
        <f t="shared" si="1"/>
        <v>5</v>
      </c>
      <c r="J74" s="7">
        <f t="shared" si="2"/>
        <v>8</v>
      </c>
      <c r="K74" s="7">
        <f t="shared" si="3"/>
        <v>2022</v>
      </c>
      <c r="L74" s="7">
        <f t="shared" si="4"/>
        <v>200.09</v>
      </c>
      <c r="M74" s="6" t="str">
        <f t="shared" si="5"/>
        <v>Expensive</v>
      </c>
    </row>
    <row r="75" ht="15.75" hidden="1" customHeight="1">
      <c r="A75" s="4" t="s">
        <v>75</v>
      </c>
      <c r="B75" s="5">
        <v>44781.0</v>
      </c>
      <c r="C75" s="6" t="s">
        <v>14</v>
      </c>
      <c r="D75" s="6" t="s">
        <v>23</v>
      </c>
      <c r="E75" s="6" t="s">
        <v>16</v>
      </c>
      <c r="F75" s="6" t="s">
        <v>17</v>
      </c>
      <c r="G75" s="6">
        <v>24.0</v>
      </c>
      <c r="H75" s="6">
        <v>1.7699999999999998</v>
      </c>
      <c r="I75" s="7">
        <f t="shared" si="1"/>
        <v>8</v>
      </c>
      <c r="J75" s="7">
        <f t="shared" si="2"/>
        <v>8</v>
      </c>
      <c r="K75" s="7">
        <f t="shared" si="3"/>
        <v>2022</v>
      </c>
      <c r="L75" s="7">
        <f t="shared" si="4"/>
        <v>42.48</v>
      </c>
      <c r="M75" s="6" t="str">
        <f t="shared" si="5"/>
        <v>Cheap</v>
      </c>
    </row>
    <row r="76" ht="15.75" hidden="1" customHeight="1">
      <c r="A76" s="4" t="s">
        <v>76</v>
      </c>
      <c r="B76" s="5">
        <v>44784.0</v>
      </c>
      <c r="C76" s="6" t="s">
        <v>14</v>
      </c>
      <c r="D76" s="6" t="s">
        <v>23</v>
      </c>
      <c r="E76" s="6" t="s">
        <v>19</v>
      </c>
      <c r="F76" s="6" t="s">
        <v>20</v>
      </c>
      <c r="G76" s="6">
        <v>30.0</v>
      </c>
      <c r="H76" s="6">
        <v>3.49</v>
      </c>
      <c r="I76" s="7">
        <f t="shared" si="1"/>
        <v>11</v>
      </c>
      <c r="J76" s="7">
        <f t="shared" si="2"/>
        <v>8</v>
      </c>
      <c r="K76" s="7">
        <f t="shared" si="3"/>
        <v>2022</v>
      </c>
      <c r="L76" s="7">
        <f t="shared" si="4"/>
        <v>104.7</v>
      </c>
      <c r="M76" s="6" t="str">
        <f t="shared" si="5"/>
        <v>Expensive</v>
      </c>
    </row>
    <row r="77" ht="15.75" hidden="1" customHeight="1">
      <c r="A77" s="4" t="s">
        <v>211</v>
      </c>
      <c r="B77" s="5">
        <v>44787.0</v>
      </c>
      <c r="C77" s="6" t="s">
        <v>182</v>
      </c>
      <c r="D77" s="6" t="s">
        <v>189</v>
      </c>
      <c r="E77" s="6" t="s">
        <v>24</v>
      </c>
      <c r="F77" s="6" t="s">
        <v>25</v>
      </c>
      <c r="G77" s="6">
        <v>70.0</v>
      </c>
      <c r="H77" s="6">
        <v>1.87</v>
      </c>
      <c r="I77" s="7">
        <f t="shared" si="1"/>
        <v>14</v>
      </c>
      <c r="J77" s="7">
        <f t="shared" si="2"/>
        <v>8</v>
      </c>
      <c r="K77" s="7">
        <f t="shared" si="3"/>
        <v>2022</v>
      </c>
      <c r="L77" s="7">
        <f t="shared" si="4"/>
        <v>130.9</v>
      </c>
      <c r="M77" s="6" t="str">
        <f t="shared" si="5"/>
        <v>Expensive</v>
      </c>
    </row>
    <row r="78" ht="15.75" hidden="1" customHeight="1">
      <c r="A78" s="4" t="s">
        <v>77</v>
      </c>
      <c r="B78" s="5">
        <v>44790.0</v>
      </c>
      <c r="C78" s="6" t="s">
        <v>14</v>
      </c>
      <c r="D78" s="6" t="s">
        <v>15</v>
      </c>
      <c r="E78" s="6" t="s">
        <v>24</v>
      </c>
      <c r="F78" s="6" t="s">
        <v>28</v>
      </c>
      <c r="G78" s="6">
        <v>31.0</v>
      </c>
      <c r="H78" s="6">
        <v>2.18</v>
      </c>
      <c r="I78" s="7">
        <f t="shared" si="1"/>
        <v>17</v>
      </c>
      <c r="J78" s="7">
        <f t="shared" si="2"/>
        <v>8</v>
      </c>
      <c r="K78" s="7">
        <f t="shared" si="3"/>
        <v>2022</v>
      </c>
      <c r="L78" s="7">
        <f t="shared" si="4"/>
        <v>67.58</v>
      </c>
      <c r="M78" s="6" t="str">
        <f t="shared" si="5"/>
        <v>Cheap</v>
      </c>
    </row>
    <row r="79" ht="15.75" hidden="1" customHeight="1">
      <c r="A79" s="4" t="s">
        <v>78</v>
      </c>
      <c r="B79" s="5">
        <v>44793.0</v>
      </c>
      <c r="C79" s="6" t="s">
        <v>14</v>
      </c>
      <c r="D79" s="6" t="s">
        <v>15</v>
      </c>
      <c r="E79" s="6" t="s">
        <v>16</v>
      </c>
      <c r="F79" s="6" t="s">
        <v>17</v>
      </c>
      <c r="G79" s="6">
        <v>109.0</v>
      </c>
      <c r="H79" s="6">
        <v>1.77</v>
      </c>
      <c r="I79" s="7">
        <f t="shared" si="1"/>
        <v>20</v>
      </c>
      <c r="J79" s="7">
        <f t="shared" si="2"/>
        <v>8</v>
      </c>
      <c r="K79" s="7">
        <f t="shared" si="3"/>
        <v>2022</v>
      </c>
      <c r="L79" s="7">
        <f t="shared" si="4"/>
        <v>192.93</v>
      </c>
      <c r="M79" s="6" t="str">
        <f t="shared" si="5"/>
        <v>Expensive</v>
      </c>
    </row>
    <row r="80" ht="15.75" hidden="1" customHeight="1">
      <c r="A80" s="4" t="s">
        <v>79</v>
      </c>
      <c r="B80" s="5">
        <v>44796.0</v>
      </c>
      <c r="C80" s="6" t="s">
        <v>14</v>
      </c>
      <c r="D80" s="6" t="s">
        <v>15</v>
      </c>
      <c r="E80" s="6" t="s">
        <v>19</v>
      </c>
      <c r="F80" s="6" t="s">
        <v>20</v>
      </c>
      <c r="G80" s="6">
        <v>21.0</v>
      </c>
      <c r="H80" s="6">
        <v>3.49</v>
      </c>
      <c r="I80" s="7">
        <f t="shared" si="1"/>
        <v>23</v>
      </c>
      <c r="J80" s="7">
        <f t="shared" si="2"/>
        <v>8</v>
      </c>
      <c r="K80" s="7">
        <f t="shared" si="3"/>
        <v>2022</v>
      </c>
      <c r="L80" s="7">
        <f t="shared" si="4"/>
        <v>73.29</v>
      </c>
      <c r="M80" s="6" t="str">
        <f t="shared" si="5"/>
        <v>Cheap</v>
      </c>
    </row>
    <row r="81" ht="15.75" hidden="1" customHeight="1">
      <c r="A81" s="4" t="s">
        <v>212</v>
      </c>
      <c r="B81" s="5">
        <v>44799.0</v>
      </c>
      <c r="C81" s="6" t="s">
        <v>182</v>
      </c>
      <c r="D81" s="6" t="s">
        <v>183</v>
      </c>
      <c r="E81" s="6" t="s">
        <v>24</v>
      </c>
      <c r="F81" s="6" t="s">
        <v>25</v>
      </c>
      <c r="G81" s="6">
        <v>80.0</v>
      </c>
      <c r="H81" s="6">
        <v>1.8699999999999999</v>
      </c>
      <c r="I81" s="7">
        <f t="shared" si="1"/>
        <v>26</v>
      </c>
      <c r="J81" s="7">
        <f t="shared" si="2"/>
        <v>8</v>
      </c>
      <c r="K81" s="7">
        <f t="shared" si="3"/>
        <v>2022</v>
      </c>
      <c r="L81" s="7">
        <f t="shared" si="4"/>
        <v>149.6</v>
      </c>
      <c r="M81" s="6" t="str">
        <f t="shared" si="5"/>
        <v>Expensive</v>
      </c>
    </row>
    <row r="82" ht="15.75" hidden="1" customHeight="1">
      <c r="A82" s="4" t="s">
        <v>80</v>
      </c>
      <c r="B82" s="5">
        <v>44802.0</v>
      </c>
      <c r="C82" s="6" t="s">
        <v>14</v>
      </c>
      <c r="D82" s="6" t="s">
        <v>23</v>
      </c>
      <c r="E82" s="6" t="s">
        <v>16</v>
      </c>
      <c r="F82" s="6" t="s">
        <v>49</v>
      </c>
      <c r="G82" s="6">
        <v>75.0</v>
      </c>
      <c r="H82" s="6">
        <v>1.87</v>
      </c>
      <c r="I82" s="7">
        <f t="shared" si="1"/>
        <v>29</v>
      </c>
      <c r="J82" s="7">
        <f t="shared" si="2"/>
        <v>8</v>
      </c>
      <c r="K82" s="7">
        <f t="shared" si="3"/>
        <v>2022</v>
      </c>
      <c r="L82" s="7">
        <f t="shared" si="4"/>
        <v>140.25</v>
      </c>
      <c r="M82" s="6" t="str">
        <f t="shared" si="5"/>
        <v>Expensive</v>
      </c>
    </row>
    <row r="83" ht="15.75" hidden="1" customHeight="1">
      <c r="A83" s="4" t="s">
        <v>81</v>
      </c>
      <c r="B83" s="5">
        <v>44805.0</v>
      </c>
      <c r="C83" s="6" t="s">
        <v>14</v>
      </c>
      <c r="D83" s="6" t="s">
        <v>23</v>
      </c>
      <c r="E83" s="6" t="s">
        <v>24</v>
      </c>
      <c r="F83" s="6" t="s">
        <v>42</v>
      </c>
      <c r="G83" s="6">
        <v>74.0</v>
      </c>
      <c r="H83" s="6">
        <v>2.84</v>
      </c>
      <c r="I83" s="7">
        <f t="shared" si="1"/>
        <v>1</v>
      </c>
      <c r="J83" s="7">
        <f t="shared" si="2"/>
        <v>9</v>
      </c>
      <c r="K83" s="7">
        <f t="shared" si="3"/>
        <v>2022</v>
      </c>
      <c r="L83" s="7">
        <f t="shared" si="4"/>
        <v>210.16</v>
      </c>
      <c r="M83" s="6" t="str">
        <f t="shared" si="5"/>
        <v>Expensive</v>
      </c>
    </row>
    <row r="84" ht="15.75" hidden="1" customHeight="1">
      <c r="A84" s="4" t="s">
        <v>213</v>
      </c>
      <c r="B84" s="5">
        <v>44808.0</v>
      </c>
      <c r="C84" s="6" t="s">
        <v>182</v>
      </c>
      <c r="D84" s="6" t="s">
        <v>189</v>
      </c>
      <c r="E84" s="6" t="s">
        <v>16</v>
      </c>
      <c r="F84" s="6" t="s">
        <v>17</v>
      </c>
      <c r="G84" s="6">
        <v>45.0</v>
      </c>
      <c r="H84" s="6">
        <v>1.77</v>
      </c>
      <c r="I84" s="7">
        <f t="shared" si="1"/>
        <v>4</v>
      </c>
      <c r="J84" s="7">
        <f t="shared" si="2"/>
        <v>9</v>
      </c>
      <c r="K84" s="7">
        <f t="shared" si="3"/>
        <v>2022</v>
      </c>
      <c r="L84" s="7">
        <f t="shared" si="4"/>
        <v>79.65</v>
      </c>
      <c r="M84" s="6" t="str">
        <f t="shared" si="5"/>
        <v>Cheap</v>
      </c>
    </row>
    <row r="85" ht="15.75" hidden="1" customHeight="1">
      <c r="A85" s="4" t="s">
        <v>82</v>
      </c>
      <c r="B85" s="5">
        <v>44811.0</v>
      </c>
      <c r="C85" s="6" t="s">
        <v>14</v>
      </c>
      <c r="D85" s="6" t="s">
        <v>15</v>
      </c>
      <c r="E85" s="6" t="s">
        <v>24</v>
      </c>
      <c r="F85" s="6" t="s">
        <v>28</v>
      </c>
      <c r="G85" s="6">
        <v>28.0</v>
      </c>
      <c r="H85" s="6">
        <v>2.18</v>
      </c>
      <c r="I85" s="7">
        <f t="shared" si="1"/>
        <v>7</v>
      </c>
      <c r="J85" s="7">
        <f t="shared" si="2"/>
        <v>9</v>
      </c>
      <c r="K85" s="7">
        <f t="shared" si="3"/>
        <v>2022</v>
      </c>
      <c r="L85" s="7">
        <f t="shared" si="4"/>
        <v>61.04</v>
      </c>
      <c r="M85" s="6" t="str">
        <f t="shared" si="5"/>
        <v>Cheap</v>
      </c>
    </row>
    <row r="86" ht="15.75" hidden="1" customHeight="1">
      <c r="A86" s="4" t="s">
        <v>83</v>
      </c>
      <c r="B86" s="5">
        <v>44814.0</v>
      </c>
      <c r="C86" s="6" t="s">
        <v>14</v>
      </c>
      <c r="D86" s="6" t="s">
        <v>15</v>
      </c>
      <c r="E86" s="6" t="s">
        <v>16</v>
      </c>
      <c r="F86" s="6" t="s">
        <v>17</v>
      </c>
      <c r="G86" s="6">
        <v>143.0</v>
      </c>
      <c r="H86" s="6">
        <v>1.77</v>
      </c>
      <c r="I86" s="7">
        <f t="shared" si="1"/>
        <v>10</v>
      </c>
      <c r="J86" s="7">
        <f t="shared" si="2"/>
        <v>9</v>
      </c>
      <c r="K86" s="7">
        <f t="shared" si="3"/>
        <v>2022</v>
      </c>
      <c r="L86" s="7">
        <f t="shared" si="4"/>
        <v>253.11</v>
      </c>
      <c r="M86" s="6" t="str">
        <f t="shared" si="5"/>
        <v>Expensive</v>
      </c>
    </row>
    <row r="87" ht="15.75" hidden="1" customHeight="1">
      <c r="A87" s="4" t="s">
        <v>84</v>
      </c>
      <c r="B87" s="5">
        <v>44817.0</v>
      </c>
      <c r="C87" s="6" t="s">
        <v>14</v>
      </c>
      <c r="D87" s="6" t="s">
        <v>15</v>
      </c>
      <c r="E87" s="6" t="s">
        <v>33</v>
      </c>
      <c r="F87" s="6" t="s">
        <v>85</v>
      </c>
      <c r="G87" s="6">
        <v>27.0</v>
      </c>
      <c r="H87" s="6">
        <v>3.15</v>
      </c>
      <c r="I87" s="7">
        <f t="shared" si="1"/>
        <v>13</v>
      </c>
      <c r="J87" s="7">
        <f t="shared" si="2"/>
        <v>9</v>
      </c>
      <c r="K87" s="7">
        <f t="shared" si="3"/>
        <v>2022</v>
      </c>
      <c r="L87" s="7">
        <f t="shared" si="4"/>
        <v>85.05</v>
      </c>
      <c r="M87" s="6" t="str">
        <f t="shared" si="5"/>
        <v>Cheap</v>
      </c>
    </row>
    <row r="88" ht="15.75" hidden="1" customHeight="1">
      <c r="A88" s="4" t="s">
        <v>214</v>
      </c>
      <c r="B88" s="5">
        <v>44820.0</v>
      </c>
      <c r="C88" s="6" t="s">
        <v>182</v>
      </c>
      <c r="D88" s="6" t="s">
        <v>183</v>
      </c>
      <c r="E88" s="6" t="s">
        <v>16</v>
      </c>
      <c r="F88" s="6" t="s">
        <v>17</v>
      </c>
      <c r="G88" s="6">
        <v>133.0</v>
      </c>
      <c r="H88" s="6">
        <v>1.77</v>
      </c>
      <c r="I88" s="7">
        <f t="shared" si="1"/>
        <v>16</v>
      </c>
      <c r="J88" s="7">
        <f t="shared" si="2"/>
        <v>9</v>
      </c>
      <c r="K88" s="7">
        <f t="shared" si="3"/>
        <v>2022</v>
      </c>
      <c r="L88" s="7">
        <f t="shared" si="4"/>
        <v>235.41</v>
      </c>
      <c r="M88" s="6" t="str">
        <f t="shared" si="5"/>
        <v>Expensive</v>
      </c>
    </row>
    <row r="89" ht="15.75" hidden="1" customHeight="1">
      <c r="A89" s="4" t="s">
        <v>86</v>
      </c>
      <c r="B89" s="5">
        <v>44823.0</v>
      </c>
      <c r="C89" s="6" t="s">
        <v>14</v>
      </c>
      <c r="D89" s="6" t="s">
        <v>23</v>
      </c>
      <c r="E89" s="6" t="s">
        <v>24</v>
      </c>
      <c r="F89" s="6" t="s">
        <v>28</v>
      </c>
      <c r="G89" s="6">
        <v>110.0</v>
      </c>
      <c r="H89" s="6">
        <v>2.18</v>
      </c>
      <c r="I89" s="7">
        <f t="shared" si="1"/>
        <v>19</v>
      </c>
      <c r="J89" s="7">
        <f t="shared" si="2"/>
        <v>9</v>
      </c>
      <c r="K89" s="7">
        <f t="shared" si="3"/>
        <v>2022</v>
      </c>
      <c r="L89" s="7">
        <f t="shared" si="4"/>
        <v>239.8</v>
      </c>
      <c r="M89" s="6" t="str">
        <f t="shared" si="5"/>
        <v>Expensive</v>
      </c>
    </row>
    <row r="90" ht="15.75" hidden="1" customHeight="1">
      <c r="A90" s="4" t="s">
        <v>87</v>
      </c>
      <c r="B90" s="5">
        <v>44826.0</v>
      </c>
      <c r="C90" s="6" t="s">
        <v>14</v>
      </c>
      <c r="D90" s="6" t="s">
        <v>23</v>
      </c>
      <c r="E90" s="6" t="s">
        <v>24</v>
      </c>
      <c r="F90" s="6" t="s">
        <v>25</v>
      </c>
      <c r="G90" s="6">
        <v>65.0</v>
      </c>
      <c r="H90" s="6">
        <v>1.8699999999999999</v>
      </c>
      <c r="I90" s="7">
        <f t="shared" si="1"/>
        <v>22</v>
      </c>
      <c r="J90" s="7">
        <f t="shared" si="2"/>
        <v>9</v>
      </c>
      <c r="K90" s="7">
        <f t="shared" si="3"/>
        <v>2022</v>
      </c>
      <c r="L90" s="7">
        <f t="shared" si="4"/>
        <v>121.55</v>
      </c>
      <c r="M90" s="6" t="str">
        <f t="shared" si="5"/>
        <v>Expensive</v>
      </c>
    </row>
    <row r="91" ht="15.75" hidden="1" customHeight="1">
      <c r="A91" s="4" t="s">
        <v>215</v>
      </c>
      <c r="B91" s="5">
        <v>44829.0</v>
      </c>
      <c r="C91" s="6" t="s">
        <v>182</v>
      </c>
      <c r="D91" s="6" t="s">
        <v>189</v>
      </c>
      <c r="E91" s="6" t="s">
        <v>16</v>
      </c>
      <c r="F91" s="6" t="s">
        <v>49</v>
      </c>
      <c r="G91" s="6">
        <v>33.0</v>
      </c>
      <c r="H91" s="6">
        <v>1.87</v>
      </c>
      <c r="I91" s="7">
        <f t="shared" si="1"/>
        <v>25</v>
      </c>
      <c r="J91" s="7">
        <f t="shared" si="2"/>
        <v>9</v>
      </c>
      <c r="K91" s="7">
        <f t="shared" si="3"/>
        <v>2022</v>
      </c>
      <c r="L91" s="7">
        <f t="shared" si="4"/>
        <v>61.71</v>
      </c>
      <c r="M91" s="6" t="str">
        <f t="shared" si="5"/>
        <v>Cheap</v>
      </c>
    </row>
    <row r="92" ht="15.75" hidden="1" customHeight="1">
      <c r="A92" s="4" t="s">
        <v>88</v>
      </c>
      <c r="B92" s="5">
        <v>44832.0</v>
      </c>
      <c r="C92" s="6" t="s">
        <v>14</v>
      </c>
      <c r="D92" s="6" t="s">
        <v>15</v>
      </c>
      <c r="E92" s="6" t="s">
        <v>24</v>
      </c>
      <c r="F92" s="6" t="s">
        <v>28</v>
      </c>
      <c r="G92" s="6">
        <v>81.0</v>
      </c>
      <c r="H92" s="6">
        <v>2.18</v>
      </c>
      <c r="I92" s="7">
        <f t="shared" si="1"/>
        <v>28</v>
      </c>
      <c r="J92" s="7">
        <f t="shared" si="2"/>
        <v>9</v>
      </c>
      <c r="K92" s="7">
        <f t="shared" si="3"/>
        <v>2022</v>
      </c>
      <c r="L92" s="7">
        <f t="shared" si="4"/>
        <v>176.58</v>
      </c>
      <c r="M92" s="6" t="str">
        <f t="shared" si="5"/>
        <v>Expensive</v>
      </c>
    </row>
    <row r="93" ht="15.75" hidden="1" customHeight="1">
      <c r="A93" s="4" t="s">
        <v>89</v>
      </c>
      <c r="B93" s="5">
        <v>44835.0</v>
      </c>
      <c r="C93" s="6" t="s">
        <v>14</v>
      </c>
      <c r="D93" s="6" t="s">
        <v>15</v>
      </c>
      <c r="E93" s="6" t="s">
        <v>16</v>
      </c>
      <c r="F93" s="6" t="s">
        <v>17</v>
      </c>
      <c r="G93" s="6">
        <v>77.0</v>
      </c>
      <c r="H93" s="6">
        <v>1.7699999999999998</v>
      </c>
      <c r="I93" s="7">
        <f t="shared" si="1"/>
        <v>1</v>
      </c>
      <c r="J93" s="7">
        <f t="shared" si="2"/>
        <v>10</v>
      </c>
      <c r="K93" s="7">
        <f t="shared" si="3"/>
        <v>2022</v>
      </c>
      <c r="L93" s="7">
        <f t="shared" si="4"/>
        <v>136.29</v>
      </c>
      <c r="M93" s="6" t="str">
        <f t="shared" si="5"/>
        <v>Expensive</v>
      </c>
    </row>
    <row r="94" ht="15.75" hidden="1" customHeight="1">
      <c r="A94" s="4" t="s">
        <v>90</v>
      </c>
      <c r="B94" s="5">
        <v>44838.0</v>
      </c>
      <c r="C94" s="6" t="s">
        <v>14</v>
      </c>
      <c r="D94" s="6" t="s">
        <v>15</v>
      </c>
      <c r="E94" s="6" t="s">
        <v>19</v>
      </c>
      <c r="F94" s="6" t="s">
        <v>20</v>
      </c>
      <c r="G94" s="6">
        <v>38.0</v>
      </c>
      <c r="H94" s="6">
        <v>3.49</v>
      </c>
      <c r="I94" s="7">
        <f t="shared" si="1"/>
        <v>4</v>
      </c>
      <c r="J94" s="7">
        <f t="shared" si="2"/>
        <v>10</v>
      </c>
      <c r="K94" s="7">
        <f t="shared" si="3"/>
        <v>2022</v>
      </c>
      <c r="L94" s="7">
        <f t="shared" si="4"/>
        <v>132.62</v>
      </c>
      <c r="M94" s="6" t="str">
        <f t="shared" si="5"/>
        <v>Expensive</v>
      </c>
    </row>
    <row r="95" ht="15.75" hidden="1" customHeight="1">
      <c r="A95" s="4" t="s">
        <v>216</v>
      </c>
      <c r="B95" s="5">
        <v>44841.0</v>
      </c>
      <c r="C95" s="6" t="s">
        <v>182</v>
      </c>
      <c r="D95" s="6" t="s">
        <v>183</v>
      </c>
      <c r="E95" s="6" t="s">
        <v>16</v>
      </c>
      <c r="F95" s="6" t="s">
        <v>17</v>
      </c>
      <c r="G95" s="6">
        <v>40.0</v>
      </c>
      <c r="H95" s="6">
        <v>1.77</v>
      </c>
      <c r="I95" s="7">
        <f t="shared" si="1"/>
        <v>7</v>
      </c>
      <c r="J95" s="7">
        <f t="shared" si="2"/>
        <v>10</v>
      </c>
      <c r="K95" s="7">
        <f t="shared" si="3"/>
        <v>2022</v>
      </c>
      <c r="L95" s="7">
        <f t="shared" si="4"/>
        <v>70.8</v>
      </c>
      <c r="M95" s="6" t="str">
        <f t="shared" si="5"/>
        <v>Cheap</v>
      </c>
    </row>
    <row r="96" ht="15.75" hidden="1" customHeight="1">
      <c r="A96" s="4" t="s">
        <v>217</v>
      </c>
      <c r="B96" s="5">
        <v>44844.0</v>
      </c>
      <c r="C96" s="6" t="s">
        <v>182</v>
      </c>
      <c r="D96" s="6" t="s">
        <v>183</v>
      </c>
      <c r="E96" s="6" t="s">
        <v>33</v>
      </c>
      <c r="F96" s="6" t="s">
        <v>34</v>
      </c>
      <c r="G96" s="6">
        <v>114.0</v>
      </c>
      <c r="H96" s="6">
        <v>1.6800000000000002</v>
      </c>
      <c r="I96" s="7">
        <f t="shared" si="1"/>
        <v>10</v>
      </c>
      <c r="J96" s="7">
        <f t="shared" si="2"/>
        <v>10</v>
      </c>
      <c r="K96" s="7">
        <f t="shared" si="3"/>
        <v>2022</v>
      </c>
      <c r="L96" s="7">
        <f t="shared" si="4"/>
        <v>191.52</v>
      </c>
      <c r="M96" s="6" t="str">
        <f t="shared" si="5"/>
        <v>Expensive</v>
      </c>
    </row>
    <row r="97" ht="15.75" hidden="1" customHeight="1">
      <c r="A97" s="4" t="s">
        <v>91</v>
      </c>
      <c r="B97" s="5">
        <v>44847.0</v>
      </c>
      <c r="C97" s="6" t="s">
        <v>14</v>
      </c>
      <c r="D97" s="6" t="s">
        <v>23</v>
      </c>
      <c r="E97" s="6" t="s">
        <v>24</v>
      </c>
      <c r="F97" s="6" t="s">
        <v>28</v>
      </c>
      <c r="G97" s="6">
        <v>224.0</v>
      </c>
      <c r="H97" s="6">
        <v>2.18</v>
      </c>
      <c r="I97" s="7">
        <f t="shared" si="1"/>
        <v>13</v>
      </c>
      <c r="J97" s="7">
        <f t="shared" si="2"/>
        <v>10</v>
      </c>
      <c r="K97" s="7">
        <f t="shared" si="3"/>
        <v>2022</v>
      </c>
      <c r="L97" s="7">
        <f t="shared" si="4"/>
        <v>488.32</v>
      </c>
      <c r="M97" s="6" t="str">
        <f t="shared" si="5"/>
        <v>Expensive</v>
      </c>
    </row>
    <row r="98" ht="15.75" hidden="1" customHeight="1">
      <c r="A98" s="4" t="s">
        <v>92</v>
      </c>
      <c r="B98" s="5">
        <v>44850.0</v>
      </c>
      <c r="C98" s="6" t="s">
        <v>14</v>
      </c>
      <c r="D98" s="6" t="s">
        <v>23</v>
      </c>
      <c r="E98" s="6" t="s">
        <v>16</v>
      </c>
      <c r="F98" s="6" t="s">
        <v>17</v>
      </c>
      <c r="G98" s="6">
        <v>141.0</v>
      </c>
      <c r="H98" s="6">
        <v>1.77</v>
      </c>
      <c r="I98" s="7">
        <f t="shared" si="1"/>
        <v>16</v>
      </c>
      <c r="J98" s="7">
        <f t="shared" si="2"/>
        <v>10</v>
      </c>
      <c r="K98" s="7">
        <f t="shared" si="3"/>
        <v>2022</v>
      </c>
      <c r="L98" s="7">
        <f t="shared" si="4"/>
        <v>249.57</v>
      </c>
      <c r="M98" s="6" t="str">
        <f t="shared" si="5"/>
        <v>Expensive</v>
      </c>
    </row>
    <row r="99" ht="15.75" hidden="1" customHeight="1">
      <c r="A99" s="4" t="s">
        <v>93</v>
      </c>
      <c r="B99" s="5">
        <v>44853.0</v>
      </c>
      <c r="C99" s="6" t="s">
        <v>14</v>
      </c>
      <c r="D99" s="6" t="s">
        <v>23</v>
      </c>
      <c r="E99" s="6" t="s">
        <v>19</v>
      </c>
      <c r="F99" s="6" t="s">
        <v>20</v>
      </c>
      <c r="G99" s="6">
        <v>32.0</v>
      </c>
      <c r="H99" s="6">
        <v>3.49</v>
      </c>
      <c r="I99" s="7">
        <f t="shared" si="1"/>
        <v>19</v>
      </c>
      <c r="J99" s="7">
        <f t="shared" si="2"/>
        <v>10</v>
      </c>
      <c r="K99" s="7">
        <f t="shared" si="3"/>
        <v>2022</v>
      </c>
      <c r="L99" s="7">
        <f t="shared" si="4"/>
        <v>111.68</v>
      </c>
      <c r="M99" s="6" t="str">
        <f t="shared" si="5"/>
        <v>Expensive</v>
      </c>
    </row>
    <row r="100" ht="15.75" hidden="1" customHeight="1">
      <c r="A100" s="4" t="s">
        <v>218</v>
      </c>
      <c r="B100" s="5">
        <v>44856.0</v>
      </c>
      <c r="C100" s="6" t="s">
        <v>182</v>
      </c>
      <c r="D100" s="6" t="s">
        <v>189</v>
      </c>
      <c r="E100" s="6" t="s">
        <v>16</v>
      </c>
      <c r="F100" s="6" t="s">
        <v>17</v>
      </c>
      <c r="G100" s="6">
        <v>20.0</v>
      </c>
      <c r="H100" s="6">
        <v>1.77</v>
      </c>
      <c r="I100" s="7">
        <f t="shared" si="1"/>
        <v>22</v>
      </c>
      <c r="J100" s="7">
        <f t="shared" si="2"/>
        <v>10</v>
      </c>
      <c r="K100" s="7">
        <f t="shared" si="3"/>
        <v>2022</v>
      </c>
      <c r="L100" s="7">
        <f t="shared" si="4"/>
        <v>35.4</v>
      </c>
      <c r="M100" s="6" t="str">
        <f t="shared" si="5"/>
        <v>Cheap</v>
      </c>
    </row>
    <row r="101" ht="15.75" hidden="1" customHeight="1">
      <c r="A101" s="4" t="s">
        <v>94</v>
      </c>
      <c r="B101" s="5">
        <v>44859.0</v>
      </c>
      <c r="C101" s="6" t="s">
        <v>14</v>
      </c>
      <c r="D101" s="6" t="s">
        <v>15</v>
      </c>
      <c r="E101" s="6" t="s">
        <v>24</v>
      </c>
      <c r="F101" s="6" t="s">
        <v>28</v>
      </c>
      <c r="G101" s="6">
        <v>40.0</v>
      </c>
      <c r="H101" s="6">
        <v>2.18</v>
      </c>
      <c r="I101" s="7">
        <f t="shared" si="1"/>
        <v>25</v>
      </c>
      <c r="J101" s="7">
        <f t="shared" si="2"/>
        <v>10</v>
      </c>
      <c r="K101" s="7">
        <f t="shared" si="3"/>
        <v>2022</v>
      </c>
      <c r="L101" s="7">
        <f t="shared" si="4"/>
        <v>87.2</v>
      </c>
      <c r="M101" s="6" t="str">
        <f t="shared" si="5"/>
        <v>Cheap</v>
      </c>
    </row>
    <row r="102" ht="15.75" hidden="1" customHeight="1">
      <c r="A102" s="4" t="s">
        <v>95</v>
      </c>
      <c r="B102" s="5">
        <v>44862.0</v>
      </c>
      <c r="C102" s="6" t="s">
        <v>14</v>
      </c>
      <c r="D102" s="6" t="s">
        <v>15</v>
      </c>
      <c r="E102" s="6" t="s">
        <v>24</v>
      </c>
      <c r="F102" s="6" t="s">
        <v>25</v>
      </c>
      <c r="G102" s="6">
        <v>49.0</v>
      </c>
      <c r="H102" s="6">
        <v>1.8699999999999999</v>
      </c>
      <c r="I102" s="7">
        <f t="shared" si="1"/>
        <v>28</v>
      </c>
      <c r="J102" s="7">
        <f t="shared" si="2"/>
        <v>10</v>
      </c>
      <c r="K102" s="7">
        <f t="shared" si="3"/>
        <v>2022</v>
      </c>
      <c r="L102" s="7">
        <f t="shared" si="4"/>
        <v>91.63</v>
      </c>
      <c r="M102" s="6" t="str">
        <f t="shared" si="5"/>
        <v>Cheap</v>
      </c>
    </row>
    <row r="103" ht="15.75" hidden="1" customHeight="1">
      <c r="A103" s="4" t="s">
        <v>96</v>
      </c>
      <c r="B103" s="5">
        <v>44865.0</v>
      </c>
      <c r="C103" s="6" t="s">
        <v>14</v>
      </c>
      <c r="D103" s="6" t="s">
        <v>15</v>
      </c>
      <c r="E103" s="6" t="s">
        <v>19</v>
      </c>
      <c r="F103" s="6" t="s">
        <v>20</v>
      </c>
      <c r="G103" s="6">
        <v>46.0</v>
      </c>
      <c r="H103" s="6">
        <v>3.4899999999999998</v>
      </c>
      <c r="I103" s="7">
        <f t="shared" si="1"/>
        <v>31</v>
      </c>
      <c r="J103" s="7">
        <f t="shared" si="2"/>
        <v>10</v>
      </c>
      <c r="K103" s="7">
        <f t="shared" si="3"/>
        <v>2022</v>
      </c>
      <c r="L103" s="7">
        <f t="shared" si="4"/>
        <v>160.54</v>
      </c>
      <c r="M103" s="6" t="str">
        <f t="shared" si="5"/>
        <v>Expensive</v>
      </c>
    </row>
    <row r="104" ht="15.75" hidden="1" customHeight="1">
      <c r="A104" s="4" t="s">
        <v>219</v>
      </c>
      <c r="B104" s="5">
        <v>44868.0</v>
      </c>
      <c r="C104" s="6" t="s">
        <v>182</v>
      </c>
      <c r="D104" s="6" t="s">
        <v>183</v>
      </c>
      <c r="E104" s="6" t="s">
        <v>16</v>
      </c>
      <c r="F104" s="6" t="s">
        <v>17</v>
      </c>
      <c r="G104" s="6">
        <v>39.0</v>
      </c>
      <c r="H104" s="6">
        <v>1.77</v>
      </c>
      <c r="I104" s="7">
        <f t="shared" si="1"/>
        <v>3</v>
      </c>
      <c r="J104" s="7">
        <f t="shared" si="2"/>
        <v>11</v>
      </c>
      <c r="K104" s="7">
        <f t="shared" si="3"/>
        <v>2022</v>
      </c>
      <c r="L104" s="7">
        <f t="shared" si="4"/>
        <v>69.03</v>
      </c>
      <c r="M104" s="6" t="str">
        <f t="shared" si="5"/>
        <v>Cheap</v>
      </c>
    </row>
    <row r="105" ht="15.75" hidden="1" customHeight="1">
      <c r="A105" s="4" t="s">
        <v>220</v>
      </c>
      <c r="B105" s="5">
        <v>44871.0</v>
      </c>
      <c r="C105" s="6" t="s">
        <v>182</v>
      </c>
      <c r="D105" s="6" t="s">
        <v>183</v>
      </c>
      <c r="E105" s="6" t="s">
        <v>33</v>
      </c>
      <c r="F105" s="6" t="s">
        <v>34</v>
      </c>
      <c r="G105" s="6">
        <v>62.0</v>
      </c>
      <c r="H105" s="6">
        <v>1.68</v>
      </c>
      <c r="I105" s="7">
        <f t="shared" si="1"/>
        <v>6</v>
      </c>
      <c r="J105" s="7">
        <f t="shared" si="2"/>
        <v>11</v>
      </c>
      <c r="K105" s="7">
        <f t="shared" si="3"/>
        <v>2022</v>
      </c>
      <c r="L105" s="7">
        <f t="shared" si="4"/>
        <v>104.16</v>
      </c>
      <c r="M105" s="6" t="str">
        <f t="shared" si="5"/>
        <v>Expensive</v>
      </c>
    </row>
    <row r="106" ht="15.75" hidden="1" customHeight="1">
      <c r="A106" s="4" t="s">
        <v>97</v>
      </c>
      <c r="B106" s="5">
        <v>44874.0</v>
      </c>
      <c r="C106" s="6" t="s">
        <v>14</v>
      </c>
      <c r="D106" s="6" t="s">
        <v>23</v>
      </c>
      <c r="E106" s="6" t="s">
        <v>16</v>
      </c>
      <c r="F106" s="6" t="s">
        <v>17</v>
      </c>
      <c r="G106" s="6">
        <v>90.0</v>
      </c>
      <c r="H106" s="6">
        <v>1.77</v>
      </c>
      <c r="I106" s="7">
        <f t="shared" si="1"/>
        <v>9</v>
      </c>
      <c r="J106" s="7">
        <f t="shared" si="2"/>
        <v>11</v>
      </c>
      <c r="K106" s="7">
        <f t="shared" si="3"/>
        <v>2022</v>
      </c>
      <c r="L106" s="7">
        <f t="shared" si="4"/>
        <v>159.3</v>
      </c>
      <c r="M106" s="6" t="str">
        <f t="shared" si="5"/>
        <v>Expensive</v>
      </c>
    </row>
    <row r="107" ht="15.75" hidden="1" customHeight="1">
      <c r="A107" s="4" t="s">
        <v>221</v>
      </c>
      <c r="B107" s="5">
        <v>44877.0</v>
      </c>
      <c r="C107" s="6" t="s">
        <v>182</v>
      </c>
      <c r="D107" s="6" t="s">
        <v>189</v>
      </c>
      <c r="E107" s="6" t="s">
        <v>24</v>
      </c>
      <c r="F107" s="6" t="s">
        <v>28</v>
      </c>
      <c r="G107" s="6">
        <v>103.0</v>
      </c>
      <c r="H107" s="6">
        <v>2.1799999999999997</v>
      </c>
      <c r="I107" s="7">
        <f t="shared" si="1"/>
        <v>12</v>
      </c>
      <c r="J107" s="7">
        <f t="shared" si="2"/>
        <v>11</v>
      </c>
      <c r="K107" s="7">
        <f t="shared" si="3"/>
        <v>2022</v>
      </c>
      <c r="L107" s="7">
        <f t="shared" si="4"/>
        <v>224.54</v>
      </c>
      <c r="M107" s="6" t="str">
        <f t="shared" si="5"/>
        <v>Expensive</v>
      </c>
    </row>
    <row r="108" ht="15.75" hidden="1" customHeight="1">
      <c r="A108" s="4" t="s">
        <v>222</v>
      </c>
      <c r="B108" s="5">
        <v>44880.0</v>
      </c>
      <c r="C108" s="6" t="s">
        <v>182</v>
      </c>
      <c r="D108" s="6" t="s">
        <v>189</v>
      </c>
      <c r="E108" s="6" t="s">
        <v>24</v>
      </c>
      <c r="F108" s="6" t="s">
        <v>42</v>
      </c>
      <c r="G108" s="6">
        <v>32.0</v>
      </c>
      <c r="H108" s="6">
        <v>2.84</v>
      </c>
      <c r="I108" s="7">
        <f t="shared" si="1"/>
        <v>15</v>
      </c>
      <c r="J108" s="7">
        <f t="shared" si="2"/>
        <v>11</v>
      </c>
      <c r="K108" s="7">
        <f t="shared" si="3"/>
        <v>2022</v>
      </c>
      <c r="L108" s="7">
        <f t="shared" si="4"/>
        <v>90.88</v>
      </c>
      <c r="M108" s="6" t="str">
        <f t="shared" si="5"/>
        <v>Cheap</v>
      </c>
    </row>
    <row r="109" ht="15.75" hidden="1" customHeight="1">
      <c r="A109" s="4" t="s">
        <v>98</v>
      </c>
      <c r="B109" s="5">
        <v>44883.0</v>
      </c>
      <c r="C109" s="6" t="s">
        <v>14</v>
      </c>
      <c r="D109" s="6" t="s">
        <v>15</v>
      </c>
      <c r="E109" s="6" t="s">
        <v>16</v>
      </c>
      <c r="F109" s="6" t="s">
        <v>49</v>
      </c>
      <c r="G109" s="6">
        <v>66.0</v>
      </c>
      <c r="H109" s="6">
        <v>1.87</v>
      </c>
      <c r="I109" s="7">
        <f t="shared" si="1"/>
        <v>18</v>
      </c>
      <c r="J109" s="7">
        <f t="shared" si="2"/>
        <v>11</v>
      </c>
      <c r="K109" s="7">
        <f t="shared" si="3"/>
        <v>2022</v>
      </c>
      <c r="L109" s="7">
        <f t="shared" si="4"/>
        <v>123.42</v>
      </c>
      <c r="M109" s="6" t="str">
        <f t="shared" si="5"/>
        <v>Expensive</v>
      </c>
    </row>
    <row r="110" ht="15.75" hidden="1" customHeight="1">
      <c r="A110" s="4" t="s">
        <v>99</v>
      </c>
      <c r="B110" s="5">
        <v>44886.0</v>
      </c>
      <c r="C110" s="6" t="s">
        <v>14</v>
      </c>
      <c r="D110" s="6" t="s">
        <v>15</v>
      </c>
      <c r="E110" s="6" t="s">
        <v>24</v>
      </c>
      <c r="F110" s="6" t="s">
        <v>42</v>
      </c>
      <c r="G110" s="6">
        <v>97.0</v>
      </c>
      <c r="H110" s="6">
        <v>2.8400000000000003</v>
      </c>
      <c r="I110" s="7">
        <f t="shared" si="1"/>
        <v>21</v>
      </c>
      <c r="J110" s="7">
        <f t="shared" si="2"/>
        <v>11</v>
      </c>
      <c r="K110" s="7">
        <f t="shared" si="3"/>
        <v>2022</v>
      </c>
      <c r="L110" s="7">
        <f t="shared" si="4"/>
        <v>275.48</v>
      </c>
      <c r="M110" s="6" t="str">
        <f t="shared" si="5"/>
        <v>Expensive</v>
      </c>
    </row>
    <row r="111" ht="15.75" hidden="1" customHeight="1">
      <c r="A111" s="4" t="s">
        <v>223</v>
      </c>
      <c r="B111" s="5">
        <v>44889.0</v>
      </c>
      <c r="C111" s="6" t="s">
        <v>182</v>
      </c>
      <c r="D111" s="6" t="s">
        <v>183</v>
      </c>
      <c r="E111" s="6" t="s">
        <v>16</v>
      </c>
      <c r="F111" s="6" t="s">
        <v>17</v>
      </c>
      <c r="G111" s="6">
        <v>30.0</v>
      </c>
      <c r="H111" s="6">
        <v>1.77</v>
      </c>
      <c r="I111" s="7">
        <f t="shared" si="1"/>
        <v>24</v>
      </c>
      <c r="J111" s="7">
        <f t="shared" si="2"/>
        <v>11</v>
      </c>
      <c r="K111" s="7">
        <f t="shared" si="3"/>
        <v>2022</v>
      </c>
      <c r="L111" s="7">
        <f t="shared" si="4"/>
        <v>53.1</v>
      </c>
      <c r="M111" s="6" t="str">
        <f t="shared" si="5"/>
        <v>Cheap</v>
      </c>
    </row>
    <row r="112" ht="15.75" hidden="1" customHeight="1">
      <c r="A112" s="4" t="s">
        <v>224</v>
      </c>
      <c r="B112" s="5">
        <v>44892.0</v>
      </c>
      <c r="C112" s="6" t="s">
        <v>182</v>
      </c>
      <c r="D112" s="6" t="s">
        <v>183</v>
      </c>
      <c r="E112" s="6" t="s">
        <v>33</v>
      </c>
      <c r="F112" s="6" t="s">
        <v>34</v>
      </c>
      <c r="G112" s="6">
        <v>29.0</v>
      </c>
      <c r="H112" s="6">
        <v>1.68</v>
      </c>
      <c r="I112" s="7">
        <f t="shared" si="1"/>
        <v>27</v>
      </c>
      <c r="J112" s="7">
        <f t="shared" si="2"/>
        <v>11</v>
      </c>
      <c r="K112" s="7">
        <f t="shared" si="3"/>
        <v>2022</v>
      </c>
      <c r="L112" s="7">
        <f t="shared" si="4"/>
        <v>48.72</v>
      </c>
      <c r="M112" s="6" t="str">
        <f t="shared" si="5"/>
        <v>Cheap</v>
      </c>
    </row>
    <row r="113" ht="15.75" hidden="1" customHeight="1">
      <c r="A113" s="4" t="s">
        <v>100</v>
      </c>
      <c r="B113" s="5">
        <v>44895.0</v>
      </c>
      <c r="C113" s="6" t="s">
        <v>14</v>
      </c>
      <c r="D113" s="6" t="s">
        <v>23</v>
      </c>
      <c r="E113" s="6" t="s">
        <v>16</v>
      </c>
      <c r="F113" s="6" t="s">
        <v>17</v>
      </c>
      <c r="G113" s="6">
        <v>92.0</v>
      </c>
      <c r="H113" s="6">
        <v>1.77</v>
      </c>
      <c r="I113" s="7">
        <f t="shared" si="1"/>
        <v>30</v>
      </c>
      <c r="J113" s="7">
        <f t="shared" si="2"/>
        <v>11</v>
      </c>
      <c r="K113" s="7">
        <f t="shared" si="3"/>
        <v>2022</v>
      </c>
      <c r="L113" s="7">
        <f t="shared" si="4"/>
        <v>162.84</v>
      </c>
      <c r="M113" s="6" t="str">
        <f t="shared" si="5"/>
        <v>Expensive</v>
      </c>
    </row>
    <row r="114" ht="15.75" hidden="1" customHeight="1">
      <c r="A114" s="4" t="s">
        <v>225</v>
      </c>
      <c r="B114" s="5">
        <v>44898.0</v>
      </c>
      <c r="C114" s="6" t="s">
        <v>182</v>
      </c>
      <c r="D114" s="6" t="s">
        <v>189</v>
      </c>
      <c r="E114" s="6" t="s">
        <v>24</v>
      </c>
      <c r="F114" s="6" t="s">
        <v>28</v>
      </c>
      <c r="G114" s="6">
        <v>139.0</v>
      </c>
      <c r="H114" s="6">
        <v>2.1799999999999997</v>
      </c>
      <c r="I114" s="7">
        <f t="shared" si="1"/>
        <v>3</v>
      </c>
      <c r="J114" s="7">
        <f t="shared" si="2"/>
        <v>12</v>
      </c>
      <c r="K114" s="7">
        <f t="shared" si="3"/>
        <v>2022</v>
      </c>
      <c r="L114" s="7">
        <f t="shared" si="4"/>
        <v>303.02</v>
      </c>
      <c r="M114" s="6" t="str">
        <f t="shared" si="5"/>
        <v>Expensive</v>
      </c>
    </row>
    <row r="115" ht="15.75" hidden="1" customHeight="1">
      <c r="A115" s="4" t="s">
        <v>226</v>
      </c>
      <c r="B115" s="5">
        <v>44901.0</v>
      </c>
      <c r="C115" s="6" t="s">
        <v>182</v>
      </c>
      <c r="D115" s="6" t="s">
        <v>189</v>
      </c>
      <c r="E115" s="6" t="s">
        <v>24</v>
      </c>
      <c r="F115" s="6" t="s">
        <v>42</v>
      </c>
      <c r="G115" s="6">
        <v>29.0</v>
      </c>
      <c r="H115" s="6">
        <v>2.84</v>
      </c>
      <c r="I115" s="7">
        <f t="shared" si="1"/>
        <v>6</v>
      </c>
      <c r="J115" s="7">
        <f t="shared" si="2"/>
        <v>12</v>
      </c>
      <c r="K115" s="7">
        <f t="shared" si="3"/>
        <v>2022</v>
      </c>
      <c r="L115" s="7">
        <f t="shared" si="4"/>
        <v>82.36</v>
      </c>
      <c r="M115" s="6" t="str">
        <f t="shared" si="5"/>
        <v>Cheap</v>
      </c>
    </row>
    <row r="116" ht="15.75" hidden="1" customHeight="1">
      <c r="A116" s="4" t="s">
        <v>101</v>
      </c>
      <c r="B116" s="5">
        <v>44904.0</v>
      </c>
      <c r="C116" s="6" t="s">
        <v>14</v>
      </c>
      <c r="D116" s="6" t="s">
        <v>15</v>
      </c>
      <c r="E116" s="6" t="s">
        <v>16</v>
      </c>
      <c r="F116" s="6" t="s">
        <v>102</v>
      </c>
      <c r="G116" s="6">
        <v>30.0</v>
      </c>
      <c r="H116" s="6">
        <v>2.27</v>
      </c>
      <c r="I116" s="7">
        <f t="shared" si="1"/>
        <v>9</v>
      </c>
      <c r="J116" s="7">
        <f t="shared" si="2"/>
        <v>12</v>
      </c>
      <c r="K116" s="7">
        <f t="shared" si="3"/>
        <v>2022</v>
      </c>
      <c r="L116" s="7">
        <f t="shared" si="4"/>
        <v>68.1</v>
      </c>
      <c r="M116" s="6" t="str">
        <f t="shared" si="5"/>
        <v>Cheap</v>
      </c>
    </row>
    <row r="117" ht="15.75" hidden="1" customHeight="1">
      <c r="A117" s="4" t="s">
        <v>103</v>
      </c>
      <c r="B117" s="5">
        <v>44907.0</v>
      </c>
      <c r="C117" s="6" t="s">
        <v>14</v>
      </c>
      <c r="D117" s="6" t="s">
        <v>15</v>
      </c>
      <c r="E117" s="6" t="s">
        <v>24</v>
      </c>
      <c r="F117" s="6" t="s">
        <v>25</v>
      </c>
      <c r="G117" s="6">
        <v>36.0</v>
      </c>
      <c r="H117" s="6">
        <v>1.8699999999999999</v>
      </c>
      <c r="I117" s="7">
        <f t="shared" si="1"/>
        <v>12</v>
      </c>
      <c r="J117" s="7">
        <f t="shared" si="2"/>
        <v>12</v>
      </c>
      <c r="K117" s="7">
        <f t="shared" si="3"/>
        <v>2022</v>
      </c>
      <c r="L117" s="7">
        <f t="shared" si="4"/>
        <v>67.32</v>
      </c>
      <c r="M117" s="6" t="str">
        <f t="shared" si="5"/>
        <v>Cheap</v>
      </c>
    </row>
    <row r="118" ht="15.75" hidden="1" customHeight="1">
      <c r="A118" s="4" t="s">
        <v>104</v>
      </c>
      <c r="B118" s="5">
        <v>44910.0</v>
      </c>
      <c r="C118" s="6" t="s">
        <v>14</v>
      </c>
      <c r="D118" s="6" t="s">
        <v>15</v>
      </c>
      <c r="E118" s="6" t="s">
        <v>19</v>
      </c>
      <c r="F118" s="6" t="s">
        <v>20</v>
      </c>
      <c r="G118" s="6">
        <v>41.0</v>
      </c>
      <c r="H118" s="6">
        <v>3.49</v>
      </c>
      <c r="I118" s="7">
        <f t="shared" si="1"/>
        <v>15</v>
      </c>
      <c r="J118" s="7">
        <f t="shared" si="2"/>
        <v>12</v>
      </c>
      <c r="K118" s="7">
        <f t="shared" si="3"/>
        <v>2022</v>
      </c>
      <c r="L118" s="7">
        <f t="shared" si="4"/>
        <v>143.09</v>
      </c>
      <c r="M118" s="6" t="str">
        <f t="shared" si="5"/>
        <v>Expensive</v>
      </c>
    </row>
    <row r="119" ht="15.75" hidden="1" customHeight="1">
      <c r="A119" s="4" t="s">
        <v>227</v>
      </c>
      <c r="B119" s="5">
        <v>44913.0</v>
      </c>
      <c r="C119" s="6" t="s">
        <v>182</v>
      </c>
      <c r="D119" s="6" t="s">
        <v>183</v>
      </c>
      <c r="E119" s="6" t="s">
        <v>16</v>
      </c>
      <c r="F119" s="6" t="s">
        <v>17</v>
      </c>
      <c r="G119" s="6">
        <v>44.0</v>
      </c>
      <c r="H119" s="6">
        <v>1.7699999999999998</v>
      </c>
      <c r="I119" s="7">
        <f t="shared" si="1"/>
        <v>18</v>
      </c>
      <c r="J119" s="7">
        <f t="shared" si="2"/>
        <v>12</v>
      </c>
      <c r="K119" s="7">
        <f t="shared" si="3"/>
        <v>2022</v>
      </c>
      <c r="L119" s="7">
        <f t="shared" si="4"/>
        <v>77.88</v>
      </c>
      <c r="M119" s="6" t="str">
        <f t="shared" si="5"/>
        <v>Cheap</v>
      </c>
    </row>
    <row r="120" ht="15.75" hidden="1" customHeight="1">
      <c r="A120" s="4" t="s">
        <v>228</v>
      </c>
      <c r="B120" s="5">
        <v>44916.0</v>
      </c>
      <c r="C120" s="6" t="s">
        <v>182</v>
      </c>
      <c r="D120" s="6" t="s">
        <v>183</v>
      </c>
      <c r="E120" s="6" t="s">
        <v>33</v>
      </c>
      <c r="F120" s="6" t="s">
        <v>34</v>
      </c>
      <c r="G120" s="6">
        <v>29.0</v>
      </c>
      <c r="H120" s="6">
        <v>1.68</v>
      </c>
      <c r="I120" s="7">
        <f t="shared" si="1"/>
        <v>21</v>
      </c>
      <c r="J120" s="7">
        <f t="shared" si="2"/>
        <v>12</v>
      </c>
      <c r="K120" s="7">
        <f t="shared" si="3"/>
        <v>2022</v>
      </c>
      <c r="L120" s="7">
        <f t="shared" si="4"/>
        <v>48.72</v>
      </c>
      <c r="M120" s="6" t="str">
        <f t="shared" si="5"/>
        <v>Cheap</v>
      </c>
    </row>
    <row r="121" ht="15.75" hidden="1" customHeight="1">
      <c r="A121" s="4" t="s">
        <v>105</v>
      </c>
      <c r="B121" s="5">
        <v>44919.0</v>
      </c>
      <c r="C121" s="6" t="s">
        <v>14</v>
      </c>
      <c r="D121" s="6" t="s">
        <v>23</v>
      </c>
      <c r="E121" s="6" t="s">
        <v>24</v>
      </c>
      <c r="F121" s="6" t="s">
        <v>28</v>
      </c>
      <c r="G121" s="6">
        <v>237.0</v>
      </c>
      <c r="H121" s="6">
        <v>2.1799999999999997</v>
      </c>
      <c r="I121" s="7">
        <f t="shared" si="1"/>
        <v>24</v>
      </c>
      <c r="J121" s="7">
        <f t="shared" si="2"/>
        <v>12</v>
      </c>
      <c r="K121" s="7">
        <f t="shared" si="3"/>
        <v>2022</v>
      </c>
      <c r="L121" s="7">
        <f t="shared" si="4"/>
        <v>516.66</v>
      </c>
      <c r="M121" s="6" t="str">
        <f t="shared" si="5"/>
        <v>Expensive</v>
      </c>
    </row>
    <row r="122" ht="15.75" hidden="1" customHeight="1">
      <c r="A122" s="4" t="s">
        <v>106</v>
      </c>
      <c r="B122" s="5">
        <v>44922.0</v>
      </c>
      <c r="C122" s="6" t="s">
        <v>14</v>
      </c>
      <c r="D122" s="6" t="s">
        <v>23</v>
      </c>
      <c r="E122" s="6" t="s">
        <v>24</v>
      </c>
      <c r="F122" s="6" t="s">
        <v>25</v>
      </c>
      <c r="G122" s="6">
        <v>65.0</v>
      </c>
      <c r="H122" s="6">
        <v>1.8699999999999999</v>
      </c>
      <c r="I122" s="7">
        <f t="shared" si="1"/>
        <v>27</v>
      </c>
      <c r="J122" s="7">
        <f t="shared" si="2"/>
        <v>12</v>
      </c>
      <c r="K122" s="7">
        <f t="shared" si="3"/>
        <v>2022</v>
      </c>
      <c r="L122" s="7">
        <f t="shared" si="4"/>
        <v>121.55</v>
      </c>
      <c r="M122" s="6" t="str">
        <f t="shared" si="5"/>
        <v>Expensive</v>
      </c>
    </row>
    <row r="123" ht="15.75" hidden="1" customHeight="1">
      <c r="A123" s="4" t="s">
        <v>229</v>
      </c>
      <c r="B123" s="5">
        <v>44925.0</v>
      </c>
      <c r="C123" s="6" t="s">
        <v>182</v>
      </c>
      <c r="D123" s="6" t="s">
        <v>189</v>
      </c>
      <c r="E123" s="6" t="s">
        <v>24</v>
      </c>
      <c r="F123" s="6" t="s">
        <v>28</v>
      </c>
      <c r="G123" s="6">
        <v>83.0</v>
      </c>
      <c r="H123" s="6">
        <v>2.18</v>
      </c>
      <c r="I123" s="7">
        <f t="shared" si="1"/>
        <v>30</v>
      </c>
      <c r="J123" s="7">
        <f t="shared" si="2"/>
        <v>12</v>
      </c>
      <c r="K123" s="7">
        <f t="shared" si="3"/>
        <v>2022</v>
      </c>
      <c r="L123" s="7">
        <f t="shared" si="4"/>
        <v>180.94</v>
      </c>
      <c r="M123" s="6" t="str">
        <f t="shared" si="5"/>
        <v>Expensive</v>
      </c>
    </row>
    <row r="124" ht="15.75" customHeight="1">
      <c r="A124" s="4" t="s">
        <v>107</v>
      </c>
      <c r="B124" s="5">
        <v>44928.0</v>
      </c>
      <c r="C124" s="6" t="s">
        <v>14</v>
      </c>
      <c r="D124" s="6" t="s">
        <v>15</v>
      </c>
      <c r="E124" s="6" t="s">
        <v>24</v>
      </c>
      <c r="F124" s="6" t="s">
        <v>28</v>
      </c>
      <c r="G124" s="6">
        <v>32.0</v>
      </c>
      <c r="H124" s="6">
        <v>2.18</v>
      </c>
      <c r="I124" s="7">
        <f t="shared" si="1"/>
        <v>2</v>
      </c>
      <c r="J124" s="7">
        <f t="shared" si="2"/>
        <v>1</v>
      </c>
      <c r="K124" s="7">
        <f t="shared" si="3"/>
        <v>2023</v>
      </c>
      <c r="L124" s="7">
        <f t="shared" si="4"/>
        <v>69.76</v>
      </c>
      <c r="M124" s="6" t="str">
        <f t="shared" si="5"/>
        <v>Cheap</v>
      </c>
    </row>
    <row r="125" ht="15.75" customHeight="1">
      <c r="A125" s="4" t="s">
        <v>108</v>
      </c>
      <c r="B125" s="5">
        <v>44931.0</v>
      </c>
      <c r="C125" s="6" t="s">
        <v>14</v>
      </c>
      <c r="D125" s="6" t="s">
        <v>15</v>
      </c>
      <c r="E125" s="6" t="s">
        <v>16</v>
      </c>
      <c r="F125" s="6" t="s">
        <v>17</v>
      </c>
      <c r="G125" s="6">
        <v>63.0</v>
      </c>
      <c r="H125" s="6">
        <v>1.77</v>
      </c>
      <c r="I125" s="7">
        <f t="shared" si="1"/>
        <v>5</v>
      </c>
      <c r="J125" s="7">
        <f t="shared" si="2"/>
        <v>1</v>
      </c>
      <c r="K125" s="7">
        <f t="shared" si="3"/>
        <v>2023</v>
      </c>
      <c r="L125" s="7">
        <f t="shared" si="4"/>
        <v>111.51</v>
      </c>
      <c r="M125" s="6" t="str">
        <f t="shared" si="5"/>
        <v>Expensive</v>
      </c>
    </row>
    <row r="126" ht="15.75" customHeight="1">
      <c r="A126" s="4" t="s">
        <v>109</v>
      </c>
      <c r="B126" s="5">
        <v>44934.0</v>
      </c>
      <c r="C126" s="6" t="s">
        <v>14</v>
      </c>
      <c r="D126" s="6" t="s">
        <v>15</v>
      </c>
      <c r="E126" s="6" t="s">
        <v>33</v>
      </c>
      <c r="F126" s="6" t="s">
        <v>85</v>
      </c>
      <c r="G126" s="6">
        <v>29.0</v>
      </c>
      <c r="H126" s="6">
        <v>3.15</v>
      </c>
      <c r="I126" s="7">
        <f t="shared" si="1"/>
        <v>8</v>
      </c>
      <c r="J126" s="7">
        <f t="shared" si="2"/>
        <v>1</v>
      </c>
      <c r="K126" s="7">
        <f t="shared" si="3"/>
        <v>2023</v>
      </c>
      <c r="L126" s="7">
        <f t="shared" si="4"/>
        <v>91.35</v>
      </c>
      <c r="M126" s="6" t="str">
        <f t="shared" si="5"/>
        <v>Cheap</v>
      </c>
    </row>
    <row r="127" ht="15.75" customHeight="1">
      <c r="A127" s="4" t="s">
        <v>230</v>
      </c>
      <c r="B127" s="5">
        <v>44937.0</v>
      </c>
      <c r="C127" s="6" t="s">
        <v>182</v>
      </c>
      <c r="D127" s="6" t="s">
        <v>183</v>
      </c>
      <c r="E127" s="6" t="s">
        <v>16</v>
      </c>
      <c r="F127" s="6" t="s">
        <v>49</v>
      </c>
      <c r="G127" s="6">
        <v>77.0</v>
      </c>
      <c r="H127" s="6">
        <v>1.87</v>
      </c>
      <c r="I127" s="7">
        <f t="shared" si="1"/>
        <v>11</v>
      </c>
      <c r="J127" s="7">
        <f t="shared" si="2"/>
        <v>1</v>
      </c>
      <c r="K127" s="7">
        <f t="shared" si="3"/>
        <v>2023</v>
      </c>
      <c r="L127" s="7">
        <f t="shared" si="4"/>
        <v>143.99</v>
      </c>
      <c r="M127" s="6" t="str">
        <f t="shared" si="5"/>
        <v>Expensive</v>
      </c>
    </row>
    <row r="128" ht="15.75" customHeight="1">
      <c r="A128" s="4" t="s">
        <v>231</v>
      </c>
      <c r="B128" s="5">
        <v>44940.0</v>
      </c>
      <c r="C128" s="6" t="s">
        <v>182</v>
      </c>
      <c r="D128" s="6" t="s">
        <v>183</v>
      </c>
      <c r="E128" s="6" t="s">
        <v>24</v>
      </c>
      <c r="F128" s="6" t="s">
        <v>42</v>
      </c>
      <c r="G128" s="6">
        <v>80.0</v>
      </c>
      <c r="H128" s="6">
        <v>2.84</v>
      </c>
      <c r="I128" s="7">
        <f t="shared" si="1"/>
        <v>14</v>
      </c>
      <c r="J128" s="7">
        <f t="shared" si="2"/>
        <v>1</v>
      </c>
      <c r="K128" s="7">
        <f t="shared" si="3"/>
        <v>2023</v>
      </c>
      <c r="L128" s="7">
        <f t="shared" si="4"/>
        <v>227.2</v>
      </c>
      <c r="M128" s="6" t="str">
        <f t="shared" si="5"/>
        <v>Expensive</v>
      </c>
    </row>
    <row r="129" ht="15.75" customHeight="1">
      <c r="A129" s="4" t="s">
        <v>110</v>
      </c>
      <c r="B129" s="5">
        <v>44943.0</v>
      </c>
      <c r="C129" s="6" t="s">
        <v>14</v>
      </c>
      <c r="D129" s="6" t="s">
        <v>23</v>
      </c>
      <c r="E129" s="6" t="s">
        <v>16</v>
      </c>
      <c r="F129" s="6" t="s">
        <v>17</v>
      </c>
      <c r="G129" s="6">
        <v>102.0</v>
      </c>
      <c r="H129" s="6">
        <v>1.77</v>
      </c>
      <c r="I129" s="7">
        <f t="shared" si="1"/>
        <v>17</v>
      </c>
      <c r="J129" s="7">
        <f t="shared" si="2"/>
        <v>1</v>
      </c>
      <c r="K129" s="7">
        <f t="shared" si="3"/>
        <v>2023</v>
      </c>
      <c r="L129" s="7">
        <f t="shared" si="4"/>
        <v>180.54</v>
      </c>
      <c r="M129" s="6" t="str">
        <f t="shared" si="5"/>
        <v>Expensive</v>
      </c>
    </row>
    <row r="130" ht="15.75" customHeight="1">
      <c r="A130" s="4" t="s">
        <v>111</v>
      </c>
      <c r="B130" s="5">
        <v>44946.0</v>
      </c>
      <c r="C130" s="6" t="s">
        <v>14</v>
      </c>
      <c r="D130" s="6" t="s">
        <v>23</v>
      </c>
      <c r="E130" s="6" t="s">
        <v>19</v>
      </c>
      <c r="F130" s="6" t="s">
        <v>20</v>
      </c>
      <c r="G130" s="6">
        <v>31.0</v>
      </c>
      <c r="H130" s="6">
        <v>3.4899999999999998</v>
      </c>
      <c r="I130" s="7">
        <f t="shared" si="1"/>
        <v>20</v>
      </c>
      <c r="J130" s="7">
        <f t="shared" si="2"/>
        <v>1</v>
      </c>
      <c r="K130" s="7">
        <f t="shared" si="3"/>
        <v>2023</v>
      </c>
      <c r="L130" s="7">
        <f t="shared" si="4"/>
        <v>108.19</v>
      </c>
      <c r="M130" s="6" t="str">
        <f t="shared" si="5"/>
        <v>Expensive</v>
      </c>
    </row>
    <row r="131" ht="15.75" customHeight="1">
      <c r="A131" s="4" t="s">
        <v>232</v>
      </c>
      <c r="B131" s="5">
        <v>44949.0</v>
      </c>
      <c r="C131" s="6" t="s">
        <v>182</v>
      </c>
      <c r="D131" s="6" t="s">
        <v>189</v>
      </c>
      <c r="E131" s="6" t="s">
        <v>16</v>
      </c>
      <c r="F131" s="6" t="s">
        <v>17</v>
      </c>
      <c r="G131" s="6">
        <v>56.0</v>
      </c>
      <c r="H131" s="6">
        <v>1.77</v>
      </c>
      <c r="I131" s="7">
        <f t="shared" si="1"/>
        <v>23</v>
      </c>
      <c r="J131" s="7">
        <f t="shared" si="2"/>
        <v>1</v>
      </c>
      <c r="K131" s="7">
        <f t="shared" si="3"/>
        <v>2023</v>
      </c>
      <c r="L131" s="7">
        <f t="shared" si="4"/>
        <v>99.12</v>
      </c>
      <c r="M131" s="6" t="str">
        <f t="shared" si="5"/>
        <v>Cheap</v>
      </c>
    </row>
    <row r="132" ht="15.75" customHeight="1">
      <c r="A132" s="4" t="s">
        <v>112</v>
      </c>
      <c r="B132" s="5">
        <v>44952.0</v>
      </c>
      <c r="C132" s="6" t="s">
        <v>14</v>
      </c>
      <c r="D132" s="6" t="s">
        <v>15</v>
      </c>
      <c r="E132" s="6" t="s">
        <v>24</v>
      </c>
      <c r="F132" s="6" t="s">
        <v>28</v>
      </c>
      <c r="G132" s="6">
        <v>52.0</v>
      </c>
      <c r="H132" s="6">
        <v>2.18</v>
      </c>
      <c r="I132" s="7">
        <f t="shared" si="1"/>
        <v>26</v>
      </c>
      <c r="J132" s="7">
        <f t="shared" si="2"/>
        <v>1</v>
      </c>
      <c r="K132" s="7">
        <f t="shared" si="3"/>
        <v>2023</v>
      </c>
      <c r="L132" s="7">
        <f t="shared" si="4"/>
        <v>113.36</v>
      </c>
      <c r="M132" s="6" t="str">
        <f t="shared" si="5"/>
        <v>Expensive</v>
      </c>
    </row>
    <row r="133" ht="15.75" customHeight="1">
      <c r="A133" s="4" t="s">
        <v>113</v>
      </c>
      <c r="B133" s="5">
        <v>44955.0</v>
      </c>
      <c r="C133" s="6" t="s">
        <v>14</v>
      </c>
      <c r="D133" s="6" t="s">
        <v>15</v>
      </c>
      <c r="E133" s="6" t="s">
        <v>16</v>
      </c>
      <c r="F133" s="6" t="s">
        <v>17</v>
      </c>
      <c r="G133" s="6">
        <v>51.0</v>
      </c>
      <c r="H133" s="6">
        <v>1.77</v>
      </c>
      <c r="I133" s="7">
        <f t="shared" si="1"/>
        <v>29</v>
      </c>
      <c r="J133" s="7">
        <f t="shared" si="2"/>
        <v>1</v>
      </c>
      <c r="K133" s="7">
        <f t="shared" si="3"/>
        <v>2023</v>
      </c>
      <c r="L133" s="7">
        <f t="shared" si="4"/>
        <v>90.27</v>
      </c>
      <c r="M133" s="6" t="str">
        <f t="shared" si="5"/>
        <v>Cheap</v>
      </c>
    </row>
    <row r="134" ht="15.75" customHeight="1">
      <c r="A134" s="4" t="s">
        <v>114</v>
      </c>
      <c r="B134" s="5">
        <v>44958.0</v>
      </c>
      <c r="C134" s="6" t="s">
        <v>14</v>
      </c>
      <c r="D134" s="6" t="s">
        <v>15</v>
      </c>
      <c r="E134" s="6" t="s">
        <v>33</v>
      </c>
      <c r="F134" s="6" t="s">
        <v>34</v>
      </c>
      <c r="G134" s="6">
        <v>24.0</v>
      </c>
      <c r="H134" s="6">
        <v>1.68</v>
      </c>
      <c r="I134" s="7">
        <f t="shared" si="1"/>
        <v>1</v>
      </c>
      <c r="J134" s="7">
        <f t="shared" si="2"/>
        <v>2</v>
      </c>
      <c r="K134" s="7">
        <f t="shared" si="3"/>
        <v>2023</v>
      </c>
      <c r="L134" s="7">
        <f t="shared" si="4"/>
        <v>40.32</v>
      </c>
      <c r="M134" s="6" t="str">
        <f t="shared" si="5"/>
        <v>Cheap</v>
      </c>
    </row>
    <row r="135" ht="15.75" customHeight="1">
      <c r="A135" s="4" t="s">
        <v>233</v>
      </c>
      <c r="B135" s="5">
        <v>44961.0</v>
      </c>
      <c r="C135" s="6" t="s">
        <v>182</v>
      </c>
      <c r="D135" s="6" t="s">
        <v>183</v>
      </c>
      <c r="E135" s="6" t="s">
        <v>24</v>
      </c>
      <c r="F135" s="6" t="s">
        <v>28</v>
      </c>
      <c r="G135" s="6">
        <v>58.0</v>
      </c>
      <c r="H135" s="6">
        <v>2.18</v>
      </c>
      <c r="I135" s="7">
        <f t="shared" si="1"/>
        <v>4</v>
      </c>
      <c r="J135" s="7">
        <f t="shared" si="2"/>
        <v>2</v>
      </c>
      <c r="K135" s="7">
        <f t="shared" si="3"/>
        <v>2023</v>
      </c>
      <c r="L135" s="7">
        <f t="shared" si="4"/>
        <v>126.44</v>
      </c>
      <c r="M135" s="6" t="str">
        <f t="shared" si="5"/>
        <v>Expensive</v>
      </c>
    </row>
    <row r="136" ht="15.75" customHeight="1">
      <c r="A136" s="4" t="s">
        <v>234</v>
      </c>
      <c r="B136" s="5">
        <v>44964.0</v>
      </c>
      <c r="C136" s="6" t="s">
        <v>182</v>
      </c>
      <c r="D136" s="6" t="s">
        <v>183</v>
      </c>
      <c r="E136" s="6" t="s">
        <v>24</v>
      </c>
      <c r="F136" s="6" t="s">
        <v>25</v>
      </c>
      <c r="G136" s="6">
        <v>34.0</v>
      </c>
      <c r="H136" s="6">
        <v>1.8699999999999999</v>
      </c>
      <c r="I136" s="7">
        <f t="shared" si="1"/>
        <v>7</v>
      </c>
      <c r="J136" s="7">
        <f t="shared" si="2"/>
        <v>2</v>
      </c>
      <c r="K136" s="7">
        <f t="shared" si="3"/>
        <v>2023</v>
      </c>
      <c r="L136" s="7">
        <f t="shared" si="4"/>
        <v>63.58</v>
      </c>
      <c r="M136" s="6" t="str">
        <f t="shared" si="5"/>
        <v>Cheap</v>
      </c>
    </row>
    <row r="137" ht="15.75" customHeight="1">
      <c r="A137" s="4" t="s">
        <v>115</v>
      </c>
      <c r="B137" s="5">
        <v>44967.0</v>
      </c>
      <c r="C137" s="6" t="s">
        <v>14</v>
      </c>
      <c r="D137" s="6" t="s">
        <v>23</v>
      </c>
      <c r="E137" s="6" t="s">
        <v>16</v>
      </c>
      <c r="F137" s="6" t="s">
        <v>17</v>
      </c>
      <c r="G137" s="6">
        <v>34.0</v>
      </c>
      <c r="H137" s="6">
        <v>1.77</v>
      </c>
      <c r="I137" s="7">
        <f t="shared" si="1"/>
        <v>10</v>
      </c>
      <c r="J137" s="7">
        <f t="shared" si="2"/>
        <v>2</v>
      </c>
      <c r="K137" s="7">
        <f t="shared" si="3"/>
        <v>2023</v>
      </c>
      <c r="L137" s="7">
        <f t="shared" si="4"/>
        <v>60.18</v>
      </c>
      <c r="M137" s="6" t="str">
        <f t="shared" si="5"/>
        <v>Cheap</v>
      </c>
    </row>
    <row r="138" ht="15.75" customHeight="1">
      <c r="A138" s="4" t="s">
        <v>116</v>
      </c>
      <c r="B138" s="5">
        <v>44970.0</v>
      </c>
      <c r="C138" s="6" t="s">
        <v>14</v>
      </c>
      <c r="D138" s="6" t="s">
        <v>23</v>
      </c>
      <c r="E138" s="6" t="s">
        <v>33</v>
      </c>
      <c r="F138" s="6" t="s">
        <v>34</v>
      </c>
      <c r="G138" s="6">
        <v>21.0</v>
      </c>
      <c r="H138" s="6">
        <v>1.6800000000000002</v>
      </c>
      <c r="I138" s="7">
        <f t="shared" si="1"/>
        <v>13</v>
      </c>
      <c r="J138" s="7">
        <f t="shared" si="2"/>
        <v>2</v>
      </c>
      <c r="K138" s="7">
        <f t="shared" si="3"/>
        <v>2023</v>
      </c>
      <c r="L138" s="7">
        <f t="shared" si="4"/>
        <v>35.28</v>
      </c>
      <c r="M138" s="6" t="str">
        <f t="shared" si="5"/>
        <v>Cheap</v>
      </c>
    </row>
    <row r="139" ht="15.75" customHeight="1">
      <c r="A139" s="4" t="s">
        <v>235</v>
      </c>
      <c r="B139" s="5">
        <v>44973.0</v>
      </c>
      <c r="C139" s="6" t="s">
        <v>182</v>
      </c>
      <c r="D139" s="6" t="s">
        <v>189</v>
      </c>
      <c r="E139" s="6" t="s">
        <v>24</v>
      </c>
      <c r="F139" s="6" t="s">
        <v>42</v>
      </c>
      <c r="G139" s="6">
        <v>29.0</v>
      </c>
      <c r="H139" s="6">
        <v>2.84</v>
      </c>
      <c r="I139" s="7">
        <f t="shared" si="1"/>
        <v>16</v>
      </c>
      <c r="J139" s="7">
        <f t="shared" si="2"/>
        <v>2</v>
      </c>
      <c r="K139" s="7">
        <f t="shared" si="3"/>
        <v>2023</v>
      </c>
      <c r="L139" s="7">
        <f t="shared" si="4"/>
        <v>82.36</v>
      </c>
      <c r="M139" s="6" t="str">
        <f t="shared" si="5"/>
        <v>Cheap</v>
      </c>
    </row>
    <row r="140" ht="15.75" customHeight="1">
      <c r="A140" s="4" t="s">
        <v>117</v>
      </c>
      <c r="B140" s="5">
        <v>44976.0</v>
      </c>
      <c r="C140" s="6" t="s">
        <v>14</v>
      </c>
      <c r="D140" s="6" t="s">
        <v>15</v>
      </c>
      <c r="E140" s="6" t="s">
        <v>16</v>
      </c>
      <c r="F140" s="6" t="s">
        <v>17</v>
      </c>
      <c r="G140" s="6">
        <v>68.0</v>
      </c>
      <c r="H140" s="6">
        <v>1.77</v>
      </c>
      <c r="I140" s="7">
        <f t="shared" si="1"/>
        <v>19</v>
      </c>
      <c r="J140" s="7">
        <f t="shared" si="2"/>
        <v>2</v>
      </c>
      <c r="K140" s="7">
        <f t="shared" si="3"/>
        <v>2023</v>
      </c>
      <c r="L140" s="7">
        <f t="shared" si="4"/>
        <v>120.36</v>
      </c>
      <c r="M140" s="6" t="str">
        <f t="shared" si="5"/>
        <v>Expensive</v>
      </c>
    </row>
    <row r="141" ht="15.75" customHeight="1">
      <c r="A141" s="4" t="s">
        <v>118</v>
      </c>
      <c r="B141" s="5">
        <v>44979.0</v>
      </c>
      <c r="C141" s="6" t="s">
        <v>14</v>
      </c>
      <c r="D141" s="6" t="s">
        <v>15</v>
      </c>
      <c r="E141" s="6" t="s">
        <v>33</v>
      </c>
      <c r="F141" s="6" t="s">
        <v>85</v>
      </c>
      <c r="G141" s="6">
        <v>31.0</v>
      </c>
      <c r="H141" s="6">
        <v>3.1500000000000004</v>
      </c>
      <c r="I141" s="7">
        <f t="shared" si="1"/>
        <v>22</v>
      </c>
      <c r="J141" s="7">
        <f t="shared" si="2"/>
        <v>2</v>
      </c>
      <c r="K141" s="7">
        <f t="shared" si="3"/>
        <v>2023</v>
      </c>
      <c r="L141" s="7">
        <f t="shared" si="4"/>
        <v>97.65</v>
      </c>
      <c r="M141" s="6" t="str">
        <f t="shared" si="5"/>
        <v>Cheap</v>
      </c>
    </row>
    <row r="142" ht="15.75" customHeight="1">
      <c r="A142" s="4" t="s">
        <v>236</v>
      </c>
      <c r="B142" s="5">
        <v>44982.0</v>
      </c>
      <c r="C142" s="6" t="s">
        <v>182</v>
      </c>
      <c r="D142" s="6" t="s">
        <v>183</v>
      </c>
      <c r="E142" s="6" t="s">
        <v>24</v>
      </c>
      <c r="F142" s="6" t="s">
        <v>28</v>
      </c>
      <c r="G142" s="6">
        <v>30.0</v>
      </c>
      <c r="H142" s="6">
        <v>2.18</v>
      </c>
      <c r="I142" s="7">
        <f t="shared" si="1"/>
        <v>25</v>
      </c>
      <c r="J142" s="7">
        <f t="shared" si="2"/>
        <v>2</v>
      </c>
      <c r="K142" s="7">
        <f t="shared" si="3"/>
        <v>2023</v>
      </c>
      <c r="L142" s="7">
        <f t="shared" si="4"/>
        <v>65.4</v>
      </c>
      <c r="M142" s="6" t="str">
        <f t="shared" si="5"/>
        <v>Cheap</v>
      </c>
    </row>
    <row r="143" ht="15.75" customHeight="1">
      <c r="A143" s="4" t="s">
        <v>237</v>
      </c>
      <c r="B143" s="5">
        <v>44985.0</v>
      </c>
      <c r="C143" s="6" t="s">
        <v>182</v>
      </c>
      <c r="D143" s="6" t="s">
        <v>183</v>
      </c>
      <c r="E143" s="6" t="s">
        <v>24</v>
      </c>
      <c r="F143" s="6" t="s">
        <v>25</v>
      </c>
      <c r="G143" s="6">
        <v>232.0</v>
      </c>
      <c r="H143" s="6">
        <v>1.8699999999999999</v>
      </c>
      <c r="I143" s="7">
        <f t="shared" si="1"/>
        <v>28</v>
      </c>
      <c r="J143" s="7">
        <f t="shared" si="2"/>
        <v>2</v>
      </c>
      <c r="K143" s="7">
        <f t="shared" si="3"/>
        <v>2023</v>
      </c>
      <c r="L143" s="7">
        <f t="shared" si="4"/>
        <v>433.84</v>
      </c>
      <c r="M143" s="6" t="str">
        <f t="shared" si="5"/>
        <v>Expensive</v>
      </c>
    </row>
    <row r="144" ht="15.75" hidden="1" customHeight="1">
      <c r="A144" s="4" t="s">
        <v>119</v>
      </c>
      <c r="B144" s="5">
        <v>44987.0</v>
      </c>
      <c r="C144" s="6" t="s">
        <v>14</v>
      </c>
      <c r="D144" s="6" t="s">
        <v>23</v>
      </c>
      <c r="E144" s="6" t="s">
        <v>16</v>
      </c>
      <c r="F144" s="6" t="s">
        <v>49</v>
      </c>
      <c r="G144" s="6">
        <v>68.0</v>
      </c>
      <c r="H144" s="6">
        <v>1.8699999999999999</v>
      </c>
      <c r="I144" s="7">
        <f t="shared" si="1"/>
        <v>2</v>
      </c>
      <c r="J144" s="7">
        <f t="shared" si="2"/>
        <v>3</v>
      </c>
      <c r="K144" s="7">
        <f t="shared" si="3"/>
        <v>2023</v>
      </c>
      <c r="L144" s="7">
        <f t="shared" si="4"/>
        <v>127.16</v>
      </c>
      <c r="M144" s="6" t="str">
        <f t="shared" si="5"/>
        <v>Expensive</v>
      </c>
    </row>
    <row r="145" ht="15.75" hidden="1" customHeight="1">
      <c r="A145" s="4" t="s">
        <v>120</v>
      </c>
      <c r="B145" s="5">
        <v>44990.0</v>
      </c>
      <c r="C145" s="6" t="s">
        <v>14</v>
      </c>
      <c r="D145" s="6" t="s">
        <v>23</v>
      </c>
      <c r="E145" s="6" t="s">
        <v>24</v>
      </c>
      <c r="F145" s="6" t="s">
        <v>42</v>
      </c>
      <c r="G145" s="6">
        <v>97.0</v>
      </c>
      <c r="H145" s="6">
        <v>2.8400000000000003</v>
      </c>
      <c r="I145" s="7">
        <f t="shared" si="1"/>
        <v>5</v>
      </c>
      <c r="J145" s="7">
        <f t="shared" si="2"/>
        <v>3</v>
      </c>
      <c r="K145" s="7">
        <f t="shared" si="3"/>
        <v>2023</v>
      </c>
      <c r="L145" s="7">
        <f t="shared" si="4"/>
        <v>275.48</v>
      </c>
      <c r="M145" s="6" t="str">
        <f t="shared" si="5"/>
        <v>Expensive</v>
      </c>
    </row>
    <row r="146" ht="15.75" hidden="1" customHeight="1">
      <c r="A146" s="4" t="s">
        <v>238</v>
      </c>
      <c r="B146" s="5">
        <v>44993.0</v>
      </c>
      <c r="C146" s="6" t="s">
        <v>182</v>
      </c>
      <c r="D146" s="6" t="s">
        <v>189</v>
      </c>
      <c r="E146" s="6" t="s">
        <v>16</v>
      </c>
      <c r="F146" s="6" t="s">
        <v>49</v>
      </c>
      <c r="G146" s="6">
        <v>86.0</v>
      </c>
      <c r="H146" s="6">
        <v>1.8699999999999999</v>
      </c>
      <c r="I146" s="7">
        <f t="shared" si="1"/>
        <v>8</v>
      </c>
      <c r="J146" s="7">
        <f t="shared" si="2"/>
        <v>3</v>
      </c>
      <c r="K146" s="7">
        <f t="shared" si="3"/>
        <v>2023</v>
      </c>
      <c r="L146" s="7">
        <f t="shared" si="4"/>
        <v>160.82</v>
      </c>
      <c r="M146" s="6" t="str">
        <f t="shared" si="5"/>
        <v>Expensive</v>
      </c>
    </row>
    <row r="147" ht="15.75" hidden="1" customHeight="1">
      <c r="A147" s="4" t="s">
        <v>239</v>
      </c>
      <c r="B147" s="5">
        <v>44996.0</v>
      </c>
      <c r="C147" s="6" t="s">
        <v>182</v>
      </c>
      <c r="D147" s="6" t="s">
        <v>189</v>
      </c>
      <c r="E147" s="6" t="s">
        <v>33</v>
      </c>
      <c r="F147" s="6" t="s">
        <v>34</v>
      </c>
      <c r="G147" s="6">
        <v>41.0</v>
      </c>
      <c r="H147" s="6">
        <v>1.68</v>
      </c>
      <c r="I147" s="7">
        <f t="shared" si="1"/>
        <v>11</v>
      </c>
      <c r="J147" s="7">
        <f t="shared" si="2"/>
        <v>3</v>
      </c>
      <c r="K147" s="7">
        <f t="shared" si="3"/>
        <v>2023</v>
      </c>
      <c r="L147" s="7">
        <f t="shared" si="4"/>
        <v>68.88</v>
      </c>
      <c r="M147" s="6" t="str">
        <f t="shared" si="5"/>
        <v>Cheap</v>
      </c>
    </row>
    <row r="148" ht="15.75" hidden="1" customHeight="1">
      <c r="A148" s="4" t="s">
        <v>121</v>
      </c>
      <c r="B148" s="5">
        <v>44999.0</v>
      </c>
      <c r="C148" s="6" t="s">
        <v>14</v>
      </c>
      <c r="D148" s="6" t="s">
        <v>15</v>
      </c>
      <c r="E148" s="6" t="s">
        <v>16</v>
      </c>
      <c r="F148" s="6" t="s">
        <v>17</v>
      </c>
      <c r="G148" s="6">
        <v>93.0</v>
      </c>
      <c r="H148" s="6">
        <v>1.7700000000000002</v>
      </c>
      <c r="I148" s="7">
        <f t="shared" si="1"/>
        <v>14</v>
      </c>
      <c r="J148" s="7">
        <f t="shared" si="2"/>
        <v>3</v>
      </c>
      <c r="K148" s="7">
        <f t="shared" si="3"/>
        <v>2023</v>
      </c>
      <c r="L148" s="7">
        <f t="shared" si="4"/>
        <v>164.61</v>
      </c>
      <c r="M148" s="6" t="str">
        <f t="shared" si="5"/>
        <v>Expensive</v>
      </c>
    </row>
    <row r="149" ht="15.75" hidden="1" customHeight="1">
      <c r="A149" s="4" t="s">
        <v>122</v>
      </c>
      <c r="B149" s="5">
        <v>45002.0</v>
      </c>
      <c r="C149" s="6" t="s">
        <v>14</v>
      </c>
      <c r="D149" s="6" t="s">
        <v>15</v>
      </c>
      <c r="E149" s="6" t="s">
        <v>33</v>
      </c>
      <c r="F149" s="6" t="s">
        <v>34</v>
      </c>
      <c r="G149" s="6">
        <v>47.0</v>
      </c>
      <c r="H149" s="6">
        <v>1.68</v>
      </c>
      <c r="I149" s="7">
        <f t="shared" si="1"/>
        <v>17</v>
      </c>
      <c r="J149" s="7">
        <f t="shared" si="2"/>
        <v>3</v>
      </c>
      <c r="K149" s="7">
        <f t="shared" si="3"/>
        <v>2023</v>
      </c>
      <c r="L149" s="7">
        <f t="shared" si="4"/>
        <v>78.96</v>
      </c>
      <c r="M149" s="6" t="str">
        <f t="shared" si="5"/>
        <v>Cheap</v>
      </c>
    </row>
    <row r="150" ht="15.75" hidden="1" customHeight="1">
      <c r="A150" s="4" t="s">
        <v>240</v>
      </c>
      <c r="B150" s="5">
        <v>45005.0</v>
      </c>
      <c r="C150" s="6" t="s">
        <v>182</v>
      </c>
      <c r="D150" s="6" t="s">
        <v>183</v>
      </c>
      <c r="E150" s="6" t="s">
        <v>16</v>
      </c>
      <c r="F150" s="6" t="s">
        <v>17</v>
      </c>
      <c r="G150" s="6">
        <v>103.0</v>
      </c>
      <c r="H150" s="6">
        <v>1.77</v>
      </c>
      <c r="I150" s="7">
        <f t="shared" si="1"/>
        <v>20</v>
      </c>
      <c r="J150" s="7">
        <f t="shared" si="2"/>
        <v>3</v>
      </c>
      <c r="K150" s="7">
        <f t="shared" si="3"/>
        <v>2023</v>
      </c>
      <c r="L150" s="7">
        <f t="shared" si="4"/>
        <v>182.31</v>
      </c>
      <c r="M150" s="6" t="str">
        <f t="shared" si="5"/>
        <v>Expensive</v>
      </c>
    </row>
    <row r="151" ht="15.75" hidden="1" customHeight="1">
      <c r="A151" s="4" t="s">
        <v>241</v>
      </c>
      <c r="B151" s="5">
        <v>45008.0</v>
      </c>
      <c r="C151" s="6" t="s">
        <v>182</v>
      </c>
      <c r="D151" s="6" t="s">
        <v>183</v>
      </c>
      <c r="E151" s="6" t="s">
        <v>33</v>
      </c>
      <c r="F151" s="6" t="s">
        <v>34</v>
      </c>
      <c r="G151" s="6">
        <v>33.0</v>
      </c>
      <c r="H151" s="6">
        <v>1.68</v>
      </c>
      <c r="I151" s="7">
        <f t="shared" si="1"/>
        <v>23</v>
      </c>
      <c r="J151" s="7">
        <f t="shared" si="2"/>
        <v>3</v>
      </c>
      <c r="K151" s="7">
        <f t="shared" si="3"/>
        <v>2023</v>
      </c>
      <c r="L151" s="7">
        <f t="shared" si="4"/>
        <v>55.44</v>
      </c>
      <c r="M151" s="6" t="str">
        <f t="shared" si="5"/>
        <v>Cheap</v>
      </c>
    </row>
    <row r="152" ht="15.75" hidden="1" customHeight="1">
      <c r="A152" s="4" t="s">
        <v>123</v>
      </c>
      <c r="B152" s="5">
        <v>45011.0</v>
      </c>
      <c r="C152" s="6" t="s">
        <v>14</v>
      </c>
      <c r="D152" s="6" t="s">
        <v>23</v>
      </c>
      <c r="E152" s="6" t="s">
        <v>16</v>
      </c>
      <c r="F152" s="6" t="s">
        <v>49</v>
      </c>
      <c r="G152" s="6">
        <v>57.0</v>
      </c>
      <c r="H152" s="6">
        <v>1.87</v>
      </c>
      <c r="I152" s="7">
        <f t="shared" si="1"/>
        <v>26</v>
      </c>
      <c r="J152" s="7">
        <f t="shared" si="2"/>
        <v>3</v>
      </c>
      <c r="K152" s="7">
        <f t="shared" si="3"/>
        <v>2023</v>
      </c>
      <c r="L152" s="7">
        <f t="shared" si="4"/>
        <v>106.59</v>
      </c>
      <c r="M152" s="6" t="str">
        <f t="shared" si="5"/>
        <v>Expensive</v>
      </c>
      <c r="P152" s="10"/>
      <c r="Q152" s="11"/>
      <c r="R152" s="11"/>
      <c r="S152" s="11"/>
      <c r="T152" s="11"/>
      <c r="U152" s="11"/>
      <c r="V152" s="11"/>
    </row>
    <row r="153" ht="15.75" hidden="1" customHeight="1">
      <c r="A153" s="4" t="s">
        <v>124</v>
      </c>
      <c r="B153" s="5">
        <v>45014.0</v>
      </c>
      <c r="C153" s="6" t="s">
        <v>14</v>
      </c>
      <c r="D153" s="6" t="s">
        <v>23</v>
      </c>
      <c r="E153" s="6" t="s">
        <v>24</v>
      </c>
      <c r="F153" s="6" t="s">
        <v>42</v>
      </c>
      <c r="G153" s="6">
        <v>65.0</v>
      </c>
      <c r="H153" s="6">
        <v>2.84</v>
      </c>
      <c r="I153" s="7">
        <f t="shared" si="1"/>
        <v>29</v>
      </c>
      <c r="J153" s="7">
        <f t="shared" si="2"/>
        <v>3</v>
      </c>
      <c r="K153" s="7">
        <f t="shared" si="3"/>
        <v>2023</v>
      </c>
      <c r="L153" s="7">
        <f t="shared" si="4"/>
        <v>184.6</v>
      </c>
      <c r="M153" s="6" t="str">
        <f t="shared" si="5"/>
        <v>Expensive</v>
      </c>
    </row>
    <row r="154" ht="15.75" hidden="1" customHeight="1">
      <c r="A154" s="4" t="s">
        <v>242</v>
      </c>
      <c r="B154" s="5">
        <v>45017.0</v>
      </c>
      <c r="C154" s="6" t="s">
        <v>182</v>
      </c>
      <c r="D154" s="6" t="s">
        <v>189</v>
      </c>
      <c r="E154" s="6" t="s">
        <v>16</v>
      </c>
      <c r="F154" s="6" t="s">
        <v>17</v>
      </c>
      <c r="G154" s="6">
        <v>118.0</v>
      </c>
      <c r="H154" s="6">
        <v>1.77</v>
      </c>
      <c r="I154" s="7">
        <f t="shared" si="1"/>
        <v>1</v>
      </c>
      <c r="J154" s="7">
        <f t="shared" si="2"/>
        <v>4</v>
      </c>
      <c r="K154" s="7">
        <f t="shared" si="3"/>
        <v>2023</v>
      </c>
      <c r="L154" s="7">
        <f t="shared" si="4"/>
        <v>208.86</v>
      </c>
      <c r="M154" s="6" t="str">
        <f t="shared" si="5"/>
        <v>Expensive</v>
      </c>
    </row>
    <row r="155" ht="15.75" hidden="1" customHeight="1">
      <c r="A155" s="4" t="s">
        <v>125</v>
      </c>
      <c r="B155" s="5">
        <v>45020.0</v>
      </c>
      <c r="C155" s="6" t="s">
        <v>14</v>
      </c>
      <c r="D155" s="6" t="s">
        <v>15</v>
      </c>
      <c r="E155" s="6" t="s">
        <v>24</v>
      </c>
      <c r="F155" s="6" t="s">
        <v>28</v>
      </c>
      <c r="G155" s="6">
        <v>36.0</v>
      </c>
      <c r="H155" s="6">
        <v>2.18</v>
      </c>
      <c r="I155" s="7">
        <f t="shared" si="1"/>
        <v>4</v>
      </c>
      <c r="J155" s="7">
        <f t="shared" si="2"/>
        <v>4</v>
      </c>
      <c r="K155" s="7">
        <f t="shared" si="3"/>
        <v>2023</v>
      </c>
      <c r="L155" s="7">
        <f t="shared" si="4"/>
        <v>78.48</v>
      </c>
      <c r="M155" s="6" t="str">
        <f t="shared" si="5"/>
        <v>Cheap</v>
      </c>
    </row>
    <row r="156" ht="15.75" hidden="1" customHeight="1">
      <c r="A156" s="4" t="s">
        <v>126</v>
      </c>
      <c r="B156" s="5">
        <v>45023.0</v>
      </c>
      <c r="C156" s="6" t="s">
        <v>14</v>
      </c>
      <c r="D156" s="6" t="s">
        <v>15</v>
      </c>
      <c r="E156" s="6" t="s">
        <v>24</v>
      </c>
      <c r="F156" s="6" t="s">
        <v>42</v>
      </c>
      <c r="G156" s="6">
        <v>123.0</v>
      </c>
      <c r="H156" s="6">
        <v>2.84</v>
      </c>
      <c r="I156" s="7">
        <f t="shared" si="1"/>
        <v>7</v>
      </c>
      <c r="J156" s="7">
        <f t="shared" si="2"/>
        <v>4</v>
      </c>
      <c r="K156" s="7">
        <f t="shared" si="3"/>
        <v>2023</v>
      </c>
      <c r="L156" s="7">
        <f t="shared" si="4"/>
        <v>349.32</v>
      </c>
      <c r="M156" s="6" t="str">
        <f t="shared" si="5"/>
        <v>Expensive</v>
      </c>
    </row>
    <row r="157" ht="15.75" hidden="1" customHeight="1">
      <c r="A157" s="4" t="s">
        <v>243</v>
      </c>
      <c r="B157" s="5">
        <v>45026.0</v>
      </c>
      <c r="C157" s="6" t="s">
        <v>182</v>
      </c>
      <c r="D157" s="6" t="s">
        <v>183</v>
      </c>
      <c r="E157" s="6" t="s">
        <v>16</v>
      </c>
      <c r="F157" s="6" t="s">
        <v>17</v>
      </c>
      <c r="G157" s="6">
        <v>90.0</v>
      </c>
      <c r="H157" s="6">
        <v>1.77</v>
      </c>
      <c r="I157" s="7">
        <f t="shared" si="1"/>
        <v>10</v>
      </c>
      <c r="J157" s="7">
        <f t="shared" si="2"/>
        <v>4</v>
      </c>
      <c r="K157" s="7">
        <f t="shared" si="3"/>
        <v>2023</v>
      </c>
      <c r="L157" s="7">
        <f t="shared" si="4"/>
        <v>159.3</v>
      </c>
      <c r="M157" s="6" t="str">
        <f t="shared" si="5"/>
        <v>Expensive</v>
      </c>
    </row>
    <row r="158" ht="15.75" hidden="1" customHeight="1">
      <c r="A158" s="4" t="s">
        <v>244</v>
      </c>
      <c r="B158" s="5">
        <v>45029.0</v>
      </c>
      <c r="C158" s="6" t="s">
        <v>182</v>
      </c>
      <c r="D158" s="6" t="s">
        <v>183</v>
      </c>
      <c r="E158" s="6" t="s">
        <v>19</v>
      </c>
      <c r="F158" s="6" t="s">
        <v>20</v>
      </c>
      <c r="G158" s="6">
        <v>21.0</v>
      </c>
      <c r="H158" s="6">
        <v>3.49</v>
      </c>
      <c r="I158" s="7">
        <f t="shared" si="1"/>
        <v>13</v>
      </c>
      <c r="J158" s="7">
        <f t="shared" si="2"/>
        <v>4</v>
      </c>
      <c r="K158" s="7">
        <f t="shared" si="3"/>
        <v>2023</v>
      </c>
      <c r="L158" s="7">
        <f t="shared" si="4"/>
        <v>73.29</v>
      </c>
      <c r="M158" s="6" t="str">
        <f t="shared" si="5"/>
        <v>Cheap</v>
      </c>
    </row>
    <row r="159" ht="15.75" hidden="1" customHeight="1">
      <c r="A159" s="4" t="s">
        <v>127</v>
      </c>
      <c r="B159" s="5">
        <v>45032.0</v>
      </c>
      <c r="C159" s="6" t="s">
        <v>14</v>
      </c>
      <c r="D159" s="6" t="s">
        <v>23</v>
      </c>
      <c r="E159" s="6" t="s">
        <v>16</v>
      </c>
      <c r="F159" s="6" t="s">
        <v>17</v>
      </c>
      <c r="G159" s="6">
        <v>48.0</v>
      </c>
      <c r="H159" s="6">
        <v>1.7699999999999998</v>
      </c>
      <c r="I159" s="7">
        <f t="shared" si="1"/>
        <v>16</v>
      </c>
      <c r="J159" s="7">
        <f t="shared" si="2"/>
        <v>4</v>
      </c>
      <c r="K159" s="7">
        <f t="shared" si="3"/>
        <v>2023</v>
      </c>
      <c r="L159" s="7">
        <f t="shared" si="4"/>
        <v>84.96</v>
      </c>
      <c r="M159" s="6" t="str">
        <f t="shared" si="5"/>
        <v>Cheap</v>
      </c>
    </row>
    <row r="160" ht="15.75" hidden="1" customHeight="1">
      <c r="A160" s="4" t="s">
        <v>128</v>
      </c>
      <c r="B160" s="5">
        <v>45035.0</v>
      </c>
      <c r="C160" s="6" t="s">
        <v>14</v>
      </c>
      <c r="D160" s="6" t="s">
        <v>23</v>
      </c>
      <c r="E160" s="6" t="s">
        <v>33</v>
      </c>
      <c r="F160" s="6" t="s">
        <v>34</v>
      </c>
      <c r="G160" s="6">
        <v>24.0</v>
      </c>
      <c r="H160" s="6">
        <v>1.68</v>
      </c>
      <c r="I160" s="7">
        <f t="shared" si="1"/>
        <v>19</v>
      </c>
      <c r="J160" s="7">
        <f t="shared" si="2"/>
        <v>4</v>
      </c>
      <c r="K160" s="7">
        <f t="shared" si="3"/>
        <v>2023</v>
      </c>
      <c r="L160" s="7">
        <f t="shared" si="4"/>
        <v>40.32</v>
      </c>
      <c r="M160" s="6" t="str">
        <f t="shared" si="5"/>
        <v>Cheap</v>
      </c>
    </row>
    <row r="161" ht="15.75" hidden="1" customHeight="1">
      <c r="A161" s="4" t="s">
        <v>245</v>
      </c>
      <c r="B161" s="5">
        <v>45038.0</v>
      </c>
      <c r="C161" s="6" t="s">
        <v>182</v>
      </c>
      <c r="D161" s="6" t="s">
        <v>189</v>
      </c>
      <c r="E161" s="6" t="s">
        <v>24</v>
      </c>
      <c r="F161" s="6" t="s">
        <v>25</v>
      </c>
      <c r="G161" s="6">
        <v>67.0</v>
      </c>
      <c r="H161" s="6">
        <v>1.87</v>
      </c>
      <c r="I161" s="7">
        <f t="shared" si="1"/>
        <v>22</v>
      </c>
      <c r="J161" s="7">
        <f t="shared" si="2"/>
        <v>4</v>
      </c>
      <c r="K161" s="7">
        <f t="shared" si="3"/>
        <v>2023</v>
      </c>
      <c r="L161" s="7">
        <f t="shared" si="4"/>
        <v>125.29</v>
      </c>
      <c r="M161" s="6" t="str">
        <f t="shared" si="5"/>
        <v>Expensive</v>
      </c>
    </row>
    <row r="162" ht="15.75" hidden="1" customHeight="1">
      <c r="A162" s="4" t="s">
        <v>129</v>
      </c>
      <c r="B162" s="5">
        <v>45041.0</v>
      </c>
      <c r="C162" s="6" t="s">
        <v>14</v>
      </c>
      <c r="D162" s="6" t="s">
        <v>15</v>
      </c>
      <c r="E162" s="6" t="s">
        <v>16</v>
      </c>
      <c r="F162" s="6" t="s">
        <v>49</v>
      </c>
      <c r="G162" s="6">
        <v>27.0</v>
      </c>
      <c r="H162" s="6">
        <v>1.87</v>
      </c>
      <c r="I162" s="7">
        <f t="shared" si="1"/>
        <v>25</v>
      </c>
      <c r="J162" s="7">
        <f t="shared" si="2"/>
        <v>4</v>
      </c>
      <c r="K162" s="7">
        <f t="shared" si="3"/>
        <v>2023</v>
      </c>
      <c r="L162" s="7">
        <f t="shared" si="4"/>
        <v>50.49</v>
      </c>
      <c r="M162" s="6" t="str">
        <f t="shared" si="5"/>
        <v>Cheap</v>
      </c>
    </row>
    <row r="163" ht="15.75" hidden="1" customHeight="1">
      <c r="A163" s="4" t="s">
        <v>130</v>
      </c>
      <c r="B163" s="5">
        <v>45044.0</v>
      </c>
      <c r="C163" s="6" t="s">
        <v>14</v>
      </c>
      <c r="D163" s="6" t="s">
        <v>15</v>
      </c>
      <c r="E163" s="6" t="s">
        <v>24</v>
      </c>
      <c r="F163" s="6" t="s">
        <v>42</v>
      </c>
      <c r="G163" s="6">
        <v>129.0</v>
      </c>
      <c r="H163" s="6">
        <v>2.8400000000000003</v>
      </c>
      <c r="I163" s="7">
        <f t="shared" si="1"/>
        <v>28</v>
      </c>
      <c r="J163" s="7">
        <f t="shared" si="2"/>
        <v>4</v>
      </c>
      <c r="K163" s="7">
        <f t="shared" si="3"/>
        <v>2023</v>
      </c>
      <c r="L163" s="7">
        <f t="shared" si="4"/>
        <v>366.36</v>
      </c>
      <c r="M163" s="6" t="str">
        <f t="shared" si="5"/>
        <v>Expensive</v>
      </c>
    </row>
    <row r="164" ht="15.75" hidden="1" customHeight="1">
      <c r="A164" s="4" t="s">
        <v>246</v>
      </c>
      <c r="B164" s="5">
        <v>45047.0</v>
      </c>
      <c r="C164" s="6" t="s">
        <v>182</v>
      </c>
      <c r="D164" s="6" t="s">
        <v>183</v>
      </c>
      <c r="E164" s="6" t="s">
        <v>24</v>
      </c>
      <c r="F164" s="6" t="s">
        <v>28</v>
      </c>
      <c r="G164" s="6">
        <v>77.0</v>
      </c>
      <c r="H164" s="6">
        <v>2.18</v>
      </c>
      <c r="I164" s="7">
        <f t="shared" si="1"/>
        <v>1</v>
      </c>
      <c r="J164" s="7">
        <f t="shared" si="2"/>
        <v>5</v>
      </c>
      <c r="K164" s="7">
        <f t="shared" si="3"/>
        <v>2023</v>
      </c>
      <c r="L164" s="7">
        <f t="shared" si="4"/>
        <v>167.86</v>
      </c>
      <c r="M164" s="6" t="str">
        <f t="shared" si="5"/>
        <v>Expensive</v>
      </c>
    </row>
    <row r="165" ht="15.75" hidden="1" customHeight="1">
      <c r="A165" s="4" t="s">
        <v>247</v>
      </c>
      <c r="B165" s="5">
        <v>45050.0</v>
      </c>
      <c r="C165" s="6" t="s">
        <v>182</v>
      </c>
      <c r="D165" s="6" t="s">
        <v>183</v>
      </c>
      <c r="E165" s="6" t="s">
        <v>24</v>
      </c>
      <c r="F165" s="6" t="s">
        <v>25</v>
      </c>
      <c r="G165" s="6">
        <v>58.0</v>
      </c>
      <c r="H165" s="6">
        <v>1.8699999999999999</v>
      </c>
      <c r="I165" s="7">
        <f t="shared" si="1"/>
        <v>4</v>
      </c>
      <c r="J165" s="7">
        <f t="shared" si="2"/>
        <v>5</v>
      </c>
      <c r="K165" s="7">
        <f t="shared" si="3"/>
        <v>2023</v>
      </c>
      <c r="L165" s="7">
        <f t="shared" si="4"/>
        <v>108.46</v>
      </c>
      <c r="M165" s="6" t="str">
        <f t="shared" si="5"/>
        <v>Expensive</v>
      </c>
    </row>
    <row r="166" ht="15.75" hidden="1" customHeight="1">
      <c r="A166" s="4" t="s">
        <v>131</v>
      </c>
      <c r="B166" s="5">
        <v>45053.0</v>
      </c>
      <c r="C166" s="6" t="s">
        <v>14</v>
      </c>
      <c r="D166" s="6" t="s">
        <v>23</v>
      </c>
      <c r="E166" s="6" t="s">
        <v>16</v>
      </c>
      <c r="F166" s="6" t="s">
        <v>49</v>
      </c>
      <c r="G166" s="6">
        <v>47.0</v>
      </c>
      <c r="H166" s="6">
        <v>1.87</v>
      </c>
      <c r="I166" s="7">
        <f t="shared" si="1"/>
        <v>7</v>
      </c>
      <c r="J166" s="7">
        <f t="shared" si="2"/>
        <v>5</v>
      </c>
      <c r="K166" s="7">
        <f t="shared" si="3"/>
        <v>2023</v>
      </c>
      <c r="L166" s="7">
        <f t="shared" si="4"/>
        <v>87.89</v>
      </c>
      <c r="M166" s="6" t="str">
        <f t="shared" si="5"/>
        <v>Cheap</v>
      </c>
    </row>
    <row r="167" ht="15.75" hidden="1" customHeight="1">
      <c r="A167" s="4" t="s">
        <v>132</v>
      </c>
      <c r="B167" s="5">
        <v>45056.0</v>
      </c>
      <c r="C167" s="6" t="s">
        <v>14</v>
      </c>
      <c r="D167" s="6" t="s">
        <v>23</v>
      </c>
      <c r="E167" s="6" t="s">
        <v>24</v>
      </c>
      <c r="F167" s="6" t="s">
        <v>42</v>
      </c>
      <c r="G167" s="6">
        <v>33.0</v>
      </c>
      <c r="H167" s="6">
        <v>2.84</v>
      </c>
      <c r="I167" s="7">
        <f t="shared" si="1"/>
        <v>10</v>
      </c>
      <c r="J167" s="7">
        <f t="shared" si="2"/>
        <v>5</v>
      </c>
      <c r="K167" s="7">
        <f t="shared" si="3"/>
        <v>2023</v>
      </c>
      <c r="L167" s="7">
        <f t="shared" si="4"/>
        <v>93.72</v>
      </c>
      <c r="M167" s="6" t="str">
        <f t="shared" si="5"/>
        <v>Cheap</v>
      </c>
    </row>
    <row r="168" ht="15.75" hidden="1" customHeight="1">
      <c r="A168" s="4" t="s">
        <v>248</v>
      </c>
      <c r="B168" s="5">
        <v>45059.0</v>
      </c>
      <c r="C168" s="6" t="s">
        <v>182</v>
      </c>
      <c r="D168" s="6" t="s">
        <v>189</v>
      </c>
      <c r="E168" s="6" t="s">
        <v>24</v>
      </c>
      <c r="F168" s="6" t="s">
        <v>25</v>
      </c>
      <c r="G168" s="6">
        <v>82.0</v>
      </c>
      <c r="H168" s="6">
        <v>1.87</v>
      </c>
      <c r="I168" s="7">
        <f t="shared" si="1"/>
        <v>13</v>
      </c>
      <c r="J168" s="7">
        <f t="shared" si="2"/>
        <v>5</v>
      </c>
      <c r="K168" s="7">
        <f t="shared" si="3"/>
        <v>2023</v>
      </c>
      <c r="L168" s="7">
        <f t="shared" si="4"/>
        <v>153.34</v>
      </c>
      <c r="M168" s="6" t="str">
        <f t="shared" si="5"/>
        <v>Expensive</v>
      </c>
    </row>
    <row r="169" ht="15.75" hidden="1" customHeight="1">
      <c r="A169" s="4" t="s">
        <v>133</v>
      </c>
      <c r="B169" s="5">
        <v>45062.0</v>
      </c>
      <c r="C169" s="6" t="s">
        <v>14</v>
      </c>
      <c r="D169" s="6" t="s">
        <v>15</v>
      </c>
      <c r="E169" s="6" t="s">
        <v>16</v>
      </c>
      <c r="F169" s="6" t="s">
        <v>17</v>
      </c>
      <c r="G169" s="6">
        <v>58.0</v>
      </c>
      <c r="H169" s="6">
        <v>1.77</v>
      </c>
      <c r="I169" s="7">
        <f t="shared" si="1"/>
        <v>16</v>
      </c>
      <c r="J169" s="7">
        <f t="shared" si="2"/>
        <v>5</v>
      </c>
      <c r="K169" s="7">
        <f t="shared" si="3"/>
        <v>2023</v>
      </c>
      <c r="L169" s="7">
        <f t="shared" si="4"/>
        <v>102.66</v>
      </c>
      <c r="M169" s="6" t="str">
        <f t="shared" si="5"/>
        <v>Expensive</v>
      </c>
    </row>
    <row r="170" ht="15.75" hidden="1" customHeight="1">
      <c r="A170" s="4" t="s">
        <v>134</v>
      </c>
      <c r="B170" s="5">
        <v>45065.0</v>
      </c>
      <c r="C170" s="6" t="s">
        <v>14</v>
      </c>
      <c r="D170" s="6" t="s">
        <v>15</v>
      </c>
      <c r="E170" s="6" t="s">
        <v>33</v>
      </c>
      <c r="F170" s="6" t="s">
        <v>85</v>
      </c>
      <c r="G170" s="6">
        <v>30.0</v>
      </c>
      <c r="H170" s="6">
        <v>3.15</v>
      </c>
      <c r="I170" s="7">
        <f t="shared" si="1"/>
        <v>19</v>
      </c>
      <c r="J170" s="7">
        <f t="shared" si="2"/>
        <v>5</v>
      </c>
      <c r="K170" s="7">
        <f t="shared" si="3"/>
        <v>2023</v>
      </c>
      <c r="L170" s="7">
        <f t="shared" si="4"/>
        <v>94.5</v>
      </c>
      <c r="M170" s="6" t="str">
        <f t="shared" si="5"/>
        <v>Cheap</v>
      </c>
    </row>
    <row r="171" ht="15.75" hidden="1" customHeight="1">
      <c r="A171" s="4" t="s">
        <v>249</v>
      </c>
      <c r="B171" s="5">
        <v>45068.0</v>
      </c>
      <c r="C171" s="6" t="s">
        <v>182</v>
      </c>
      <c r="D171" s="6" t="s">
        <v>183</v>
      </c>
      <c r="E171" s="6" t="s">
        <v>24</v>
      </c>
      <c r="F171" s="6" t="s">
        <v>25</v>
      </c>
      <c r="G171" s="6">
        <v>43.0</v>
      </c>
      <c r="H171" s="6">
        <v>1.8699999999999999</v>
      </c>
      <c r="I171" s="7">
        <f t="shared" si="1"/>
        <v>22</v>
      </c>
      <c r="J171" s="7">
        <f t="shared" si="2"/>
        <v>5</v>
      </c>
      <c r="K171" s="7">
        <f t="shared" si="3"/>
        <v>2023</v>
      </c>
      <c r="L171" s="7">
        <f t="shared" si="4"/>
        <v>80.41</v>
      </c>
      <c r="M171" s="6" t="str">
        <f t="shared" si="5"/>
        <v>Cheap</v>
      </c>
    </row>
    <row r="172" ht="15.75" hidden="1" customHeight="1">
      <c r="A172" s="4" t="s">
        <v>135</v>
      </c>
      <c r="B172" s="5">
        <v>45071.0</v>
      </c>
      <c r="C172" s="6" t="s">
        <v>14</v>
      </c>
      <c r="D172" s="6" t="s">
        <v>23</v>
      </c>
      <c r="E172" s="6" t="s">
        <v>16</v>
      </c>
      <c r="F172" s="6" t="s">
        <v>17</v>
      </c>
      <c r="G172" s="6">
        <v>84.0</v>
      </c>
      <c r="H172" s="6">
        <v>1.77</v>
      </c>
      <c r="I172" s="7">
        <f t="shared" si="1"/>
        <v>25</v>
      </c>
      <c r="J172" s="7">
        <f t="shared" si="2"/>
        <v>5</v>
      </c>
      <c r="K172" s="7">
        <f t="shared" si="3"/>
        <v>2023</v>
      </c>
      <c r="L172" s="7">
        <f t="shared" si="4"/>
        <v>148.68</v>
      </c>
      <c r="M172" s="6" t="str">
        <f t="shared" si="5"/>
        <v>Expensive</v>
      </c>
    </row>
    <row r="173" ht="15.75" hidden="1" customHeight="1">
      <c r="A173" s="4" t="s">
        <v>250</v>
      </c>
      <c r="B173" s="5">
        <v>45074.0</v>
      </c>
      <c r="C173" s="6" t="s">
        <v>182</v>
      </c>
      <c r="D173" s="6" t="s">
        <v>189</v>
      </c>
      <c r="E173" s="6" t="s">
        <v>24</v>
      </c>
      <c r="F173" s="6" t="s">
        <v>28</v>
      </c>
      <c r="G173" s="6">
        <v>36.0</v>
      </c>
      <c r="H173" s="6">
        <v>2.18</v>
      </c>
      <c r="I173" s="7">
        <f t="shared" si="1"/>
        <v>28</v>
      </c>
      <c r="J173" s="7">
        <f t="shared" si="2"/>
        <v>5</v>
      </c>
      <c r="K173" s="7">
        <f t="shared" si="3"/>
        <v>2023</v>
      </c>
      <c r="L173" s="7">
        <f t="shared" si="4"/>
        <v>78.48</v>
      </c>
      <c r="M173" s="6" t="str">
        <f t="shared" si="5"/>
        <v>Cheap</v>
      </c>
    </row>
    <row r="174" ht="15.75" hidden="1" customHeight="1">
      <c r="A174" s="4" t="s">
        <v>251</v>
      </c>
      <c r="B174" s="5">
        <v>45077.0</v>
      </c>
      <c r="C174" s="6" t="s">
        <v>182</v>
      </c>
      <c r="D174" s="6" t="s">
        <v>189</v>
      </c>
      <c r="E174" s="6" t="s">
        <v>24</v>
      </c>
      <c r="F174" s="6" t="s">
        <v>42</v>
      </c>
      <c r="G174" s="6">
        <v>44.0</v>
      </c>
      <c r="H174" s="6">
        <v>2.84</v>
      </c>
      <c r="I174" s="7">
        <f t="shared" si="1"/>
        <v>31</v>
      </c>
      <c r="J174" s="7">
        <f t="shared" si="2"/>
        <v>5</v>
      </c>
      <c r="K174" s="7">
        <f t="shared" si="3"/>
        <v>2023</v>
      </c>
      <c r="L174" s="7">
        <f t="shared" si="4"/>
        <v>124.96</v>
      </c>
      <c r="M174" s="6" t="str">
        <f t="shared" si="5"/>
        <v>Expensive</v>
      </c>
    </row>
    <row r="175" ht="15.75" hidden="1" customHeight="1">
      <c r="A175" s="4" t="s">
        <v>136</v>
      </c>
      <c r="B175" s="5">
        <v>45080.0</v>
      </c>
      <c r="C175" s="6" t="s">
        <v>14</v>
      </c>
      <c r="D175" s="6" t="s">
        <v>15</v>
      </c>
      <c r="E175" s="6" t="s">
        <v>16</v>
      </c>
      <c r="F175" s="6" t="s">
        <v>49</v>
      </c>
      <c r="G175" s="6">
        <v>27.0</v>
      </c>
      <c r="H175" s="6">
        <v>1.87</v>
      </c>
      <c r="I175" s="7">
        <f t="shared" si="1"/>
        <v>3</v>
      </c>
      <c r="J175" s="7">
        <f t="shared" si="2"/>
        <v>6</v>
      </c>
      <c r="K175" s="7">
        <f t="shared" si="3"/>
        <v>2023</v>
      </c>
      <c r="L175" s="7">
        <f t="shared" si="4"/>
        <v>50.49</v>
      </c>
      <c r="M175" s="6" t="str">
        <f t="shared" si="5"/>
        <v>Cheap</v>
      </c>
    </row>
    <row r="176" ht="15.75" hidden="1" customHeight="1">
      <c r="A176" s="4" t="s">
        <v>137</v>
      </c>
      <c r="B176" s="5">
        <v>45083.0</v>
      </c>
      <c r="C176" s="6" t="s">
        <v>14</v>
      </c>
      <c r="D176" s="6" t="s">
        <v>15</v>
      </c>
      <c r="E176" s="6" t="s">
        <v>24</v>
      </c>
      <c r="F176" s="6" t="s">
        <v>42</v>
      </c>
      <c r="G176" s="6">
        <v>120.0</v>
      </c>
      <c r="H176" s="6">
        <v>2.8400000000000003</v>
      </c>
      <c r="I176" s="7">
        <f t="shared" si="1"/>
        <v>6</v>
      </c>
      <c r="J176" s="7">
        <f t="shared" si="2"/>
        <v>6</v>
      </c>
      <c r="K176" s="7">
        <f t="shared" si="3"/>
        <v>2023</v>
      </c>
      <c r="L176" s="7">
        <f t="shared" si="4"/>
        <v>340.8</v>
      </c>
      <c r="M176" s="6" t="str">
        <f t="shared" si="5"/>
        <v>Expensive</v>
      </c>
    </row>
    <row r="177" ht="15.75" hidden="1" customHeight="1">
      <c r="A177" s="4" t="s">
        <v>138</v>
      </c>
      <c r="B177" s="5">
        <v>45086.0</v>
      </c>
      <c r="C177" s="6" t="s">
        <v>14</v>
      </c>
      <c r="D177" s="6" t="s">
        <v>15</v>
      </c>
      <c r="E177" s="6" t="s">
        <v>19</v>
      </c>
      <c r="F177" s="6" t="s">
        <v>20</v>
      </c>
      <c r="G177" s="6">
        <v>26.0</v>
      </c>
      <c r="H177" s="6">
        <v>3.4899999999999998</v>
      </c>
      <c r="I177" s="7">
        <f t="shared" si="1"/>
        <v>9</v>
      </c>
      <c r="J177" s="7">
        <f t="shared" si="2"/>
        <v>6</v>
      </c>
      <c r="K177" s="7">
        <f t="shared" si="3"/>
        <v>2023</v>
      </c>
      <c r="L177" s="7">
        <f t="shared" si="4"/>
        <v>90.74</v>
      </c>
      <c r="M177" s="6" t="str">
        <f t="shared" si="5"/>
        <v>Cheap</v>
      </c>
    </row>
    <row r="178" ht="15.75" hidden="1" customHeight="1">
      <c r="A178" s="4" t="s">
        <v>252</v>
      </c>
      <c r="B178" s="5">
        <v>45089.0</v>
      </c>
      <c r="C178" s="6" t="s">
        <v>182</v>
      </c>
      <c r="D178" s="6" t="s">
        <v>183</v>
      </c>
      <c r="E178" s="6" t="s">
        <v>16</v>
      </c>
      <c r="F178" s="6" t="s">
        <v>17</v>
      </c>
      <c r="G178" s="6">
        <v>73.0</v>
      </c>
      <c r="H178" s="6">
        <v>1.77</v>
      </c>
      <c r="I178" s="7">
        <f t="shared" si="1"/>
        <v>12</v>
      </c>
      <c r="J178" s="7">
        <f t="shared" si="2"/>
        <v>6</v>
      </c>
      <c r="K178" s="7">
        <f t="shared" si="3"/>
        <v>2023</v>
      </c>
      <c r="L178" s="7">
        <f t="shared" si="4"/>
        <v>129.21</v>
      </c>
      <c r="M178" s="6" t="str">
        <f t="shared" si="5"/>
        <v>Expensive</v>
      </c>
    </row>
    <row r="179" ht="15.75" hidden="1" customHeight="1">
      <c r="A179" s="4" t="s">
        <v>139</v>
      </c>
      <c r="B179" s="5">
        <v>45092.0</v>
      </c>
      <c r="C179" s="6" t="s">
        <v>14</v>
      </c>
      <c r="D179" s="6" t="s">
        <v>23</v>
      </c>
      <c r="E179" s="6" t="s">
        <v>16</v>
      </c>
      <c r="F179" s="6" t="s">
        <v>49</v>
      </c>
      <c r="G179" s="6">
        <v>38.0</v>
      </c>
      <c r="H179" s="6">
        <v>1.87</v>
      </c>
      <c r="I179" s="7">
        <f t="shared" si="1"/>
        <v>15</v>
      </c>
      <c r="J179" s="7">
        <f t="shared" si="2"/>
        <v>6</v>
      </c>
      <c r="K179" s="7">
        <f t="shared" si="3"/>
        <v>2023</v>
      </c>
      <c r="L179" s="7">
        <f t="shared" si="4"/>
        <v>71.06</v>
      </c>
      <c r="M179" s="6" t="str">
        <f t="shared" si="5"/>
        <v>Cheap</v>
      </c>
    </row>
    <row r="180" ht="15.75" hidden="1" customHeight="1">
      <c r="A180" s="4" t="s">
        <v>140</v>
      </c>
      <c r="B180" s="5">
        <v>45095.0</v>
      </c>
      <c r="C180" s="6" t="s">
        <v>14</v>
      </c>
      <c r="D180" s="6" t="s">
        <v>23</v>
      </c>
      <c r="E180" s="6" t="s">
        <v>24</v>
      </c>
      <c r="F180" s="6" t="s">
        <v>42</v>
      </c>
      <c r="G180" s="6">
        <v>40.0</v>
      </c>
      <c r="H180" s="6">
        <v>2.84</v>
      </c>
      <c r="I180" s="7">
        <f t="shared" si="1"/>
        <v>18</v>
      </c>
      <c r="J180" s="7">
        <f t="shared" si="2"/>
        <v>6</v>
      </c>
      <c r="K180" s="7">
        <f t="shared" si="3"/>
        <v>2023</v>
      </c>
      <c r="L180" s="7">
        <f t="shared" si="4"/>
        <v>113.6</v>
      </c>
      <c r="M180" s="6" t="str">
        <f t="shared" si="5"/>
        <v>Expensive</v>
      </c>
    </row>
    <row r="181" ht="15.75" hidden="1" customHeight="1">
      <c r="A181" s="4" t="s">
        <v>253</v>
      </c>
      <c r="B181" s="5">
        <v>45098.0</v>
      </c>
      <c r="C181" s="6" t="s">
        <v>182</v>
      </c>
      <c r="D181" s="6" t="s">
        <v>189</v>
      </c>
      <c r="E181" s="6" t="s">
        <v>16</v>
      </c>
      <c r="F181" s="6" t="s">
        <v>17</v>
      </c>
      <c r="G181" s="6">
        <v>41.0</v>
      </c>
      <c r="H181" s="6">
        <v>1.7699999999999998</v>
      </c>
      <c r="I181" s="7">
        <f t="shared" si="1"/>
        <v>21</v>
      </c>
      <c r="J181" s="7">
        <f t="shared" si="2"/>
        <v>6</v>
      </c>
      <c r="K181" s="7">
        <f t="shared" si="3"/>
        <v>2023</v>
      </c>
      <c r="L181" s="7">
        <f t="shared" si="4"/>
        <v>72.57</v>
      </c>
      <c r="M181" s="6" t="str">
        <f t="shared" si="5"/>
        <v>Cheap</v>
      </c>
    </row>
    <row r="182" ht="15.75" hidden="1" customHeight="1">
      <c r="A182" s="4" t="s">
        <v>141</v>
      </c>
      <c r="B182" s="5">
        <v>45101.0</v>
      </c>
      <c r="C182" s="6" t="s">
        <v>14</v>
      </c>
      <c r="D182" s="6" t="s">
        <v>15</v>
      </c>
      <c r="E182" s="6" t="s">
        <v>16</v>
      </c>
      <c r="F182" s="6" t="s">
        <v>102</v>
      </c>
      <c r="G182" s="6">
        <v>27.0</v>
      </c>
      <c r="H182" s="6">
        <v>2.27</v>
      </c>
      <c r="I182" s="7">
        <f t="shared" si="1"/>
        <v>24</v>
      </c>
      <c r="J182" s="7">
        <f t="shared" si="2"/>
        <v>6</v>
      </c>
      <c r="K182" s="7">
        <f t="shared" si="3"/>
        <v>2023</v>
      </c>
      <c r="L182" s="7">
        <f t="shared" si="4"/>
        <v>61.29</v>
      </c>
      <c r="M182" s="6" t="str">
        <f t="shared" si="5"/>
        <v>Cheap</v>
      </c>
    </row>
    <row r="183" ht="15.75" hidden="1" customHeight="1">
      <c r="A183" s="4" t="s">
        <v>142</v>
      </c>
      <c r="B183" s="5">
        <v>45104.0</v>
      </c>
      <c r="C183" s="6" t="s">
        <v>14</v>
      </c>
      <c r="D183" s="6" t="s">
        <v>15</v>
      </c>
      <c r="E183" s="6" t="s">
        <v>24</v>
      </c>
      <c r="F183" s="6" t="s">
        <v>25</v>
      </c>
      <c r="G183" s="6">
        <v>38.0</v>
      </c>
      <c r="H183" s="6">
        <v>1.87</v>
      </c>
      <c r="I183" s="7">
        <f t="shared" si="1"/>
        <v>27</v>
      </c>
      <c r="J183" s="7">
        <f t="shared" si="2"/>
        <v>6</v>
      </c>
      <c r="K183" s="7">
        <f t="shared" si="3"/>
        <v>2023</v>
      </c>
      <c r="L183" s="7">
        <f t="shared" si="4"/>
        <v>71.06</v>
      </c>
      <c r="M183" s="6" t="str">
        <f t="shared" si="5"/>
        <v>Cheap</v>
      </c>
    </row>
    <row r="184" ht="15.75" hidden="1" customHeight="1">
      <c r="A184" s="4" t="s">
        <v>143</v>
      </c>
      <c r="B184" s="5">
        <v>45107.0</v>
      </c>
      <c r="C184" s="6" t="s">
        <v>14</v>
      </c>
      <c r="D184" s="6" t="s">
        <v>15</v>
      </c>
      <c r="E184" s="6" t="s">
        <v>19</v>
      </c>
      <c r="F184" s="6" t="s">
        <v>20</v>
      </c>
      <c r="G184" s="6">
        <v>34.0</v>
      </c>
      <c r="H184" s="6">
        <v>3.4899999999999998</v>
      </c>
      <c r="I184" s="7">
        <f t="shared" si="1"/>
        <v>30</v>
      </c>
      <c r="J184" s="7">
        <f t="shared" si="2"/>
        <v>6</v>
      </c>
      <c r="K184" s="7">
        <f t="shared" si="3"/>
        <v>2023</v>
      </c>
      <c r="L184" s="7">
        <f t="shared" si="4"/>
        <v>118.66</v>
      </c>
      <c r="M184" s="6" t="str">
        <f t="shared" si="5"/>
        <v>Expensive</v>
      </c>
    </row>
    <row r="185" ht="15.75" hidden="1" customHeight="1">
      <c r="A185" s="4" t="s">
        <v>254</v>
      </c>
      <c r="B185" s="5">
        <v>45110.0</v>
      </c>
      <c r="C185" s="6" t="s">
        <v>182</v>
      </c>
      <c r="D185" s="6" t="s">
        <v>183</v>
      </c>
      <c r="E185" s="6" t="s">
        <v>16</v>
      </c>
      <c r="F185" s="6" t="s">
        <v>49</v>
      </c>
      <c r="G185" s="6">
        <v>65.0</v>
      </c>
      <c r="H185" s="6">
        <v>1.8699999999999999</v>
      </c>
      <c r="I185" s="7">
        <f t="shared" si="1"/>
        <v>3</v>
      </c>
      <c r="J185" s="7">
        <f t="shared" si="2"/>
        <v>7</v>
      </c>
      <c r="K185" s="7">
        <f t="shared" si="3"/>
        <v>2023</v>
      </c>
      <c r="L185" s="7">
        <f t="shared" si="4"/>
        <v>121.55</v>
      </c>
      <c r="M185" s="6" t="str">
        <f t="shared" si="5"/>
        <v>Expensive</v>
      </c>
    </row>
    <row r="186" ht="15.75" hidden="1" customHeight="1">
      <c r="A186" s="4" t="s">
        <v>255</v>
      </c>
      <c r="B186" s="5">
        <v>45113.0</v>
      </c>
      <c r="C186" s="6" t="s">
        <v>182</v>
      </c>
      <c r="D186" s="6" t="s">
        <v>183</v>
      </c>
      <c r="E186" s="6" t="s">
        <v>24</v>
      </c>
      <c r="F186" s="6" t="s">
        <v>42</v>
      </c>
      <c r="G186" s="6">
        <v>60.0</v>
      </c>
      <c r="H186" s="6">
        <v>2.8400000000000003</v>
      </c>
      <c r="I186" s="7">
        <f t="shared" si="1"/>
        <v>6</v>
      </c>
      <c r="J186" s="7">
        <f t="shared" si="2"/>
        <v>7</v>
      </c>
      <c r="K186" s="7">
        <f t="shared" si="3"/>
        <v>2023</v>
      </c>
      <c r="L186" s="7">
        <f t="shared" si="4"/>
        <v>170.4</v>
      </c>
      <c r="M186" s="6" t="str">
        <f t="shared" si="5"/>
        <v>Expensive</v>
      </c>
    </row>
    <row r="187" ht="15.75" hidden="1" customHeight="1">
      <c r="A187" s="4" t="s">
        <v>144</v>
      </c>
      <c r="B187" s="5">
        <v>45116.0</v>
      </c>
      <c r="C187" s="6" t="s">
        <v>14</v>
      </c>
      <c r="D187" s="6" t="s">
        <v>23</v>
      </c>
      <c r="E187" s="6" t="s">
        <v>24</v>
      </c>
      <c r="F187" s="6" t="s">
        <v>28</v>
      </c>
      <c r="G187" s="6">
        <v>37.0</v>
      </c>
      <c r="H187" s="6">
        <v>2.1799999999999997</v>
      </c>
      <c r="I187" s="7">
        <f t="shared" si="1"/>
        <v>9</v>
      </c>
      <c r="J187" s="7">
        <f t="shared" si="2"/>
        <v>7</v>
      </c>
      <c r="K187" s="7">
        <f t="shared" si="3"/>
        <v>2023</v>
      </c>
      <c r="L187" s="7">
        <f t="shared" si="4"/>
        <v>80.66</v>
      </c>
      <c r="M187" s="6" t="str">
        <f t="shared" si="5"/>
        <v>Cheap</v>
      </c>
    </row>
    <row r="188" ht="15.75" hidden="1" customHeight="1">
      <c r="A188" s="4" t="s">
        <v>145</v>
      </c>
      <c r="B188" s="5">
        <v>45119.0</v>
      </c>
      <c r="C188" s="6" t="s">
        <v>14</v>
      </c>
      <c r="D188" s="6" t="s">
        <v>23</v>
      </c>
      <c r="E188" s="6" t="s">
        <v>24</v>
      </c>
      <c r="F188" s="6" t="s">
        <v>25</v>
      </c>
      <c r="G188" s="6">
        <v>40.0</v>
      </c>
      <c r="H188" s="6">
        <v>1.8699999999999999</v>
      </c>
      <c r="I188" s="7">
        <f t="shared" si="1"/>
        <v>12</v>
      </c>
      <c r="J188" s="7">
        <f t="shared" si="2"/>
        <v>7</v>
      </c>
      <c r="K188" s="7">
        <f t="shared" si="3"/>
        <v>2023</v>
      </c>
      <c r="L188" s="7">
        <f t="shared" si="4"/>
        <v>74.8</v>
      </c>
      <c r="M188" s="6" t="str">
        <f t="shared" si="5"/>
        <v>Cheap</v>
      </c>
    </row>
    <row r="189" ht="15.75" hidden="1" customHeight="1">
      <c r="A189" s="4" t="s">
        <v>256</v>
      </c>
      <c r="B189" s="5">
        <v>45122.0</v>
      </c>
      <c r="C189" s="6" t="s">
        <v>182</v>
      </c>
      <c r="D189" s="6" t="s">
        <v>189</v>
      </c>
      <c r="E189" s="6" t="s">
        <v>16</v>
      </c>
      <c r="F189" s="6" t="s">
        <v>49</v>
      </c>
      <c r="G189" s="6">
        <v>26.0</v>
      </c>
      <c r="H189" s="6">
        <v>1.8699999999999999</v>
      </c>
      <c r="I189" s="7">
        <f t="shared" si="1"/>
        <v>15</v>
      </c>
      <c r="J189" s="7">
        <f t="shared" si="2"/>
        <v>7</v>
      </c>
      <c r="K189" s="7">
        <f t="shared" si="3"/>
        <v>2023</v>
      </c>
      <c r="L189" s="7">
        <f t="shared" si="4"/>
        <v>48.62</v>
      </c>
      <c r="M189" s="6" t="str">
        <f t="shared" si="5"/>
        <v>Cheap</v>
      </c>
    </row>
    <row r="190" ht="15.75" hidden="1" customHeight="1">
      <c r="A190" s="4" t="s">
        <v>146</v>
      </c>
      <c r="B190" s="5">
        <v>45125.0</v>
      </c>
      <c r="C190" s="6" t="s">
        <v>14</v>
      </c>
      <c r="D190" s="6" t="s">
        <v>15</v>
      </c>
      <c r="E190" s="6" t="s">
        <v>16</v>
      </c>
      <c r="F190" s="6" t="s">
        <v>102</v>
      </c>
      <c r="G190" s="6">
        <v>22.0</v>
      </c>
      <c r="H190" s="6">
        <v>2.27</v>
      </c>
      <c r="I190" s="7">
        <f t="shared" si="1"/>
        <v>18</v>
      </c>
      <c r="J190" s="7">
        <f t="shared" si="2"/>
        <v>7</v>
      </c>
      <c r="K190" s="7">
        <f t="shared" si="3"/>
        <v>2023</v>
      </c>
      <c r="L190" s="7">
        <f t="shared" si="4"/>
        <v>49.94</v>
      </c>
      <c r="M190" s="6" t="str">
        <f t="shared" si="5"/>
        <v>Cheap</v>
      </c>
    </row>
    <row r="191" ht="15.75" hidden="1" customHeight="1">
      <c r="A191" s="4" t="s">
        <v>147</v>
      </c>
      <c r="B191" s="5">
        <v>45128.0</v>
      </c>
      <c r="C191" s="6" t="s">
        <v>14</v>
      </c>
      <c r="D191" s="6" t="s">
        <v>15</v>
      </c>
      <c r="E191" s="6" t="s">
        <v>24</v>
      </c>
      <c r="F191" s="6" t="s">
        <v>25</v>
      </c>
      <c r="G191" s="6">
        <v>32.0</v>
      </c>
      <c r="H191" s="6">
        <v>1.87</v>
      </c>
      <c r="I191" s="7">
        <f t="shared" si="1"/>
        <v>21</v>
      </c>
      <c r="J191" s="7">
        <f t="shared" si="2"/>
        <v>7</v>
      </c>
      <c r="K191" s="7">
        <f t="shared" si="3"/>
        <v>2023</v>
      </c>
      <c r="L191" s="7">
        <f t="shared" si="4"/>
        <v>59.84</v>
      </c>
      <c r="M191" s="6" t="str">
        <f t="shared" si="5"/>
        <v>Cheap</v>
      </c>
    </row>
    <row r="192" ht="15.75" hidden="1" customHeight="1">
      <c r="A192" s="4" t="s">
        <v>148</v>
      </c>
      <c r="B192" s="5">
        <v>45131.0</v>
      </c>
      <c r="C192" s="6" t="s">
        <v>14</v>
      </c>
      <c r="D192" s="6" t="s">
        <v>15</v>
      </c>
      <c r="E192" s="6" t="s">
        <v>19</v>
      </c>
      <c r="F192" s="6" t="s">
        <v>20</v>
      </c>
      <c r="G192" s="6">
        <v>23.0</v>
      </c>
      <c r="H192" s="6">
        <v>3.4899999999999998</v>
      </c>
      <c r="I192" s="7">
        <f t="shared" si="1"/>
        <v>24</v>
      </c>
      <c r="J192" s="7">
        <f t="shared" si="2"/>
        <v>7</v>
      </c>
      <c r="K192" s="7">
        <f t="shared" si="3"/>
        <v>2023</v>
      </c>
      <c r="L192" s="7">
        <f t="shared" si="4"/>
        <v>80.27</v>
      </c>
      <c r="M192" s="6" t="str">
        <f t="shared" si="5"/>
        <v>Cheap</v>
      </c>
    </row>
    <row r="193" ht="15.75" hidden="1" customHeight="1">
      <c r="A193" s="4" t="s">
        <v>257</v>
      </c>
      <c r="B193" s="5">
        <v>45134.0</v>
      </c>
      <c r="C193" s="6" t="s">
        <v>182</v>
      </c>
      <c r="D193" s="6" t="s">
        <v>183</v>
      </c>
      <c r="E193" s="6" t="s">
        <v>24</v>
      </c>
      <c r="F193" s="6" t="s">
        <v>28</v>
      </c>
      <c r="G193" s="6">
        <v>20.0</v>
      </c>
      <c r="H193" s="6">
        <v>2.18</v>
      </c>
      <c r="I193" s="7">
        <f t="shared" si="1"/>
        <v>27</v>
      </c>
      <c r="J193" s="7">
        <f t="shared" si="2"/>
        <v>7</v>
      </c>
      <c r="K193" s="7">
        <f t="shared" si="3"/>
        <v>2023</v>
      </c>
      <c r="L193" s="7">
        <f t="shared" si="4"/>
        <v>43.6</v>
      </c>
      <c r="M193" s="6" t="str">
        <f t="shared" si="5"/>
        <v>Cheap</v>
      </c>
    </row>
    <row r="194" ht="15.75" hidden="1" customHeight="1">
      <c r="A194" s="4" t="s">
        <v>258</v>
      </c>
      <c r="B194" s="5">
        <v>45137.0</v>
      </c>
      <c r="C194" s="6" t="s">
        <v>182</v>
      </c>
      <c r="D194" s="6" t="s">
        <v>183</v>
      </c>
      <c r="E194" s="6" t="s">
        <v>24</v>
      </c>
      <c r="F194" s="6" t="s">
        <v>25</v>
      </c>
      <c r="G194" s="6">
        <v>64.0</v>
      </c>
      <c r="H194" s="6">
        <v>1.87</v>
      </c>
      <c r="I194" s="7">
        <f t="shared" si="1"/>
        <v>30</v>
      </c>
      <c r="J194" s="7">
        <f t="shared" si="2"/>
        <v>7</v>
      </c>
      <c r="K194" s="7">
        <f t="shared" si="3"/>
        <v>2023</v>
      </c>
      <c r="L194" s="7">
        <f t="shared" si="4"/>
        <v>119.68</v>
      </c>
      <c r="M194" s="6" t="str">
        <f t="shared" si="5"/>
        <v>Expensive</v>
      </c>
    </row>
    <row r="195" ht="15.75" hidden="1" customHeight="1">
      <c r="A195" s="4" t="s">
        <v>149</v>
      </c>
      <c r="B195" s="5">
        <v>45140.0</v>
      </c>
      <c r="C195" s="6" t="s">
        <v>14</v>
      </c>
      <c r="D195" s="6" t="s">
        <v>23</v>
      </c>
      <c r="E195" s="6" t="s">
        <v>16</v>
      </c>
      <c r="F195" s="6" t="s">
        <v>17</v>
      </c>
      <c r="G195" s="6">
        <v>71.0</v>
      </c>
      <c r="H195" s="6">
        <v>1.77</v>
      </c>
      <c r="I195" s="7">
        <f t="shared" si="1"/>
        <v>2</v>
      </c>
      <c r="J195" s="7">
        <f t="shared" si="2"/>
        <v>8</v>
      </c>
      <c r="K195" s="7">
        <f t="shared" si="3"/>
        <v>2023</v>
      </c>
      <c r="L195" s="7">
        <f t="shared" si="4"/>
        <v>125.67</v>
      </c>
      <c r="M195" s="6" t="str">
        <f t="shared" si="5"/>
        <v>Expensive</v>
      </c>
    </row>
    <row r="196" ht="15.75" hidden="1" customHeight="1">
      <c r="A196" s="4" t="s">
        <v>259</v>
      </c>
      <c r="B196" s="5">
        <v>45143.0</v>
      </c>
      <c r="C196" s="6" t="s">
        <v>182</v>
      </c>
      <c r="D196" s="6" t="s">
        <v>189</v>
      </c>
      <c r="E196" s="6" t="s">
        <v>24</v>
      </c>
      <c r="F196" s="6" t="s">
        <v>28</v>
      </c>
      <c r="G196" s="6">
        <v>90.0</v>
      </c>
      <c r="H196" s="6">
        <v>2.1799999999999997</v>
      </c>
      <c r="I196" s="7">
        <f t="shared" si="1"/>
        <v>5</v>
      </c>
      <c r="J196" s="7">
        <f t="shared" si="2"/>
        <v>8</v>
      </c>
      <c r="K196" s="7">
        <f t="shared" si="3"/>
        <v>2023</v>
      </c>
      <c r="L196" s="7">
        <f t="shared" si="4"/>
        <v>196.2</v>
      </c>
      <c r="M196" s="6" t="str">
        <f t="shared" si="5"/>
        <v>Expensive</v>
      </c>
    </row>
    <row r="197" ht="15.75" hidden="1" customHeight="1">
      <c r="A197" s="4" t="s">
        <v>260</v>
      </c>
      <c r="B197" s="5">
        <v>45146.0</v>
      </c>
      <c r="C197" s="6" t="s">
        <v>182</v>
      </c>
      <c r="D197" s="6" t="s">
        <v>189</v>
      </c>
      <c r="E197" s="6" t="s">
        <v>24</v>
      </c>
      <c r="F197" s="6" t="s">
        <v>42</v>
      </c>
      <c r="G197" s="6">
        <v>38.0</v>
      </c>
      <c r="H197" s="6">
        <v>2.84</v>
      </c>
      <c r="I197" s="7">
        <f t="shared" si="1"/>
        <v>8</v>
      </c>
      <c r="J197" s="7">
        <f t="shared" si="2"/>
        <v>8</v>
      </c>
      <c r="K197" s="7">
        <f t="shared" si="3"/>
        <v>2023</v>
      </c>
      <c r="L197" s="7">
        <f t="shared" si="4"/>
        <v>107.92</v>
      </c>
      <c r="M197" s="6" t="str">
        <f t="shared" si="5"/>
        <v>Expensive</v>
      </c>
    </row>
    <row r="198" ht="15.75" hidden="1" customHeight="1">
      <c r="A198" s="4" t="s">
        <v>150</v>
      </c>
      <c r="B198" s="5">
        <v>45149.0</v>
      </c>
      <c r="C198" s="6" t="s">
        <v>14</v>
      </c>
      <c r="D198" s="6" t="s">
        <v>15</v>
      </c>
      <c r="E198" s="6" t="s">
        <v>16</v>
      </c>
      <c r="F198" s="6" t="s">
        <v>17</v>
      </c>
      <c r="G198" s="6">
        <v>55.0</v>
      </c>
      <c r="H198" s="6">
        <v>1.7699999999999998</v>
      </c>
      <c r="I198" s="7">
        <f t="shared" si="1"/>
        <v>11</v>
      </c>
      <c r="J198" s="7">
        <f t="shared" si="2"/>
        <v>8</v>
      </c>
      <c r="K198" s="7">
        <f t="shared" si="3"/>
        <v>2023</v>
      </c>
      <c r="L198" s="7">
        <f t="shared" si="4"/>
        <v>97.35</v>
      </c>
      <c r="M198" s="6" t="str">
        <f t="shared" si="5"/>
        <v>Cheap</v>
      </c>
    </row>
    <row r="199" ht="15.75" hidden="1" customHeight="1">
      <c r="A199" s="4" t="s">
        <v>151</v>
      </c>
      <c r="B199" s="5">
        <v>45152.0</v>
      </c>
      <c r="C199" s="6" t="s">
        <v>14</v>
      </c>
      <c r="D199" s="6" t="s">
        <v>15</v>
      </c>
      <c r="E199" s="6" t="s">
        <v>33</v>
      </c>
      <c r="F199" s="6" t="s">
        <v>85</v>
      </c>
      <c r="G199" s="6">
        <v>22.0</v>
      </c>
      <c r="H199" s="6">
        <v>3.15</v>
      </c>
      <c r="I199" s="7">
        <f t="shared" si="1"/>
        <v>14</v>
      </c>
      <c r="J199" s="7">
        <f t="shared" si="2"/>
        <v>8</v>
      </c>
      <c r="K199" s="7">
        <f t="shared" si="3"/>
        <v>2023</v>
      </c>
      <c r="L199" s="7">
        <f t="shared" si="4"/>
        <v>69.3</v>
      </c>
      <c r="M199" s="6" t="str">
        <f t="shared" si="5"/>
        <v>Cheap</v>
      </c>
    </row>
    <row r="200" ht="15.75" hidden="1" customHeight="1">
      <c r="A200" s="4" t="s">
        <v>261</v>
      </c>
      <c r="B200" s="5">
        <v>45155.0</v>
      </c>
      <c r="C200" s="6" t="s">
        <v>182</v>
      </c>
      <c r="D200" s="6" t="s">
        <v>183</v>
      </c>
      <c r="E200" s="6" t="s">
        <v>16</v>
      </c>
      <c r="F200" s="6" t="s">
        <v>17</v>
      </c>
      <c r="G200" s="6">
        <v>34.0</v>
      </c>
      <c r="H200" s="6">
        <v>1.77</v>
      </c>
      <c r="I200" s="7">
        <f t="shared" si="1"/>
        <v>17</v>
      </c>
      <c r="J200" s="7">
        <f t="shared" si="2"/>
        <v>8</v>
      </c>
      <c r="K200" s="7">
        <f t="shared" si="3"/>
        <v>2023</v>
      </c>
      <c r="L200" s="7">
        <f t="shared" si="4"/>
        <v>60.18</v>
      </c>
      <c r="M200" s="6" t="str">
        <f t="shared" si="5"/>
        <v>Cheap</v>
      </c>
    </row>
    <row r="201" ht="15.75" hidden="1" customHeight="1">
      <c r="A201" s="4" t="s">
        <v>152</v>
      </c>
      <c r="B201" s="5">
        <v>45158.0</v>
      </c>
      <c r="C201" s="6" t="s">
        <v>14</v>
      </c>
      <c r="D201" s="6" t="s">
        <v>23</v>
      </c>
      <c r="E201" s="6" t="s">
        <v>16</v>
      </c>
      <c r="F201" s="6" t="s">
        <v>49</v>
      </c>
      <c r="G201" s="6">
        <v>39.0</v>
      </c>
      <c r="H201" s="6">
        <v>1.87</v>
      </c>
      <c r="I201" s="7">
        <f t="shared" si="1"/>
        <v>20</v>
      </c>
      <c r="J201" s="7">
        <f t="shared" si="2"/>
        <v>8</v>
      </c>
      <c r="K201" s="7">
        <f t="shared" si="3"/>
        <v>2023</v>
      </c>
      <c r="L201" s="7">
        <f t="shared" si="4"/>
        <v>72.93</v>
      </c>
      <c r="M201" s="6" t="str">
        <f t="shared" si="5"/>
        <v>Cheap</v>
      </c>
    </row>
    <row r="202" ht="15.75" hidden="1" customHeight="1">
      <c r="A202" s="4" t="s">
        <v>153</v>
      </c>
      <c r="B202" s="5">
        <v>45161.0</v>
      </c>
      <c r="C202" s="6" t="s">
        <v>14</v>
      </c>
      <c r="D202" s="6" t="s">
        <v>23</v>
      </c>
      <c r="E202" s="6" t="s">
        <v>24</v>
      </c>
      <c r="F202" s="6" t="s">
        <v>42</v>
      </c>
      <c r="G202" s="6">
        <v>41.0</v>
      </c>
      <c r="H202" s="6">
        <v>2.84</v>
      </c>
      <c r="I202" s="7">
        <f t="shared" si="1"/>
        <v>23</v>
      </c>
      <c r="J202" s="7">
        <f t="shared" si="2"/>
        <v>8</v>
      </c>
      <c r="K202" s="7">
        <f t="shared" si="3"/>
        <v>2023</v>
      </c>
      <c r="L202" s="7">
        <f t="shared" si="4"/>
        <v>116.44</v>
      </c>
      <c r="M202" s="6" t="str">
        <f t="shared" si="5"/>
        <v>Expensive</v>
      </c>
    </row>
    <row r="203" ht="15.75" hidden="1" customHeight="1">
      <c r="A203" s="4" t="s">
        <v>262</v>
      </c>
      <c r="B203" s="5">
        <v>45164.0</v>
      </c>
      <c r="C203" s="6" t="s">
        <v>182</v>
      </c>
      <c r="D203" s="6" t="s">
        <v>189</v>
      </c>
      <c r="E203" s="6" t="s">
        <v>16</v>
      </c>
      <c r="F203" s="6" t="s">
        <v>17</v>
      </c>
      <c r="G203" s="6">
        <v>41.0</v>
      </c>
      <c r="H203" s="6">
        <v>1.7699999999999998</v>
      </c>
      <c r="I203" s="7">
        <f t="shared" si="1"/>
        <v>26</v>
      </c>
      <c r="J203" s="7">
        <f t="shared" si="2"/>
        <v>8</v>
      </c>
      <c r="K203" s="7">
        <f t="shared" si="3"/>
        <v>2023</v>
      </c>
      <c r="L203" s="7">
        <f t="shared" si="4"/>
        <v>72.57</v>
      </c>
      <c r="M203" s="6" t="str">
        <f t="shared" si="5"/>
        <v>Cheap</v>
      </c>
    </row>
    <row r="204" ht="15.75" hidden="1" customHeight="1">
      <c r="A204" s="4" t="s">
        <v>154</v>
      </c>
      <c r="B204" s="5">
        <v>45167.0</v>
      </c>
      <c r="C204" s="6" t="s">
        <v>14</v>
      </c>
      <c r="D204" s="6" t="s">
        <v>15</v>
      </c>
      <c r="E204" s="6" t="s">
        <v>24</v>
      </c>
      <c r="F204" s="6" t="s">
        <v>28</v>
      </c>
      <c r="G204" s="6">
        <v>136.0</v>
      </c>
      <c r="H204" s="6">
        <v>2.18</v>
      </c>
      <c r="I204" s="7">
        <f t="shared" si="1"/>
        <v>29</v>
      </c>
      <c r="J204" s="7">
        <f t="shared" si="2"/>
        <v>8</v>
      </c>
      <c r="K204" s="7">
        <f t="shared" si="3"/>
        <v>2023</v>
      </c>
      <c r="L204" s="7">
        <f t="shared" si="4"/>
        <v>296.48</v>
      </c>
      <c r="M204" s="6" t="str">
        <f t="shared" si="5"/>
        <v>Expensive</v>
      </c>
    </row>
    <row r="205" ht="15.75" hidden="1" customHeight="1">
      <c r="A205" s="4" t="s">
        <v>155</v>
      </c>
      <c r="B205" s="5">
        <v>45170.0</v>
      </c>
      <c r="C205" s="6" t="s">
        <v>14</v>
      </c>
      <c r="D205" s="6" t="s">
        <v>15</v>
      </c>
      <c r="E205" s="6" t="s">
        <v>16</v>
      </c>
      <c r="F205" s="6" t="s">
        <v>17</v>
      </c>
      <c r="G205" s="6">
        <v>25.0</v>
      </c>
      <c r="H205" s="6">
        <v>1.77</v>
      </c>
      <c r="I205" s="7">
        <f t="shared" si="1"/>
        <v>1</v>
      </c>
      <c r="J205" s="7">
        <f t="shared" si="2"/>
        <v>9</v>
      </c>
      <c r="K205" s="7">
        <f t="shared" si="3"/>
        <v>2023</v>
      </c>
      <c r="L205" s="7">
        <f t="shared" si="4"/>
        <v>44.25</v>
      </c>
      <c r="M205" s="6" t="str">
        <f t="shared" si="5"/>
        <v>Cheap</v>
      </c>
    </row>
    <row r="206" ht="15.75" hidden="1" customHeight="1">
      <c r="A206" s="4" t="s">
        <v>156</v>
      </c>
      <c r="B206" s="5">
        <v>45173.0</v>
      </c>
      <c r="C206" s="6" t="s">
        <v>14</v>
      </c>
      <c r="D206" s="6" t="s">
        <v>15</v>
      </c>
      <c r="E206" s="6" t="s">
        <v>33</v>
      </c>
      <c r="F206" s="6" t="s">
        <v>85</v>
      </c>
      <c r="G206" s="6">
        <v>26.0</v>
      </c>
      <c r="H206" s="6">
        <v>3.1500000000000004</v>
      </c>
      <c r="I206" s="7">
        <f t="shared" si="1"/>
        <v>4</v>
      </c>
      <c r="J206" s="7">
        <f t="shared" si="2"/>
        <v>9</v>
      </c>
      <c r="K206" s="7">
        <f t="shared" si="3"/>
        <v>2023</v>
      </c>
      <c r="L206" s="7">
        <f t="shared" si="4"/>
        <v>81.9</v>
      </c>
      <c r="M206" s="6" t="str">
        <f t="shared" si="5"/>
        <v>Cheap</v>
      </c>
    </row>
    <row r="207" ht="15.75" hidden="1" customHeight="1">
      <c r="A207" s="4" t="s">
        <v>263</v>
      </c>
      <c r="B207" s="5">
        <v>45176.0</v>
      </c>
      <c r="C207" s="6" t="s">
        <v>182</v>
      </c>
      <c r="D207" s="6" t="s">
        <v>183</v>
      </c>
      <c r="E207" s="6" t="s">
        <v>16</v>
      </c>
      <c r="F207" s="6" t="s">
        <v>49</v>
      </c>
      <c r="G207" s="6">
        <v>50.0</v>
      </c>
      <c r="H207" s="6">
        <v>1.87</v>
      </c>
      <c r="I207" s="7">
        <f t="shared" si="1"/>
        <v>7</v>
      </c>
      <c r="J207" s="7">
        <f t="shared" si="2"/>
        <v>9</v>
      </c>
      <c r="K207" s="7">
        <f t="shared" si="3"/>
        <v>2023</v>
      </c>
      <c r="L207" s="7">
        <f t="shared" si="4"/>
        <v>93.5</v>
      </c>
      <c r="M207" s="6" t="str">
        <f t="shared" si="5"/>
        <v>Cheap</v>
      </c>
    </row>
    <row r="208" ht="15.75" hidden="1" customHeight="1">
      <c r="A208" s="4" t="s">
        <v>264</v>
      </c>
      <c r="B208" s="5">
        <v>45179.0</v>
      </c>
      <c r="C208" s="6" t="s">
        <v>182</v>
      </c>
      <c r="D208" s="6" t="s">
        <v>183</v>
      </c>
      <c r="E208" s="6" t="s">
        <v>24</v>
      </c>
      <c r="F208" s="6" t="s">
        <v>42</v>
      </c>
      <c r="G208" s="6">
        <v>79.0</v>
      </c>
      <c r="H208" s="6">
        <v>2.8400000000000003</v>
      </c>
      <c r="I208" s="7">
        <f t="shared" si="1"/>
        <v>10</v>
      </c>
      <c r="J208" s="7">
        <f t="shared" si="2"/>
        <v>9</v>
      </c>
      <c r="K208" s="7">
        <f t="shared" si="3"/>
        <v>2023</v>
      </c>
      <c r="L208" s="7">
        <f t="shared" si="4"/>
        <v>224.36</v>
      </c>
      <c r="M208" s="6" t="str">
        <f t="shared" si="5"/>
        <v>Expensive</v>
      </c>
    </row>
    <row r="209" ht="15.75" hidden="1" customHeight="1">
      <c r="A209" s="4" t="s">
        <v>157</v>
      </c>
      <c r="B209" s="5">
        <v>45182.0</v>
      </c>
      <c r="C209" s="6" t="s">
        <v>14</v>
      </c>
      <c r="D209" s="6" t="s">
        <v>23</v>
      </c>
      <c r="E209" s="6" t="s">
        <v>16</v>
      </c>
      <c r="F209" s="6" t="s">
        <v>17</v>
      </c>
      <c r="G209" s="6">
        <v>30.0</v>
      </c>
      <c r="H209" s="6">
        <v>1.77</v>
      </c>
      <c r="I209" s="7">
        <f t="shared" si="1"/>
        <v>13</v>
      </c>
      <c r="J209" s="7">
        <f t="shared" si="2"/>
        <v>9</v>
      </c>
      <c r="K209" s="7">
        <f t="shared" si="3"/>
        <v>2023</v>
      </c>
      <c r="L209" s="7">
        <f t="shared" si="4"/>
        <v>53.1</v>
      </c>
      <c r="M209" s="6" t="str">
        <f t="shared" si="5"/>
        <v>Cheap</v>
      </c>
    </row>
    <row r="210" ht="15.75" hidden="1" customHeight="1">
      <c r="A210" s="4" t="s">
        <v>158</v>
      </c>
      <c r="B210" s="5">
        <v>45185.0</v>
      </c>
      <c r="C210" s="6" t="s">
        <v>14</v>
      </c>
      <c r="D210" s="6" t="s">
        <v>23</v>
      </c>
      <c r="E210" s="6" t="s">
        <v>33</v>
      </c>
      <c r="F210" s="6" t="s">
        <v>34</v>
      </c>
      <c r="G210" s="6">
        <v>20.0</v>
      </c>
      <c r="H210" s="6">
        <v>1.6800000000000002</v>
      </c>
      <c r="I210" s="7">
        <f t="shared" si="1"/>
        <v>16</v>
      </c>
      <c r="J210" s="7">
        <f t="shared" si="2"/>
        <v>9</v>
      </c>
      <c r="K210" s="7">
        <f t="shared" si="3"/>
        <v>2023</v>
      </c>
      <c r="L210" s="7">
        <f t="shared" si="4"/>
        <v>33.6</v>
      </c>
      <c r="M210" s="6" t="str">
        <f t="shared" si="5"/>
        <v>Cheap</v>
      </c>
    </row>
    <row r="211" ht="15.75" hidden="1" customHeight="1">
      <c r="A211" s="4" t="s">
        <v>265</v>
      </c>
      <c r="B211" s="5">
        <v>45188.0</v>
      </c>
      <c r="C211" s="6" t="s">
        <v>182</v>
      </c>
      <c r="D211" s="6" t="s">
        <v>189</v>
      </c>
      <c r="E211" s="6" t="s">
        <v>16</v>
      </c>
      <c r="F211" s="6" t="s">
        <v>17</v>
      </c>
      <c r="G211" s="6">
        <v>49.0</v>
      </c>
      <c r="H211" s="6">
        <v>1.77</v>
      </c>
      <c r="I211" s="7">
        <f t="shared" si="1"/>
        <v>19</v>
      </c>
      <c r="J211" s="7">
        <f t="shared" si="2"/>
        <v>9</v>
      </c>
      <c r="K211" s="7">
        <f t="shared" si="3"/>
        <v>2023</v>
      </c>
      <c r="L211" s="7">
        <f t="shared" si="4"/>
        <v>86.73</v>
      </c>
      <c r="M211" s="6" t="str">
        <f t="shared" si="5"/>
        <v>Cheap</v>
      </c>
    </row>
    <row r="212" ht="15.75" hidden="1" customHeight="1">
      <c r="A212" s="4" t="s">
        <v>159</v>
      </c>
      <c r="B212" s="5">
        <v>45191.0</v>
      </c>
      <c r="C212" s="6" t="s">
        <v>14</v>
      </c>
      <c r="D212" s="6" t="s">
        <v>15</v>
      </c>
      <c r="E212" s="6" t="s">
        <v>24</v>
      </c>
      <c r="F212" s="6" t="s">
        <v>28</v>
      </c>
      <c r="G212" s="6">
        <v>40.0</v>
      </c>
      <c r="H212" s="6">
        <v>2.18</v>
      </c>
      <c r="I212" s="7">
        <f t="shared" si="1"/>
        <v>22</v>
      </c>
      <c r="J212" s="7">
        <f t="shared" si="2"/>
        <v>9</v>
      </c>
      <c r="K212" s="7">
        <f t="shared" si="3"/>
        <v>2023</v>
      </c>
      <c r="L212" s="7">
        <f t="shared" si="4"/>
        <v>87.2</v>
      </c>
      <c r="M212" s="6" t="str">
        <f t="shared" si="5"/>
        <v>Cheap</v>
      </c>
    </row>
    <row r="213" ht="15.75" hidden="1" customHeight="1">
      <c r="A213" s="4" t="s">
        <v>160</v>
      </c>
      <c r="B213" s="5">
        <v>45194.0</v>
      </c>
      <c r="C213" s="6" t="s">
        <v>14</v>
      </c>
      <c r="D213" s="6" t="s">
        <v>15</v>
      </c>
      <c r="E213" s="6" t="s">
        <v>16</v>
      </c>
      <c r="F213" s="6" t="s">
        <v>17</v>
      </c>
      <c r="G213" s="6">
        <v>31.0</v>
      </c>
      <c r="H213" s="6">
        <v>1.77</v>
      </c>
      <c r="I213" s="7">
        <f t="shared" si="1"/>
        <v>25</v>
      </c>
      <c r="J213" s="7">
        <f t="shared" si="2"/>
        <v>9</v>
      </c>
      <c r="K213" s="7">
        <f t="shared" si="3"/>
        <v>2023</v>
      </c>
      <c r="L213" s="7">
        <f t="shared" si="4"/>
        <v>54.87</v>
      </c>
      <c r="M213" s="6" t="str">
        <f t="shared" si="5"/>
        <v>Cheap</v>
      </c>
    </row>
    <row r="214" ht="15.75" hidden="1" customHeight="1">
      <c r="A214" s="4" t="s">
        <v>161</v>
      </c>
      <c r="B214" s="5">
        <v>45197.0</v>
      </c>
      <c r="C214" s="6" t="s">
        <v>14</v>
      </c>
      <c r="D214" s="6" t="s">
        <v>15</v>
      </c>
      <c r="E214" s="6" t="s">
        <v>33</v>
      </c>
      <c r="F214" s="6" t="s">
        <v>85</v>
      </c>
      <c r="G214" s="6">
        <v>21.0</v>
      </c>
      <c r="H214" s="6">
        <v>3.1500000000000004</v>
      </c>
      <c r="I214" s="7">
        <f t="shared" si="1"/>
        <v>28</v>
      </c>
      <c r="J214" s="7">
        <f t="shared" si="2"/>
        <v>9</v>
      </c>
      <c r="K214" s="7">
        <f t="shared" si="3"/>
        <v>2023</v>
      </c>
      <c r="L214" s="7">
        <f t="shared" si="4"/>
        <v>66.15</v>
      </c>
      <c r="M214" s="6" t="str">
        <f t="shared" si="5"/>
        <v>Cheap</v>
      </c>
    </row>
    <row r="215" ht="15.75" hidden="1" customHeight="1">
      <c r="A215" s="4" t="s">
        <v>266</v>
      </c>
      <c r="B215" s="5">
        <v>45200.0</v>
      </c>
      <c r="C215" s="6" t="s">
        <v>182</v>
      </c>
      <c r="D215" s="6" t="s">
        <v>183</v>
      </c>
      <c r="E215" s="6" t="s">
        <v>16</v>
      </c>
      <c r="F215" s="6" t="s">
        <v>49</v>
      </c>
      <c r="G215" s="6">
        <v>43.0</v>
      </c>
      <c r="H215" s="6">
        <v>1.8699999999999999</v>
      </c>
      <c r="I215" s="7">
        <f t="shared" si="1"/>
        <v>1</v>
      </c>
      <c r="J215" s="7">
        <f t="shared" si="2"/>
        <v>10</v>
      </c>
      <c r="K215" s="7">
        <f t="shared" si="3"/>
        <v>2023</v>
      </c>
      <c r="L215" s="7">
        <f t="shared" si="4"/>
        <v>80.41</v>
      </c>
      <c r="M215" s="6" t="str">
        <f t="shared" si="5"/>
        <v>Cheap</v>
      </c>
    </row>
    <row r="216" ht="15.75" hidden="1" customHeight="1">
      <c r="A216" s="4" t="s">
        <v>267</v>
      </c>
      <c r="B216" s="5">
        <v>45203.0</v>
      </c>
      <c r="C216" s="6" t="s">
        <v>182</v>
      </c>
      <c r="D216" s="6" t="s">
        <v>183</v>
      </c>
      <c r="E216" s="6" t="s">
        <v>24</v>
      </c>
      <c r="F216" s="6" t="s">
        <v>42</v>
      </c>
      <c r="G216" s="6">
        <v>47.0</v>
      </c>
      <c r="H216" s="6">
        <v>2.84</v>
      </c>
      <c r="I216" s="7">
        <f t="shared" si="1"/>
        <v>4</v>
      </c>
      <c r="J216" s="7">
        <f t="shared" si="2"/>
        <v>10</v>
      </c>
      <c r="K216" s="7">
        <f t="shared" si="3"/>
        <v>2023</v>
      </c>
      <c r="L216" s="7">
        <f t="shared" si="4"/>
        <v>133.48</v>
      </c>
      <c r="M216" s="6" t="str">
        <f t="shared" si="5"/>
        <v>Expensive</v>
      </c>
    </row>
    <row r="217" ht="15.75" hidden="1" customHeight="1">
      <c r="A217" s="4" t="s">
        <v>162</v>
      </c>
      <c r="B217" s="5">
        <v>45206.0</v>
      </c>
      <c r="C217" s="6" t="s">
        <v>14</v>
      </c>
      <c r="D217" s="6" t="s">
        <v>23</v>
      </c>
      <c r="E217" s="6" t="s">
        <v>24</v>
      </c>
      <c r="F217" s="6" t="s">
        <v>28</v>
      </c>
      <c r="G217" s="6">
        <v>175.0</v>
      </c>
      <c r="H217" s="6">
        <v>2.18</v>
      </c>
      <c r="I217" s="7">
        <f t="shared" si="1"/>
        <v>7</v>
      </c>
      <c r="J217" s="7">
        <f t="shared" si="2"/>
        <v>10</v>
      </c>
      <c r="K217" s="7">
        <f t="shared" si="3"/>
        <v>2023</v>
      </c>
      <c r="L217" s="7">
        <f t="shared" si="4"/>
        <v>381.5</v>
      </c>
      <c r="M217" s="6" t="str">
        <f t="shared" si="5"/>
        <v>Expensive</v>
      </c>
    </row>
    <row r="218" ht="15.75" hidden="1" customHeight="1">
      <c r="A218" s="4" t="s">
        <v>163</v>
      </c>
      <c r="B218" s="5">
        <v>45209.0</v>
      </c>
      <c r="C218" s="6" t="s">
        <v>14</v>
      </c>
      <c r="D218" s="6" t="s">
        <v>23</v>
      </c>
      <c r="E218" s="6" t="s">
        <v>24</v>
      </c>
      <c r="F218" s="6" t="s">
        <v>25</v>
      </c>
      <c r="G218" s="6">
        <v>23.0</v>
      </c>
      <c r="H218" s="6">
        <v>1.8699999999999999</v>
      </c>
      <c r="I218" s="7">
        <f t="shared" si="1"/>
        <v>10</v>
      </c>
      <c r="J218" s="7">
        <f t="shared" si="2"/>
        <v>10</v>
      </c>
      <c r="K218" s="7">
        <f t="shared" si="3"/>
        <v>2023</v>
      </c>
      <c r="L218" s="7">
        <f t="shared" si="4"/>
        <v>43.01</v>
      </c>
      <c r="M218" s="6" t="str">
        <f t="shared" si="5"/>
        <v>Cheap</v>
      </c>
    </row>
    <row r="219" ht="15.75" hidden="1" customHeight="1">
      <c r="A219" s="4" t="s">
        <v>268</v>
      </c>
      <c r="B219" s="5">
        <v>45212.0</v>
      </c>
      <c r="C219" s="6" t="s">
        <v>182</v>
      </c>
      <c r="D219" s="6" t="s">
        <v>189</v>
      </c>
      <c r="E219" s="6" t="s">
        <v>16</v>
      </c>
      <c r="F219" s="6" t="s">
        <v>17</v>
      </c>
      <c r="G219" s="6">
        <v>40.0</v>
      </c>
      <c r="H219" s="6">
        <v>1.77</v>
      </c>
      <c r="I219" s="7">
        <f t="shared" si="1"/>
        <v>13</v>
      </c>
      <c r="J219" s="7">
        <f t="shared" si="2"/>
        <v>10</v>
      </c>
      <c r="K219" s="7">
        <f t="shared" si="3"/>
        <v>2023</v>
      </c>
      <c r="L219" s="7">
        <f t="shared" si="4"/>
        <v>70.8</v>
      </c>
      <c r="M219" s="6" t="str">
        <f t="shared" si="5"/>
        <v>Cheap</v>
      </c>
    </row>
    <row r="220" ht="15.75" hidden="1" customHeight="1">
      <c r="A220" s="4" t="s">
        <v>164</v>
      </c>
      <c r="B220" s="5">
        <v>45215.0</v>
      </c>
      <c r="C220" s="6" t="s">
        <v>14</v>
      </c>
      <c r="D220" s="6" t="s">
        <v>15</v>
      </c>
      <c r="E220" s="6" t="s">
        <v>24</v>
      </c>
      <c r="F220" s="6" t="s">
        <v>28</v>
      </c>
      <c r="G220" s="6">
        <v>87.0</v>
      </c>
      <c r="H220" s="6">
        <v>2.18</v>
      </c>
      <c r="I220" s="7">
        <f t="shared" si="1"/>
        <v>16</v>
      </c>
      <c r="J220" s="7">
        <f t="shared" si="2"/>
        <v>10</v>
      </c>
      <c r="K220" s="7">
        <f t="shared" si="3"/>
        <v>2023</v>
      </c>
      <c r="L220" s="7">
        <f t="shared" si="4"/>
        <v>189.66</v>
      </c>
      <c r="M220" s="6" t="str">
        <f t="shared" si="5"/>
        <v>Expensive</v>
      </c>
    </row>
    <row r="221" ht="15.75" hidden="1" customHeight="1">
      <c r="A221" s="4" t="s">
        <v>165</v>
      </c>
      <c r="B221" s="5">
        <v>45218.0</v>
      </c>
      <c r="C221" s="6" t="s">
        <v>14</v>
      </c>
      <c r="D221" s="6" t="s">
        <v>15</v>
      </c>
      <c r="E221" s="6" t="s">
        <v>16</v>
      </c>
      <c r="F221" s="6" t="s">
        <v>17</v>
      </c>
      <c r="G221" s="6">
        <v>43.0</v>
      </c>
      <c r="H221" s="6">
        <v>1.77</v>
      </c>
      <c r="I221" s="7">
        <f t="shared" si="1"/>
        <v>19</v>
      </c>
      <c r="J221" s="7">
        <f t="shared" si="2"/>
        <v>10</v>
      </c>
      <c r="K221" s="7">
        <f t="shared" si="3"/>
        <v>2023</v>
      </c>
      <c r="L221" s="7">
        <f t="shared" si="4"/>
        <v>76.11</v>
      </c>
      <c r="M221" s="6" t="str">
        <f t="shared" si="5"/>
        <v>Cheap</v>
      </c>
    </row>
    <row r="222" ht="15.75" hidden="1" customHeight="1">
      <c r="A222" s="4" t="s">
        <v>166</v>
      </c>
      <c r="B222" s="5">
        <v>45221.0</v>
      </c>
      <c r="C222" s="6" t="s">
        <v>14</v>
      </c>
      <c r="D222" s="6" t="s">
        <v>15</v>
      </c>
      <c r="E222" s="6" t="s">
        <v>19</v>
      </c>
      <c r="F222" s="6" t="s">
        <v>20</v>
      </c>
      <c r="G222" s="6">
        <v>30.0</v>
      </c>
      <c r="H222" s="6">
        <v>3.49</v>
      </c>
      <c r="I222" s="7">
        <f t="shared" si="1"/>
        <v>22</v>
      </c>
      <c r="J222" s="7">
        <f t="shared" si="2"/>
        <v>10</v>
      </c>
      <c r="K222" s="7">
        <f t="shared" si="3"/>
        <v>2023</v>
      </c>
      <c r="L222" s="7">
        <f t="shared" si="4"/>
        <v>104.7</v>
      </c>
      <c r="M222" s="6" t="str">
        <f t="shared" si="5"/>
        <v>Expensive</v>
      </c>
    </row>
    <row r="223" ht="15.75" hidden="1" customHeight="1">
      <c r="A223" s="4" t="s">
        <v>269</v>
      </c>
      <c r="B223" s="5">
        <v>45224.0</v>
      </c>
      <c r="C223" s="6" t="s">
        <v>182</v>
      </c>
      <c r="D223" s="6" t="s">
        <v>183</v>
      </c>
      <c r="E223" s="6" t="s">
        <v>16</v>
      </c>
      <c r="F223" s="6" t="s">
        <v>17</v>
      </c>
      <c r="G223" s="6">
        <v>35.0</v>
      </c>
      <c r="H223" s="6">
        <v>1.77</v>
      </c>
      <c r="I223" s="7">
        <f t="shared" si="1"/>
        <v>25</v>
      </c>
      <c r="J223" s="7">
        <f t="shared" si="2"/>
        <v>10</v>
      </c>
      <c r="K223" s="7">
        <f t="shared" si="3"/>
        <v>2023</v>
      </c>
      <c r="L223" s="7">
        <f t="shared" si="4"/>
        <v>61.95</v>
      </c>
      <c r="M223" s="6" t="str">
        <f t="shared" si="5"/>
        <v>Cheap</v>
      </c>
    </row>
    <row r="224" ht="15.75" hidden="1" customHeight="1">
      <c r="A224" s="4" t="s">
        <v>167</v>
      </c>
      <c r="B224" s="5">
        <v>45227.0</v>
      </c>
      <c r="C224" s="6" t="s">
        <v>14</v>
      </c>
      <c r="D224" s="6" t="s">
        <v>23</v>
      </c>
      <c r="E224" s="6" t="s">
        <v>16</v>
      </c>
      <c r="F224" s="6" t="s">
        <v>49</v>
      </c>
      <c r="G224" s="6">
        <v>57.0</v>
      </c>
      <c r="H224" s="6">
        <v>1.87</v>
      </c>
      <c r="I224" s="7">
        <f t="shared" si="1"/>
        <v>28</v>
      </c>
      <c r="J224" s="7">
        <f t="shared" si="2"/>
        <v>10</v>
      </c>
      <c r="K224" s="7">
        <f t="shared" si="3"/>
        <v>2023</v>
      </c>
      <c r="L224" s="7">
        <f t="shared" si="4"/>
        <v>106.59</v>
      </c>
      <c r="M224" s="6" t="str">
        <f t="shared" si="5"/>
        <v>Expensive</v>
      </c>
    </row>
    <row r="225" ht="15.75" hidden="1" customHeight="1">
      <c r="A225" s="4" t="s">
        <v>168</v>
      </c>
      <c r="B225" s="5">
        <v>45230.0</v>
      </c>
      <c r="C225" s="6" t="s">
        <v>14</v>
      </c>
      <c r="D225" s="6" t="s">
        <v>23</v>
      </c>
      <c r="E225" s="6" t="s">
        <v>33</v>
      </c>
      <c r="F225" s="6" t="s">
        <v>34</v>
      </c>
      <c r="G225" s="6">
        <v>25.0</v>
      </c>
      <c r="H225" s="6">
        <v>1.68</v>
      </c>
      <c r="I225" s="7">
        <f t="shared" si="1"/>
        <v>31</v>
      </c>
      <c r="J225" s="7">
        <f t="shared" si="2"/>
        <v>10</v>
      </c>
      <c r="K225" s="7">
        <f t="shared" si="3"/>
        <v>2023</v>
      </c>
      <c r="L225" s="7">
        <f t="shared" si="4"/>
        <v>42</v>
      </c>
      <c r="M225" s="6" t="str">
        <f t="shared" si="5"/>
        <v>Cheap</v>
      </c>
    </row>
    <row r="226" ht="15.75" hidden="1" customHeight="1">
      <c r="A226" s="4" t="s">
        <v>270</v>
      </c>
      <c r="B226" s="5">
        <v>45233.0</v>
      </c>
      <c r="C226" s="6" t="s">
        <v>182</v>
      </c>
      <c r="D226" s="6" t="s">
        <v>189</v>
      </c>
      <c r="E226" s="6" t="s">
        <v>24</v>
      </c>
      <c r="F226" s="6" t="s">
        <v>25</v>
      </c>
      <c r="G226" s="6">
        <v>24.0</v>
      </c>
      <c r="H226" s="6">
        <v>1.87</v>
      </c>
      <c r="I226" s="7">
        <f t="shared" si="1"/>
        <v>3</v>
      </c>
      <c r="J226" s="7">
        <f t="shared" si="2"/>
        <v>11</v>
      </c>
      <c r="K226" s="7">
        <f t="shared" si="3"/>
        <v>2023</v>
      </c>
      <c r="L226" s="7">
        <f t="shared" si="4"/>
        <v>44.88</v>
      </c>
      <c r="M226" s="6" t="str">
        <f t="shared" si="5"/>
        <v>Cheap</v>
      </c>
    </row>
    <row r="227" ht="15.75" hidden="1" customHeight="1">
      <c r="A227" s="4" t="s">
        <v>169</v>
      </c>
      <c r="B227" s="5">
        <v>45236.0</v>
      </c>
      <c r="C227" s="6" t="s">
        <v>14</v>
      </c>
      <c r="D227" s="6" t="s">
        <v>15</v>
      </c>
      <c r="E227" s="6" t="s">
        <v>16</v>
      </c>
      <c r="F227" s="6" t="s">
        <v>49</v>
      </c>
      <c r="G227" s="6">
        <v>83.0</v>
      </c>
      <c r="H227" s="6">
        <v>1.87</v>
      </c>
      <c r="I227" s="7">
        <f t="shared" si="1"/>
        <v>6</v>
      </c>
      <c r="J227" s="7">
        <f t="shared" si="2"/>
        <v>11</v>
      </c>
      <c r="K227" s="7">
        <f t="shared" si="3"/>
        <v>2023</v>
      </c>
      <c r="L227" s="7">
        <f t="shared" si="4"/>
        <v>155.21</v>
      </c>
      <c r="M227" s="6" t="str">
        <f t="shared" si="5"/>
        <v>Expensive</v>
      </c>
    </row>
    <row r="228" ht="15.75" hidden="1" customHeight="1">
      <c r="A228" s="4" t="s">
        <v>170</v>
      </c>
      <c r="B228" s="5">
        <v>45239.0</v>
      </c>
      <c r="C228" s="6" t="s">
        <v>14</v>
      </c>
      <c r="D228" s="6" t="s">
        <v>15</v>
      </c>
      <c r="E228" s="6" t="s">
        <v>24</v>
      </c>
      <c r="F228" s="6" t="s">
        <v>42</v>
      </c>
      <c r="G228" s="6">
        <v>124.0</v>
      </c>
      <c r="H228" s="6">
        <v>2.8400000000000003</v>
      </c>
      <c r="I228" s="7">
        <f t="shared" si="1"/>
        <v>9</v>
      </c>
      <c r="J228" s="7">
        <f t="shared" si="2"/>
        <v>11</v>
      </c>
      <c r="K228" s="7">
        <f t="shared" si="3"/>
        <v>2023</v>
      </c>
      <c r="L228" s="7">
        <f t="shared" si="4"/>
        <v>352.16</v>
      </c>
      <c r="M228" s="6" t="str">
        <f t="shared" si="5"/>
        <v>Expensive</v>
      </c>
    </row>
    <row r="229" ht="15.75" hidden="1" customHeight="1">
      <c r="A229" s="4" t="s">
        <v>271</v>
      </c>
      <c r="B229" s="5">
        <v>45242.0</v>
      </c>
      <c r="C229" s="6" t="s">
        <v>182</v>
      </c>
      <c r="D229" s="6" t="s">
        <v>183</v>
      </c>
      <c r="E229" s="6" t="s">
        <v>16</v>
      </c>
      <c r="F229" s="6" t="s">
        <v>17</v>
      </c>
      <c r="G229" s="6">
        <v>137.0</v>
      </c>
      <c r="H229" s="6">
        <v>1.77</v>
      </c>
      <c r="I229" s="7">
        <f t="shared" si="1"/>
        <v>12</v>
      </c>
      <c r="J229" s="7">
        <f t="shared" si="2"/>
        <v>11</v>
      </c>
      <c r="K229" s="7">
        <f t="shared" si="3"/>
        <v>2023</v>
      </c>
      <c r="L229" s="7">
        <f t="shared" si="4"/>
        <v>242.49</v>
      </c>
      <c r="M229" s="6" t="str">
        <f t="shared" si="5"/>
        <v>Expensive</v>
      </c>
    </row>
    <row r="230" ht="15.75" hidden="1" customHeight="1">
      <c r="A230" s="4" t="s">
        <v>171</v>
      </c>
      <c r="B230" s="5">
        <v>45245.0</v>
      </c>
      <c r="C230" s="6" t="s">
        <v>14</v>
      </c>
      <c r="D230" s="6" t="s">
        <v>23</v>
      </c>
      <c r="E230" s="6" t="s">
        <v>24</v>
      </c>
      <c r="F230" s="6" t="s">
        <v>28</v>
      </c>
      <c r="G230" s="6">
        <v>146.0</v>
      </c>
      <c r="H230" s="6">
        <v>2.1799999999999997</v>
      </c>
      <c r="I230" s="7">
        <f t="shared" si="1"/>
        <v>15</v>
      </c>
      <c r="J230" s="7">
        <f t="shared" si="2"/>
        <v>11</v>
      </c>
      <c r="K230" s="7">
        <f t="shared" si="3"/>
        <v>2023</v>
      </c>
      <c r="L230" s="7">
        <f t="shared" si="4"/>
        <v>318.28</v>
      </c>
      <c r="M230" s="6" t="str">
        <f t="shared" si="5"/>
        <v>Expensive</v>
      </c>
    </row>
    <row r="231" ht="15.75" hidden="1" customHeight="1">
      <c r="A231" s="4" t="s">
        <v>172</v>
      </c>
      <c r="B231" s="5">
        <v>45248.0</v>
      </c>
      <c r="C231" s="6" t="s">
        <v>14</v>
      </c>
      <c r="D231" s="6" t="s">
        <v>23</v>
      </c>
      <c r="E231" s="6" t="s">
        <v>24</v>
      </c>
      <c r="F231" s="6" t="s">
        <v>25</v>
      </c>
      <c r="G231" s="6">
        <v>34.0</v>
      </c>
      <c r="H231" s="6">
        <v>1.8699999999999999</v>
      </c>
      <c r="I231" s="7">
        <f t="shared" si="1"/>
        <v>18</v>
      </c>
      <c r="J231" s="7">
        <f t="shared" si="2"/>
        <v>11</v>
      </c>
      <c r="K231" s="7">
        <f t="shared" si="3"/>
        <v>2023</v>
      </c>
      <c r="L231" s="7">
        <f t="shared" si="4"/>
        <v>63.58</v>
      </c>
      <c r="M231" s="6" t="str">
        <f t="shared" si="5"/>
        <v>Cheap</v>
      </c>
    </row>
    <row r="232" ht="15.75" hidden="1" customHeight="1">
      <c r="A232" s="4" t="s">
        <v>272</v>
      </c>
      <c r="B232" s="5">
        <v>45251.0</v>
      </c>
      <c r="C232" s="6" t="s">
        <v>182</v>
      </c>
      <c r="D232" s="6" t="s">
        <v>189</v>
      </c>
      <c r="E232" s="6" t="s">
        <v>16</v>
      </c>
      <c r="F232" s="6" t="s">
        <v>17</v>
      </c>
      <c r="G232" s="6">
        <v>20.0</v>
      </c>
      <c r="H232" s="6">
        <v>1.77</v>
      </c>
      <c r="I232" s="7">
        <f t="shared" si="1"/>
        <v>21</v>
      </c>
      <c r="J232" s="7">
        <f t="shared" si="2"/>
        <v>11</v>
      </c>
      <c r="K232" s="7">
        <f t="shared" si="3"/>
        <v>2023</v>
      </c>
      <c r="L232" s="7">
        <f t="shared" si="4"/>
        <v>35.4</v>
      </c>
      <c r="M232" s="6" t="str">
        <f t="shared" si="5"/>
        <v>Cheap</v>
      </c>
    </row>
    <row r="233" ht="15.75" hidden="1" customHeight="1">
      <c r="A233" s="4" t="s">
        <v>173</v>
      </c>
      <c r="B233" s="5">
        <v>45254.0</v>
      </c>
      <c r="C233" s="6" t="s">
        <v>14</v>
      </c>
      <c r="D233" s="6" t="s">
        <v>15</v>
      </c>
      <c r="E233" s="6" t="s">
        <v>24</v>
      </c>
      <c r="F233" s="6" t="s">
        <v>28</v>
      </c>
      <c r="G233" s="6">
        <v>139.0</v>
      </c>
      <c r="H233" s="6">
        <v>2.1799999999999997</v>
      </c>
      <c r="I233" s="7">
        <f t="shared" si="1"/>
        <v>24</v>
      </c>
      <c r="J233" s="7">
        <f t="shared" si="2"/>
        <v>11</v>
      </c>
      <c r="K233" s="7">
        <f t="shared" si="3"/>
        <v>2023</v>
      </c>
      <c r="L233" s="7">
        <f t="shared" si="4"/>
        <v>303.02</v>
      </c>
      <c r="M233" s="6" t="str">
        <f t="shared" si="5"/>
        <v>Expensive</v>
      </c>
    </row>
    <row r="234" ht="15.75" hidden="1" customHeight="1">
      <c r="A234" s="4" t="s">
        <v>174</v>
      </c>
      <c r="B234" s="5">
        <v>45257.0</v>
      </c>
      <c r="C234" s="6" t="s">
        <v>14</v>
      </c>
      <c r="D234" s="6" t="s">
        <v>15</v>
      </c>
      <c r="E234" s="6" t="s">
        <v>24</v>
      </c>
      <c r="F234" s="6" t="s">
        <v>25</v>
      </c>
      <c r="G234" s="6">
        <v>211.0</v>
      </c>
      <c r="H234" s="6">
        <v>1.8699999999999999</v>
      </c>
      <c r="I234" s="7">
        <f t="shared" si="1"/>
        <v>27</v>
      </c>
      <c r="J234" s="7">
        <f t="shared" si="2"/>
        <v>11</v>
      </c>
      <c r="K234" s="7">
        <f t="shared" si="3"/>
        <v>2023</v>
      </c>
      <c r="L234" s="7">
        <f t="shared" si="4"/>
        <v>394.57</v>
      </c>
      <c r="M234" s="6" t="str">
        <f t="shared" si="5"/>
        <v>Expensive</v>
      </c>
    </row>
    <row r="235" ht="15.75" hidden="1" customHeight="1">
      <c r="A235" s="4" t="s">
        <v>175</v>
      </c>
      <c r="B235" s="5">
        <v>45260.0</v>
      </c>
      <c r="C235" s="6" t="s">
        <v>14</v>
      </c>
      <c r="D235" s="6" t="s">
        <v>15</v>
      </c>
      <c r="E235" s="6" t="s">
        <v>19</v>
      </c>
      <c r="F235" s="6" t="s">
        <v>20</v>
      </c>
      <c r="G235" s="6">
        <v>20.0</v>
      </c>
      <c r="H235" s="6">
        <v>3.4899999999999998</v>
      </c>
      <c r="I235" s="7">
        <f t="shared" si="1"/>
        <v>30</v>
      </c>
      <c r="J235" s="7">
        <f t="shared" si="2"/>
        <v>11</v>
      </c>
      <c r="K235" s="7">
        <f t="shared" si="3"/>
        <v>2023</v>
      </c>
      <c r="L235" s="7">
        <f t="shared" si="4"/>
        <v>69.8</v>
      </c>
      <c r="M235" s="6" t="str">
        <f t="shared" si="5"/>
        <v>Cheap</v>
      </c>
    </row>
    <row r="236" ht="15.75" hidden="1" customHeight="1">
      <c r="A236" s="4" t="s">
        <v>273</v>
      </c>
      <c r="B236" s="5">
        <v>45263.0</v>
      </c>
      <c r="C236" s="6" t="s">
        <v>182</v>
      </c>
      <c r="D236" s="6" t="s">
        <v>183</v>
      </c>
      <c r="E236" s="6" t="s">
        <v>16</v>
      </c>
      <c r="F236" s="6" t="s">
        <v>49</v>
      </c>
      <c r="G236" s="6">
        <v>42.0</v>
      </c>
      <c r="H236" s="6">
        <v>1.87</v>
      </c>
      <c r="I236" s="7">
        <f t="shared" si="1"/>
        <v>3</v>
      </c>
      <c r="J236" s="7">
        <f t="shared" si="2"/>
        <v>12</v>
      </c>
      <c r="K236" s="7">
        <f t="shared" si="3"/>
        <v>2023</v>
      </c>
      <c r="L236" s="7">
        <f t="shared" si="4"/>
        <v>78.54</v>
      </c>
      <c r="M236" s="6" t="str">
        <f t="shared" si="5"/>
        <v>Cheap</v>
      </c>
    </row>
    <row r="237" ht="15.75" hidden="1" customHeight="1">
      <c r="A237" s="4" t="s">
        <v>274</v>
      </c>
      <c r="B237" s="5">
        <v>45266.0</v>
      </c>
      <c r="C237" s="6" t="s">
        <v>182</v>
      </c>
      <c r="D237" s="6" t="s">
        <v>183</v>
      </c>
      <c r="E237" s="6" t="s">
        <v>24</v>
      </c>
      <c r="F237" s="6" t="s">
        <v>42</v>
      </c>
      <c r="G237" s="6">
        <v>100.0</v>
      </c>
      <c r="H237" s="6">
        <v>2.84</v>
      </c>
      <c r="I237" s="7">
        <f t="shared" si="1"/>
        <v>6</v>
      </c>
      <c r="J237" s="7">
        <f t="shared" si="2"/>
        <v>12</v>
      </c>
      <c r="K237" s="7">
        <f t="shared" si="3"/>
        <v>2023</v>
      </c>
      <c r="L237" s="7">
        <f t="shared" si="4"/>
        <v>284</v>
      </c>
      <c r="M237" s="6" t="str">
        <f t="shared" si="5"/>
        <v>Expensive</v>
      </c>
    </row>
    <row r="238" ht="15.75" hidden="1" customHeight="1">
      <c r="A238" s="4" t="s">
        <v>176</v>
      </c>
      <c r="B238" s="5">
        <v>45269.0</v>
      </c>
      <c r="C238" s="6" t="s">
        <v>14</v>
      </c>
      <c r="D238" s="6" t="s">
        <v>23</v>
      </c>
      <c r="E238" s="6" t="s">
        <v>16</v>
      </c>
      <c r="F238" s="6" t="s">
        <v>17</v>
      </c>
      <c r="G238" s="6">
        <v>38.0</v>
      </c>
      <c r="H238" s="6">
        <v>1.7700000000000002</v>
      </c>
      <c r="I238" s="7">
        <f t="shared" si="1"/>
        <v>9</v>
      </c>
      <c r="J238" s="7">
        <f t="shared" si="2"/>
        <v>12</v>
      </c>
      <c r="K238" s="7">
        <f t="shared" si="3"/>
        <v>2023</v>
      </c>
      <c r="L238" s="7">
        <f t="shared" si="4"/>
        <v>67.26</v>
      </c>
      <c r="M238" s="6" t="str">
        <f t="shared" si="5"/>
        <v>Cheap</v>
      </c>
    </row>
    <row r="239" ht="15.75" hidden="1" customHeight="1">
      <c r="A239" s="4" t="s">
        <v>177</v>
      </c>
      <c r="B239" s="5">
        <v>45272.0</v>
      </c>
      <c r="C239" s="6" t="s">
        <v>14</v>
      </c>
      <c r="D239" s="6" t="s">
        <v>23</v>
      </c>
      <c r="E239" s="6" t="s">
        <v>19</v>
      </c>
      <c r="F239" s="6" t="s">
        <v>20</v>
      </c>
      <c r="G239" s="6">
        <v>25.0</v>
      </c>
      <c r="H239" s="6">
        <v>3.49</v>
      </c>
      <c r="I239" s="7">
        <f t="shared" si="1"/>
        <v>12</v>
      </c>
      <c r="J239" s="7">
        <f t="shared" si="2"/>
        <v>12</v>
      </c>
      <c r="K239" s="7">
        <f t="shared" si="3"/>
        <v>2023</v>
      </c>
      <c r="L239" s="7">
        <f t="shared" si="4"/>
        <v>87.25</v>
      </c>
      <c r="M239" s="6" t="str">
        <f t="shared" si="5"/>
        <v>Cheap</v>
      </c>
    </row>
    <row r="240" ht="15.75" hidden="1" customHeight="1">
      <c r="A240" s="4" t="s">
        <v>275</v>
      </c>
      <c r="B240" s="5">
        <v>45275.0</v>
      </c>
      <c r="C240" s="6" t="s">
        <v>182</v>
      </c>
      <c r="D240" s="6" t="s">
        <v>189</v>
      </c>
      <c r="E240" s="6" t="s">
        <v>24</v>
      </c>
      <c r="F240" s="6" t="s">
        <v>25</v>
      </c>
      <c r="G240" s="6">
        <v>96.0</v>
      </c>
      <c r="H240" s="6">
        <v>1.87</v>
      </c>
      <c r="I240" s="7">
        <f t="shared" si="1"/>
        <v>15</v>
      </c>
      <c r="J240" s="7">
        <f t="shared" si="2"/>
        <v>12</v>
      </c>
      <c r="K240" s="7">
        <f t="shared" si="3"/>
        <v>2023</v>
      </c>
      <c r="L240" s="7">
        <f t="shared" si="4"/>
        <v>179.52</v>
      </c>
      <c r="M240" s="6" t="str">
        <f t="shared" si="5"/>
        <v>Expensive</v>
      </c>
    </row>
    <row r="241" ht="15.75" hidden="1" customHeight="1">
      <c r="A241" s="4" t="s">
        <v>178</v>
      </c>
      <c r="B241" s="5">
        <v>45278.0</v>
      </c>
      <c r="C241" s="6" t="s">
        <v>14</v>
      </c>
      <c r="D241" s="6" t="s">
        <v>15</v>
      </c>
      <c r="E241" s="6" t="s">
        <v>24</v>
      </c>
      <c r="F241" s="6" t="s">
        <v>28</v>
      </c>
      <c r="G241" s="6">
        <v>34.0</v>
      </c>
      <c r="H241" s="6">
        <v>2.18</v>
      </c>
      <c r="I241" s="7">
        <f t="shared" si="1"/>
        <v>18</v>
      </c>
      <c r="J241" s="7">
        <f t="shared" si="2"/>
        <v>12</v>
      </c>
      <c r="K241" s="7">
        <f t="shared" si="3"/>
        <v>2023</v>
      </c>
      <c r="L241" s="7">
        <f t="shared" si="4"/>
        <v>74.12</v>
      </c>
      <c r="M241" s="6" t="str">
        <f t="shared" si="5"/>
        <v>Cheap</v>
      </c>
    </row>
    <row r="242" ht="15.75" hidden="1" customHeight="1">
      <c r="A242" s="4" t="s">
        <v>179</v>
      </c>
      <c r="B242" s="5">
        <v>45281.0</v>
      </c>
      <c r="C242" s="6" t="s">
        <v>14</v>
      </c>
      <c r="D242" s="6" t="s">
        <v>15</v>
      </c>
      <c r="E242" s="6" t="s">
        <v>24</v>
      </c>
      <c r="F242" s="6" t="s">
        <v>25</v>
      </c>
      <c r="G242" s="6">
        <v>245.0</v>
      </c>
      <c r="H242" s="6">
        <v>1.8699999999999999</v>
      </c>
      <c r="I242" s="7">
        <f t="shared" si="1"/>
        <v>21</v>
      </c>
      <c r="J242" s="7">
        <f t="shared" si="2"/>
        <v>12</v>
      </c>
      <c r="K242" s="7">
        <f t="shared" si="3"/>
        <v>2023</v>
      </c>
      <c r="L242" s="7">
        <f t="shared" si="4"/>
        <v>458.15</v>
      </c>
      <c r="M242" s="6" t="str">
        <f t="shared" si="5"/>
        <v>Expensive</v>
      </c>
    </row>
    <row r="243" ht="15.75" hidden="1" customHeight="1">
      <c r="A243" s="4" t="s">
        <v>180</v>
      </c>
      <c r="B243" s="5">
        <v>45284.0</v>
      </c>
      <c r="C243" s="6" t="s">
        <v>14</v>
      </c>
      <c r="D243" s="6" t="s">
        <v>15</v>
      </c>
      <c r="E243" s="6" t="s">
        <v>19</v>
      </c>
      <c r="F243" s="6" t="s">
        <v>20</v>
      </c>
      <c r="G243" s="6">
        <v>30.0</v>
      </c>
      <c r="H243" s="6">
        <v>3.49</v>
      </c>
      <c r="I243" s="7">
        <f t="shared" si="1"/>
        <v>24</v>
      </c>
      <c r="J243" s="7">
        <f t="shared" si="2"/>
        <v>12</v>
      </c>
      <c r="K243" s="7">
        <f t="shared" si="3"/>
        <v>2023</v>
      </c>
      <c r="L243" s="7">
        <f t="shared" si="4"/>
        <v>104.7</v>
      </c>
      <c r="M243" s="6" t="str">
        <f t="shared" si="5"/>
        <v>Expensive</v>
      </c>
    </row>
    <row r="244" ht="15.75" hidden="1" customHeight="1">
      <c r="A244" s="4" t="s">
        <v>276</v>
      </c>
      <c r="B244" s="5">
        <v>45287.0</v>
      </c>
      <c r="C244" s="6" t="s">
        <v>182</v>
      </c>
      <c r="D244" s="6" t="s">
        <v>183</v>
      </c>
      <c r="E244" s="6" t="s">
        <v>16</v>
      </c>
      <c r="F244" s="6" t="s">
        <v>49</v>
      </c>
      <c r="G244" s="6">
        <v>30.0</v>
      </c>
      <c r="H244" s="6">
        <v>1.87</v>
      </c>
      <c r="I244" s="7">
        <f t="shared" si="1"/>
        <v>27</v>
      </c>
      <c r="J244" s="7">
        <f t="shared" si="2"/>
        <v>12</v>
      </c>
      <c r="K244" s="7">
        <f t="shared" si="3"/>
        <v>2023</v>
      </c>
      <c r="L244" s="7">
        <f t="shared" si="4"/>
        <v>56.1</v>
      </c>
      <c r="M244" s="6" t="str">
        <f t="shared" si="5"/>
        <v>Cheap</v>
      </c>
    </row>
    <row r="245" ht="15.75" hidden="1" customHeight="1">
      <c r="A245" s="4" t="s">
        <v>277</v>
      </c>
      <c r="B245" s="5">
        <v>45290.0</v>
      </c>
      <c r="C245" s="6" t="s">
        <v>182</v>
      </c>
      <c r="D245" s="6" t="s">
        <v>183</v>
      </c>
      <c r="E245" s="6" t="s">
        <v>24</v>
      </c>
      <c r="F245" s="6" t="s">
        <v>42</v>
      </c>
      <c r="G245" s="6">
        <v>44.0</v>
      </c>
      <c r="H245" s="6">
        <v>2.84</v>
      </c>
      <c r="I245" s="7">
        <f t="shared" si="1"/>
        <v>30</v>
      </c>
      <c r="J245" s="7">
        <f t="shared" si="2"/>
        <v>12</v>
      </c>
      <c r="K245" s="7">
        <f t="shared" si="3"/>
        <v>2023</v>
      </c>
      <c r="L245" s="7">
        <f t="shared" si="4"/>
        <v>124.96</v>
      </c>
      <c r="M245" s="6" t="str">
        <f t="shared" si="5"/>
        <v>Expensive</v>
      </c>
    </row>
    <row r="246" ht="15.75" customHeight="1">
      <c r="A246" s="12" t="s">
        <v>278</v>
      </c>
      <c r="B246" s="13"/>
      <c r="C246" s="13"/>
      <c r="D246" s="13"/>
      <c r="E246" s="13"/>
      <c r="F246" s="14"/>
      <c r="G246" s="6"/>
      <c r="H246" s="6"/>
      <c r="I246" s="7">
        <f t="shared" si="1"/>
        <v>30</v>
      </c>
      <c r="J246" s="7">
        <f t="shared" si="2"/>
        <v>12</v>
      </c>
      <c r="K246" s="7">
        <f t="shared" si="3"/>
        <v>1899</v>
      </c>
      <c r="L246" s="18">
        <f>SUM($L$124:$L$144)</f>
        <v>2487.86</v>
      </c>
      <c r="M246" s="6" t="str">
        <f t="shared" si="5"/>
        <v>Expensive</v>
      </c>
    </row>
    <row r="247" ht="15.75" customHeight="1">
      <c r="A247" s="12" t="s">
        <v>279</v>
      </c>
      <c r="B247" s="13"/>
      <c r="C247" s="13"/>
      <c r="D247" s="13"/>
      <c r="E247" s="13"/>
      <c r="F247" s="14"/>
      <c r="G247" s="15"/>
      <c r="H247" s="6"/>
      <c r="I247" s="7">
        <f t="shared" si="1"/>
        <v>30</v>
      </c>
      <c r="J247" s="7">
        <f t="shared" si="2"/>
        <v>12</v>
      </c>
      <c r="K247" s="7">
        <f t="shared" si="3"/>
        <v>1899</v>
      </c>
      <c r="L247" s="18">
        <f>AVERAGE($L$124:$L$144)</f>
        <v>118.4695238</v>
      </c>
      <c r="M247" s="6" t="str">
        <f t="shared" si="5"/>
        <v>Expensive</v>
      </c>
    </row>
    <row r="248" ht="15.75" customHeight="1">
      <c r="A248" s="12" t="s">
        <v>280</v>
      </c>
      <c r="B248" s="13"/>
      <c r="C248" s="13"/>
      <c r="D248" s="13"/>
      <c r="E248" s="13"/>
      <c r="F248" s="14"/>
      <c r="G248" s="15"/>
      <c r="H248" s="15"/>
      <c r="I248" s="7">
        <f t="shared" si="1"/>
        <v>30</v>
      </c>
      <c r="J248" s="7">
        <f t="shared" si="2"/>
        <v>12</v>
      </c>
      <c r="K248" s="7">
        <f t="shared" si="3"/>
        <v>1899</v>
      </c>
      <c r="L248" s="7">
        <f t="shared" ref="L248:L254" si="6">G248*H248</f>
        <v>0</v>
      </c>
      <c r="M248" s="6" t="str">
        <f t="shared" si="5"/>
        <v>Cheap</v>
      </c>
    </row>
    <row r="249" ht="15.75" customHeight="1">
      <c r="A249" s="12" t="s">
        <v>281</v>
      </c>
      <c r="B249" s="13"/>
      <c r="C249" s="13"/>
      <c r="D249" s="13"/>
      <c r="E249" s="13"/>
      <c r="F249" s="14"/>
      <c r="G249" s="6"/>
      <c r="H249" s="6"/>
      <c r="I249" s="7">
        <f t="shared" si="1"/>
        <v>30</v>
      </c>
      <c r="J249" s="7">
        <f t="shared" si="2"/>
        <v>12</v>
      </c>
      <c r="K249" s="7">
        <f t="shared" si="3"/>
        <v>1899</v>
      </c>
      <c r="L249" s="7">
        <f t="shared" si="6"/>
        <v>0</v>
      </c>
      <c r="M249" s="6" t="str">
        <f t="shared" si="5"/>
        <v>Cheap</v>
      </c>
    </row>
    <row r="250" ht="15.75" customHeight="1">
      <c r="A250" s="12" t="s">
        <v>282</v>
      </c>
      <c r="B250" s="13"/>
      <c r="C250" s="13"/>
      <c r="D250" s="13"/>
      <c r="E250" s="13"/>
      <c r="F250" s="14"/>
      <c r="G250" s="15"/>
      <c r="H250" s="6"/>
      <c r="I250" s="7">
        <f t="shared" si="1"/>
        <v>30</v>
      </c>
      <c r="J250" s="7">
        <f t="shared" si="2"/>
        <v>12</v>
      </c>
      <c r="K250" s="7">
        <f t="shared" si="3"/>
        <v>1899</v>
      </c>
      <c r="L250" s="7">
        <f t="shared" si="6"/>
        <v>0</v>
      </c>
      <c r="M250" s="6" t="str">
        <f t="shared" si="5"/>
        <v>Cheap</v>
      </c>
    </row>
    <row r="251" ht="15.75" customHeight="1">
      <c r="A251" s="12" t="s">
        <v>283</v>
      </c>
      <c r="B251" s="13"/>
      <c r="C251" s="13"/>
      <c r="D251" s="13"/>
      <c r="E251" s="13"/>
      <c r="F251" s="14"/>
      <c r="G251" s="15"/>
      <c r="H251" s="15"/>
      <c r="I251" s="7">
        <f t="shared" si="1"/>
        <v>30</v>
      </c>
      <c r="J251" s="7">
        <f t="shared" si="2"/>
        <v>12</v>
      </c>
      <c r="K251" s="7">
        <f t="shared" si="3"/>
        <v>1899</v>
      </c>
      <c r="L251" s="7">
        <f t="shared" si="6"/>
        <v>0</v>
      </c>
      <c r="M251" s="6" t="str">
        <f t="shared" si="5"/>
        <v>Cheap</v>
      </c>
    </row>
    <row r="252" ht="15.75" customHeight="1">
      <c r="A252" s="12" t="s">
        <v>284</v>
      </c>
      <c r="B252" s="13"/>
      <c r="C252" s="13"/>
      <c r="D252" s="13"/>
      <c r="E252" s="13"/>
      <c r="F252" s="14"/>
      <c r="G252" s="6"/>
      <c r="H252" s="6"/>
      <c r="I252" s="7">
        <f t="shared" si="1"/>
        <v>30</v>
      </c>
      <c r="J252" s="7">
        <f t="shared" si="2"/>
        <v>12</v>
      </c>
      <c r="K252" s="7">
        <f t="shared" si="3"/>
        <v>1899</v>
      </c>
      <c r="L252" s="7">
        <f t="shared" si="6"/>
        <v>0</v>
      </c>
      <c r="M252" s="6" t="str">
        <f t="shared" si="5"/>
        <v>Cheap</v>
      </c>
    </row>
    <row r="253" ht="15.75" customHeight="1">
      <c r="A253" s="12" t="s">
        <v>285</v>
      </c>
      <c r="B253" s="13"/>
      <c r="C253" s="13"/>
      <c r="D253" s="13"/>
      <c r="E253" s="13"/>
      <c r="F253" s="14"/>
      <c r="G253" s="6"/>
      <c r="H253" s="6"/>
      <c r="I253" s="7">
        <f t="shared" si="1"/>
        <v>30</v>
      </c>
      <c r="J253" s="7">
        <f t="shared" si="2"/>
        <v>12</v>
      </c>
      <c r="K253" s="7">
        <f t="shared" si="3"/>
        <v>1899</v>
      </c>
      <c r="L253" s="7">
        <f t="shared" si="6"/>
        <v>0</v>
      </c>
      <c r="M253" s="6" t="str">
        <f t="shared" si="5"/>
        <v>Cheap</v>
      </c>
    </row>
    <row r="254" ht="15.75" customHeight="1">
      <c r="A254" s="12" t="s">
        <v>286</v>
      </c>
      <c r="B254" s="13"/>
      <c r="C254" s="13"/>
      <c r="D254" s="13"/>
      <c r="E254" s="13"/>
      <c r="F254" s="14"/>
      <c r="G254" s="6"/>
      <c r="H254" s="6"/>
      <c r="I254" s="7">
        <f t="shared" si="1"/>
        <v>30</v>
      </c>
      <c r="J254" s="7">
        <f t="shared" si="2"/>
        <v>12</v>
      </c>
      <c r="K254" s="7">
        <f t="shared" si="3"/>
        <v>1899</v>
      </c>
      <c r="L254" s="7">
        <f t="shared" si="6"/>
        <v>0</v>
      </c>
      <c r="M254" s="6" t="str">
        <f t="shared" si="5"/>
        <v>Cheap</v>
      </c>
    </row>
    <row r="255" ht="15.75" customHeight="1">
      <c r="A255" s="16"/>
      <c r="B255" s="16"/>
      <c r="I255" s="17"/>
      <c r="J255" s="17"/>
      <c r="K255" s="17"/>
      <c r="L255" s="17"/>
    </row>
    <row r="256" ht="15.75" customHeight="1">
      <c r="A256" s="16"/>
      <c r="B256" s="16"/>
      <c r="I256" s="17"/>
      <c r="J256" s="17"/>
      <c r="K256" s="17"/>
      <c r="L256" s="17"/>
    </row>
    <row r="257" ht="15.75" customHeight="1">
      <c r="A257" s="16"/>
      <c r="B257" s="16"/>
      <c r="I257" s="17"/>
      <c r="J257" s="17"/>
      <c r="K257" s="17"/>
      <c r="L257" s="17"/>
    </row>
    <row r="258" ht="15.75" customHeight="1">
      <c r="A258" s="16"/>
      <c r="B258" s="16"/>
      <c r="I258" s="17"/>
      <c r="J258" s="17"/>
      <c r="K258" s="17"/>
      <c r="L258" s="17"/>
    </row>
    <row r="259" ht="15.75" customHeight="1">
      <c r="A259" s="16"/>
      <c r="B259" s="16"/>
      <c r="I259" s="17"/>
      <c r="J259" s="17"/>
      <c r="K259" s="17"/>
      <c r="L259" s="17"/>
    </row>
    <row r="260" ht="15.75" customHeight="1">
      <c r="A260" s="16"/>
      <c r="B260" s="16"/>
      <c r="I260" s="17"/>
      <c r="J260" s="17"/>
      <c r="K260" s="17"/>
      <c r="L260" s="17"/>
    </row>
    <row r="261" ht="15.75" customHeight="1">
      <c r="A261" s="16"/>
      <c r="B261" s="16"/>
      <c r="I261" s="17"/>
      <c r="J261" s="17"/>
      <c r="K261" s="17"/>
      <c r="L261" s="17"/>
    </row>
    <row r="262" ht="15.75" customHeight="1">
      <c r="A262" s="16"/>
      <c r="B262" s="16"/>
      <c r="I262" s="17"/>
      <c r="J262" s="17"/>
      <c r="K262" s="17"/>
      <c r="L262" s="17"/>
    </row>
    <row r="263" ht="15.75" customHeight="1">
      <c r="A263" s="16"/>
      <c r="B263" s="16"/>
      <c r="I263" s="17"/>
      <c r="J263" s="17"/>
      <c r="K263" s="17"/>
      <c r="L263" s="17"/>
    </row>
    <row r="264" ht="15.75" customHeight="1">
      <c r="A264" s="16"/>
      <c r="B264" s="16"/>
      <c r="I264" s="17"/>
      <c r="J264" s="17"/>
      <c r="K264" s="17"/>
      <c r="L264" s="17"/>
    </row>
    <row r="265" ht="15.75" customHeight="1">
      <c r="A265" s="16"/>
      <c r="B265" s="16"/>
      <c r="I265" s="17"/>
      <c r="J265" s="17"/>
      <c r="K265" s="17"/>
      <c r="L265" s="17"/>
    </row>
    <row r="266" ht="15.75" customHeight="1">
      <c r="A266" s="16"/>
      <c r="B266" s="16"/>
      <c r="I266" s="17"/>
      <c r="J266" s="17"/>
      <c r="K266" s="17"/>
      <c r="L266" s="17"/>
    </row>
    <row r="267" ht="15.75" customHeight="1">
      <c r="A267" s="16"/>
      <c r="B267" s="16"/>
      <c r="I267" s="17"/>
      <c r="J267" s="17"/>
      <c r="K267" s="17"/>
      <c r="L267" s="17"/>
    </row>
    <row r="268" ht="15.75" customHeight="1">
      <c r="A268" s="16"/>
      <c r="B268" s="16"/>
      <c r="I268" s="17"/>
      <c r="J268" s="17"/>
      <c r="K268" s="17"/>
      <c r="L268" s="17"/>
    </row>
    <row r="269" ht="15.75" customHeight="1">
      <c r="A269" s="16"/>
      <c r="B269" s="16"/>
      <c r="I269" s="17"/>
      <c r="J269" s="17"/>
      <c r="K269" s="17"/>
      <c r="L269" s="17"/>
    </row>
    <row r="270" ht="15.75" customHeight="1">
      <c r="A270" s="16"/>
      <c r="B270" s="16"/>
      <c r="I270" s="17"/>
      <c r="J270" s="17"/>
      <c r="K270" s="17"/>
      <c r="L270" s="17"/>
    </row>
    <row r="271" ht="15.75" customHeight="1">
      <c r="A271" s="16"/>
      <c r="B271" s="16"/>
      <c r="I271" s="17"/>
      <c r="J271" s="17"/>
      <c r="K271" s="17"/>
      <c r="L271" s="17"/>
    </row>
    <row r="272" ht="15.75" customHeight="1">
      <c r="A272" s="16"/>
      <c r="B272" s="16"/>
      <c r="I272" s="17"/>
      <c r="J272" s="17"/>
      <c r="K272" s="17"/>
      <c r="L272" s="17"/>
    </row>
    <row r="273" ht="15.75" customHeight="1">
      <c r="A273" s="16"/>
      <c r="B273" s="16"/>
      <c r="I273" s="17"/>
      <c r="J273" s="17"/>
      <c r="K273" s="17"/>
      <c r="L273" s="17"/>
    </row>
    <row r="274" ht="15.75" customHeight="1">
      <c r="A274" s="16"/>
      <c r="B274" s="16"/>
      <c r="I274" s="17"/>
      <c r="J274" s="17"/>
      <c r="K274" s="17"/>
      <c r="L274" s="17"/>
    </row>
    <row r="275" ht="15.75" customHeight="1">
      <c r="A275" s="16"/>
      <c r="B275" s="16"/>
      <c r="I275" s="17"/>
      <c r="J275" s="17"/>
      <c r="K275" s="17"/>
      <c r="L275" s="17"/>
    </row>
    <row r="276" ht="15.75" customHeight="1">
      <c r="A276" s="16"/>
      <c r="B276" s="16"/>
      <c r="I276" s="17"/>
      <c r="J276" s="17"/>
      <c r="K276" s="17"/>
      <c r="L276" s="17"/>
    </row>
    <row r="277" ht="15.75" customHeight="1">
      <c r="A277" s="16"/>
      <c r="B277" s="16"/>
      <c r="I277" s="17"/>
      <c r="J277" s="17"/>
      <c r="K277" s="17"/>
      <c r="L277" s="17"/>
    </row>
    <row r="278" ht="15.75" customHeight="1">
      <c r="A278" s="16"/>
      <c r="B278" s="16"/>
      <c r="I278" s="17"/>
      <c r="J278" s="17"/>
      <c r="K278" s="17"/>
      <c r="L278" s="17"/>
    </row>
    <row r="279" ht="15.75" customHeight="1">
      <c r="A279" s="16"/>
      <c r="B279" s="16"/>
      <c r="I279" s="17"/>
      <c r="J279" s="17"/>
      <c r="K279" s="17"/>
      <c r="L279" s="17"/>
    </row>
    <row r="280" ht="15.75" customHeight="1">
      <c r="A280" s="16"/>
      <c r="B280" s="16"/>
      <c r="I280" s="17"/>
      <c r="J280" s="17"/>
      <c r="K280" s="17"/>
      <c r="L280" s="17"/>
    </row>
    <row r="281" ht="15.75" customHeight="1">
      <c r="A281" s="16"/>
      <c r="B281" s="16"/>
      <c r="I281" s="17"/>
      <c r="J281" s="17"/>
      <c r="K281" s="17"/>
      <c r="L281" s="17"/>
    </row>
    <row r="282" ht="15.75" customHeight="1">
      <c r="A282" s="16"/>
      <c r="B282" s="16"/>
      <c r="I282" s="17"/>
      <c r="J282" s="17"/>
      <c r="K282" s="17"/>
      <c r="L282" s="17"/>
    </row>
    <row r="283" ht="15.75" customHeight="1">
      <c r="A283" s="16"/>
      <c r="B283" s="16"/>
      <c r="I283" s="17"/>
      <c r="J283" s="17"/>
      <c r="K283" s="17"/>
      <c r="L283" s="17"/>
    </row>
    <row r="284" ht="15.75" customHeight="1">
      <c r="A284" s="16"/>
      <c r="B284" s="16"/>
      <c r="I284" s="17"/>
      <c r="J284" s="17"/>
      <c r="K284" s="17"/>
      <c r="L284" s="17"/>
    </row>
    <row r="285" ht="15.75" customHeight="1">
      <c r="A285" s="16"/>
      <c r="B285" s="16"/>
      <c r="I285" s="17"/>
      <c r="J285" s="17"/>
      <c r="K285" s="17"/>
      <c r="L285" s="17"/>
    </row>
    <row r="286" ht="15.75" customHeight="1">
      <c r="A286" s="16"/>
      <c r="B286" s="16"/>
      <c r="I286" s="17"/>
      <c r="J286" s="17"/>
      <c r="K286" s="17"/>
      <c r="L286" s="17"/>
    </row>
    <row r="287" ht="15.75" customHeight="1">
      <c r="A287" s="16"/>
      <c r="B287" s="16"/>
      <c r="I287" s="17"/>
      <c r="J287" s="17"/>
      <c r="K287" s="17"/>
      <c r="L287" s="17"/>
    </row>
    <row r="288" ht="15.75" customHeight="1">
      <c r="A288" s="16"/>
      <c r="B288" s="16"/>
      <c r="I288" s="17"/>
      <c r="J288" s="17"/>
      <c r="K288" s="17"/>
      <c r="L288" s="17"/>
    </row>
    <row r="289" ht="15.75" customHeight="1">
      <c r="A289" s="16"/>
      <c r="B289" s="16"/>
      <c r="I289" s="17"/>
      <c r="J289" s="17"/>
      <c r="K289" s="17"/>
      <c r="L289" s="17"/>
    </row>
    <row r="290" ht="15.75" customHeight="1">
      <c r="A290" s="16"/>
      <c r="B290" s="16"/>
      <c r="I290" s="17"/>
      <c r="J290" s="17"/>
      <c r="K290" s="17"/>
      <c r="L290" s="17"/>
    </row>
    <row r="291" ht="15.75" customHeight="1">
      <c r="A291" s="16"/>
      <c r="B291" s="16"/>
      <c r="I291" s="17"/>
      <c r="J291" s="17"/>
      <c r="K291" s="17"/>
      <c r="L291" s="17"/>
    </row>
    <row r="292" ht="15.75" customHeight="1">
      <c r="A292" s="16"/>
      <c r="B292" s="16"/>
      <c r="I292" s="17"/>
      <c r="J292" s="17"/>
      <c r="K292" s="17"/>
      <c r="L292" s="17"/>
    </row>
    <row r="293" ht="15.75" customHeight="1">
      <c r="A293" s="16"/>
      <c r="B293" s="16"/>
      <c r="I293" s="17"/>
      <c r="J293" s="17"/>
      <c r="K293" s="17"/>
      <c r="L293" s="17"/>
    </row>
    <row r="294" ht="15.75" customHeight="1">
      <c r="A294" s="16"/>
      <c r="B294" s="16"/>
      <c r="I294" s="17"/>
      <c r="J294" s="17"/>
      <c r="K294" s="17"/>
      <c r="L294" s="17"/>
    </row>
    <row r="295" ht="15.75" customHeight="1">
      <c r="A295" s="16"/>
      <c r="B295" s="16"/>
      <c r="I295" s="17"/>
      <c r="J295" s="17"/>
      <c r="K295" s="17"/>
      <c r="L295" s="17"/>
    </row>
    <row r="296" ht="15.75" customHeight="1">
      <c r="A296" s="16"/>
      <c r="B296" s="16"/>
      <c r="I296" s="17"/>
      <c r="J296" s="17"/>
      <c r="K296" s="17"/>
      <c r="L296" s="17"/>
    </row>
    <row r="297" ht="15.75" customHeight="1">
      <c r="A297" s="16"/>
      <c r="B297" s="16"/>
      <c r="I297" s="17"/>
      <c r="J297" s="17"/>
      <c r="K297" s="17"/>
      <c r="L297" s="17"/>
    </row>
    <row r="298" ht="15.75" customHeight="1">
      <c r="A298" s="16"/>
      <c r="B298" s="16"/>
      <c r="I298" s="17"/>
      <c r="J298" s="17"/>
      <c r="K298" s="17"/>
      <c r="L298" s="17"/>
    </row>
    <row r="299" ht="15.75" customHeight="1">
      <c r="A299" s="16"/>
      <c r="B299" s="16"/>
      <c r="I299" s="17"/>
      <c r="J299" s="17"/>
      <c r="K299" s="17"/>
      <c r="L299" s="17"/>
    </row>
    <row r="300" ht="15.75" customHeight="1">
      <c r="A300" s="16"/>
      <c r="B300" s="16"/>
      <c r="I300" s="17"/>
      <c r="J300" s="17"/>
      <c r="K300" s="17"/>
      <c r="L300" s="17"/>
    </row>
    <row r="301" ht="15.75" customHeight="1">
      <c r="A301" s="16"/>
      <c r="B301" s="16"/>
      <c r="I301" s="17"/>
      <c r="J301" s="17"/>
      <c r="K301" s="17"/>
      <c r="L301" s="17"/>
    </row>
    <row r="302" ht="15.75" customHeight="1">
      <c r="A302" s="16"/>
      <c r="B302" s="16"/>
      <c r="I302" s="17"/>
      <c r="J302" s="17"/>
      <c r="K302" s="17"/>
      <c r="L302" s="17"/>
    </row>
    <row r="303" ht="15.75" customHeight="1">
      <c r="A303" s="16"/>
      <c r="B303" s="16"/>
      <c r="I303" s="17"/>
      <c r="J303" s="17"/>
      <c r="K303" s="17"/>
      <c r="L303" s="17"/>
    </row>
    <row r="304" ht="15.75" customHeight="1">
      <c r="A304" s="16"/>
      <c r="B304" s="16"/>
      <c r="I304" s="17"/>
      <c r="J304" s="17"/>
      <c r="K304" s="17"/>
      <c r="L304" s="17"/>
    </row>
    <row r="305" ht="15.75" customHeight="1">
      <c r="A305" s="16"/>
      <c r="B305" s="16"/>
      <c r="I305" s="17"/>
      <c r="J305" s="17"/>
      <c r="K305" s="17"/>
      <c r="L305" s="17"/>
    </row>
    <row r="306" ht="15.75" customHeight="1">
      <c r="A306" s="16"/>
      <c r="B306" s="16"/>
      <c r="I306" s="17"/>
      <c r="J306" s="17"/>
      <c r="K306" s="17"/>
      <c r="L306" s="17"/>
    </row>
    <row r="307" ht="15.75" customHeight="1">
      <c r="A307" s="16"/>
      <c r="B307" s="16"/>
      <c r="I307" s="17"/>
      <c r="J307" s="17"/>
      <c r="K307" s="17"/>
      <c r="L307" s="17"/>
    </row>
    <row r="308" ht="15.75" customHeight="1">
      <c r="A308" s="16"/>
      <c r="B308" s="16"/>
      <c r="I308" s="17"/>
      <c r="J308" s="17"/>
      <c r="K308" s="17"/>
      <c r="L308" s="17"/>
    </row>
    <row r="309" ht="15.75" customHeight="1">
      <c r="A309" s="16"/>
      <c r="B309" s="16"/>
      <c r="I309" s="17"/>
      <c r="J309" s="17"/>
      <c r="K309" s="17"/>
      <c r="L309" s="17"/>
    </row>
    <row r="310" ht="15.75" customHeight="1">
      <c r="A310" s="16"/>
      <c r="B310" s="16"/>
      <c r="I310" s="17"/>
      <c r="J310" s="17"/>
      <c r="K310" s="17"/>
      <c r="L310" s="17"/>
    </row>
    <row r="311" ht="15.75" customHeight="1">
      <c r="A311" s="16"/>
      <c r="B311" s="16"/>
      <c r="I311" s="17"/>
      <c r="J311" s="17"/>
      <c r="K311" s="17"/>
      <c r="L311" s="17"/>
    </row>
    <row r="312" ht="15.75" customHeight="1">
      <c r="A312" s="16"/>
      <c r="B312" s="16"/>
      <c r="I312" s="17"/>
      <c r="J312" s="17"/>
      <c r="K312" s="17"/>
      <c r="L312" s="17"/>
    </row>
    <row r="313" ht="15.75" customHeight="1">
      <c r="A313" s="16"/>
      <c r="B313" s="16"/>
      <c r="I313" s="17"/>
      <c r="J313" s="17"/>
      <c r="K313" s="17"/>
      <c r="L313" s="17"/>
    </row>
    <row r="314" ht="15.75" customHeight="1">
      <c r="A314" s="16"/>
      <c r="B314" s="16"/>
      <c r="I314" s="17"/>
      <c r="J314" s="17"/>
      <c r="K314" s="17"/>
      <c r="L314" s="17"/>
    </row>
    <row r="315" ht="15.75" customHeight="1">
      <c r="A315" s="16"/>
      <c r="B315" s="16"/>
      <c r="I315" s="17"/>
      <c r="J315" s="17"/>
      <c r="K315" s="17"/>
      <c r="L315" s="17"/>
    </row>
    <row r="316" ht="15.75" customHeight="1">
      <c r="A316" s="16"/>
      <c r="B316" s="16"/>
      <c r="I316" s="17"/>
      <c r="J316" s="17"/>
      <c r="K316" s="17"/>
      <c r="L316" s="17"/>
    </row>
    <row r="317" ht="15.75" customHeight="1">
      <c r="A317" s="16"/>
      <c r="B317" s="16"/>
      <c r="I317" s="17"/>
      <c r="J317" s="17"/>
      <c r="K317" s="17"/>
      <c r="L317" s="17"/>
    </row>
    <row r="318" ht="15.75" customHeight="1">
      <c r="A318" s="16"/>
      <c r="B318" s="16"/>
      <c r="I318" s="17"/>
      <c r="J318" s="17"/>
      <c r="K318" s="17"/>
      <c r="L318" s="17"/>
    </row>
    <row r="319" ht="15.75" customHeight="1">
      <c r="A319" s="16"/>
      <c r="B319" s="16"/>
      <c r="I319" s="17"/>
      <c r="J319" s="17"/>
      <c r="K319" s="17"/>
      <c r="L319" s="17"/>
    </row>
    <row r="320" ht="15.75" customHeight="1">
      <c r="A320" s="16"/>
      <c r="B320" s="16"/>
      <c r="I320" s="17"/>
      <c r="J320" s="17"/>
      <c r="K320" s="17"/>
      <c r="L320" s="17"/>
    </row>
    <row r="321" ht="15.75" customHeight="1">
      <c r="A321" s="16"/>
      <c r="B321" s="16"/>
      <c r="I321" s="17"/>
      <c r="J321" s="17"/>
      <c r="K321" s="17"/>
      <c r="L321" s="17"/>
    </row>
    <row r="322" ht="15.75" customHeight="1">
      <c r="A322" s="16"/>
      <c r="B322" s="16"/>
      <c r="I322" s="17"/>
      <c r="J322" s="17"/>
      <c r="K322" s="17"/>
      <c r="L322" s="17"/>
    </row>
    <row r="323" ht="15.75" customHeight="1">
      <c r="A323" s="16"/>
      <c r="B323" s="16"/>
      <c r="I323" s="17"/>
      <c r="J323" s="17"/>
      <c r="K323" s="17"/>
      <c r="L323" s="17"/>
    </row>
    <row r="324" ht="15.75" customHeight="1">
      <c r="A324" s="16"/>
      <c r="B324" s="16"/>
      <c r="I324" s="17"/>
      <c r="J324" s="17"/>
      <c r="K324" s="17"/>
      <c r="L324" s="17"/>
    </row>
    <row r="325" ht="15.75" customHeight="1">
      <c r="A325" s="16"/>
      <c r="B325" s="16"/>
      <c r="I325" s="17"/>
      <c r="J325" s="17"/>
      <c r="K325" s="17"/>
      <c r="L325" s="17"/>
    </row>
    <row r="326" ht="15.75" customHeight="1">
      <c r="A326" s="16"/>
      <c r="B326" s="16"/>
      <c r="I326" s="17"/>
      <c r="J326" s="17"/>
      <c r="K326" s="17"/>
      <c r="L326" s="17"/>
    </row>
    <row r="327" ht="15.75" customHeight="1">
      <c r="A327" s="16"/>
      <c r="B327" s="16"/>
      <c r="I327" s="17"/>
      <c r="J327" s="17"/>
      <c r="K327" s="17"/>
      <c r="L327" s="17"/>
    </row>
    <row r="328" ht="15.75" customHeight="1">
      <c r="A328" s="16"/>
      <c r="B328" s="16"/>
      <c r="I328" s="17"/>
      <c r="J328" s="17"/>
      <c r="K328" s="17"/>
      <c r="L328" s="17"/>
    </row>
    <row r="329" ht="15.75" customHeight="1">
      <c r="A329" s="16"/>
      <c r="B329" s="16"/>
      <c r="I329" s="17"/>
      <c r="J329" s="17"/>
      <c r="K329" s="17"/>
      <c r="L329" s="17"/>
    </row>
    <row r="330" ht="15.75" customHeight="1">
      <c r="A330" s="16"/>
      <c r="B330" s="16"/>
      <c r="I330" s="17"/>
      <c r="J330" s="17"/>
      <c r="K330" s="17"/>
      <c r="L330" s="17"/>
    </row>
    <row r="331" ht="15.75" customHeight="1">
      <c r="A331" s="16"/>
      <c r="B331" s="16"/>
      <c r="I331" s="17"/>
      <c r="J331" s="17"/>
      <c r="K331" s="17"/>
      <c r="L331" s="17"/>
    </row>
    <row r="332" ht="15.75" customHeight="1">
      <c r="A332" s="16"/>
      <c r="B332" s="16"/>
      <c r="I332" s="17"/>
      <c r="J332" s="17"/>
      <c r="K332" s="17"/>
      <c r="L332" s="17"/>
    </row>
    <row r="333" ht="15.75" customHeight="1">
      <c r="A333" s="16"/>
      <c r="B333" s="16"/>
      <c r="I333" s="17"/>
      <c r="J333" s="17"/>
      <c r="K333" s="17"/>
      <c r="L333" s="17"/>
    </row>
    <row r="334" ht="15.75" customHeight="1">
      <c r="A334" s="16"/>
      <c r="B334" s="16"/>
      <c r="I334" s="17"/>
      <c r="J334" s="17"/>
      <c r="K334" s="17"/>
      <c r="L334" s="17"/>
    </row>
    <row r="335" ht="15.75" customHeight="1">
      <c r="A335" s="16"/>
      <c r="B335" s="16"/>
      <c r="I335" s="17"/>
      <c r="J335" s="17"/>
      <c r="K335" s="17"/>
      <c r="L335" s="17"/>
    </row>
    <row r="336" ht="15.75" customHeight="1">
      <c r="A336" s="16"/>
      <c r="B336" s="16"/>
      <c r="I336" s="17"/>
      <c r="J336" s="17"/>
      <c r="K336" s="17"/>
      <c r="L336" s="17"/>
    </row>
    <row r="337" ht="15.75" customHeight="1">
      <c r="A337" s="16"/>
      <c r="B337" s="16"/>
      <c r="I337" s="17"/>
      <c r="J337" s="17"/>
      <c r="K337" s="17"/>
      <c r="L337" s="17"/>
    </row>
    <row r="338" ht="15.75" customHeight="1">
      <c r="A338" s="16"/>
      <c r="B338" s="16"/>
      <c r="I338" s="17"/>
      <c r="J338" s="17"/>
      <c r="K338" s="17"/>
      <c r="L338" s="17"/>
    </row>
    <row r="339" ht="15.75" customHeight="1">
      <c r="A339" s="16"/>
      <c r="B339" s="16"/>
      <c r="I339" s="17"/>
      <c r="J339" s="17"/>
      <c r="K339" s="17"/>
      <c r="L339" s="17"/>
    </row>
    <row r="340" ht="15.75" customHeight="1">
      <c r="A340" s="16"/>
      <c r="B340" s="16"/>
      <c r="I340" s="17"/>
      <c r="J340" s="17"/>
      <c r="K340" s="17"/>
      <c r="L340" s="17"/>
    </row>
    <row r="341" ht="15.75" customHeight="1">
      <c r="A341" s="16"/>
      <c r="B341" s="16"/>
      <c r="I341" s="17"/>
      <c r="J341" s="17"/>
      <c r="K341" s="17"/>
      <c r="L341" s="17"/>
    </row>
    <row r="342" ht="15.75" customHeight="1">
      <c r="A342" s="16"/>
      <c r="B342" s="16"/>
      <c r="I342" s="17"/>
      <c r="J342" s="17"/>
      <c r="K342" s="17"/>
      <c r="L342" s="17"/>
    </row>
    <row r="343" ht="15.75" customHeight="1">
      <c r="A343" s="16"/>
      <c r="B343" s="16"/>
      <c r="I343" s="17"/>
      <c r="J343" s="17"/>
      <c r="K343" s="17"/>
      <c r="L343" s="17"/>
    </row>
    <row r="344" ht="15.75" customHeight="1">
      <c r="A344" s="16"/>
      <c r="B344" s="16"/>
      <c r="I344" s="17"/>
      <c r="J344" s="17"/>
      <c r="K344" s="17"/>
      <c r="L344" s="17"/>
    </row>
    <row r="345" ht="15.75" customHeight="1">
      <c r="A345" s="16"/>
      <c r="B345" s="16"/>
      <c r="I345" s="17"/>
      <c r="J345" s="17"/>
      <c r="K345" s="17"/>
      <c r="L345" s="17"/>
    </row>
    <row r="346" ht="15.75" customHeight="1">
      <c r="A346" s="16"/>
      <c r="B346" s="16"/>
      <c r="I346" s="17"/>
      <c r="J346" s="17"/>
      <c r="K346" s="17"/>
      <c r="L346" s="17"/>
    </row>
    <row r="347" ht="15.75" customHeight="1">
      <c r="A347" s="16"/>
      <c r="B347" s="16"/>
      <c r="I347" s="17"/>
      <c r="J347" s="17"/>
      <c r="K347" s="17"/>
      <c r="L347" s="17"/>
    </row>
    <row r="348" ht="15.75" customHeight="1">
      <c r="A348" s="16"/>
      <c r="B348" s="16"/>
      <c r="I348" s="17"/>
      <c r="J348" s="17"/>
      <c r="K348" s="17"/>
      <c r="L348" s="17"/>
    </row>
    <row r="349" ht="15.75" customHeight="1">
      <c r="A349" s="16"/>
      <c r="B349" s="16"/>
      <c r="I349" s="17"/>
      <c r="J349" s="17"/>
      <c r="K349" s="17"/>
      <c r="L349" s="17"/>
    </row>
    <row r="350" ht="15.75" customHeight="1">
      <c r="A350" s="16"/>
      <c r="B350" s="16"/>
      <c r="I350" s="17"/>
      <c r="J350" s="17"/>
      <c r="K350" s="17"/>
      <c r="L350" s="17"/>
    </row>
    <row r="351" ht="15.75" customHeight="1">
      <c r="A351" s="16"/>
      <c r="B351" s="16"/>
      <c r="I351" s="17"/>
      <c r="J351" s="17"/>
      <c r="K351" s="17"/>
      <c r="L351" s="17"/>
    </row>
    <row r="352" ht="15.75" customHeight="1">
      <c r="A352" s="16"/>
      <c r="B352" s="16"/>
      <c r="I352" s="17"/>
      <c r="J352" s="17"/>
      <c r="K352" s="17"/>
      <c r="L352" s="17"/>
    </row>
    <row r="353" ht="15.75" customHeight="1">
      <c r="A353" s="16"/>
      <c r="B353" s="16"/>
      <c r="I353" s="17"/>
      <c r="J353" s="17"/>
      <c r="K353" s="17"/>
      <c r="L353" s="17"/>
    </row>
    <row r="354" ht="15.75" customHeight="1">
      <c r="A354" s="16"/>
      <c r="B354" s="16"/>
      <c r="I354" s="17"/>
      <c r="J354" s="17"/>
      <c r="K354" s="17"/>
      <c r="L354" s="17"/>
    </row>
    <row r="355" ht="15.75" customHeight="1">
      <c r="A355" s="16"/>
      <c r="B355" s="16"/>
      <c r="I355" s="17"/>
      <c r="J355" s="17"/>
      <c r="K355" s="17"/>
      <c r="L355" s="17"/>
    </row>
    <row r="356" ht="15.75" customHeight="1">
      <c r="A356" s="16"/>
      <c r="B356" s="16"/>
      <c r="I356" s="17"/>
      <c r="J356" s="17"/>
      <c r="K356" s="17"/>
      <c r="L356" s="17"/>
    </row>
    <row r="357" ht="15.75" customHeight="1">
      <c r="A357" s="16"/>
      <c r="B357" s="16"/>
      <c r="I357" s="17"/>
      <c r="J357" s="17"/>
      <c r="K357" s="17"/>
      <c r="L357" s="17"/>
    </row>
    <row r="358" ht="15.75" customHeight="1">
      <c r="A358" s="16"/>
      <c r="B358" s="16"/>
      <c r="I358" s="17"/>
      <c r="J358" s="17"/>
      <c r="K358" s="17"/>
      <c r="L358" s="17"/>
    </row>
    <row r="359" ht="15.75" customHeight="1">
      <c r="A359" s="16"/>
      <c r="B359" s="16"/>
      <c r="I359" s="17"/>
      <c r="J359" s="17"/>
      <c r="K359" s="17"/>
      <c r="L359" s="17"/>
    </row>
    <row r="360" ht="15.75" customHeight="1">
      <c r="A360" s="16"/>
      <c r="B360" s="16"/>
      <c r="I360" s="17"/>
      <c r="J360" s="17"/>
      <c r="K360" s="17"/>
      <c r="L360" s="17"/>
    </row>
    <row r="361" ht="15.75" customHeight="1">
      <c r="A361" s="16"/>
      <c r="B361" s="16"/>
      <c r="I361" s="17"/>
      <c r="J361" s="17"/>
      <c r="K361" s="17"/>
      <c r="L361" s="17"/>
    </row>
    <row r="362" ht="15.75" customHeight="1">
      <c r="A362" s="16"/>
      <c r="B362" s="16"/>
      <c r="I362" s="17"/>
      <c r="J362" s="17"/>
      <c r="K362" s="17"/>
      <c r="L362" s="17"/>
    </row>
    <row r="363" ht="15.75" customHeight="1">
      <c r="A363" s="16"/>
      <c r="B363" s="16"/>
      <c r="I363" s="17"/>
      <c r="J363" s="17"/>
      <c r="K363" s="17"/>
      <c r="L363" s="17"/>
    </row>
    <row r="364" ht="15.75" customHeight="1">
      <c r="A364" s="16"/>
      <c r="B364" s="16"/>
      <c r="I364" s="17"/>
      <c r="J364" s="17"/>
      <c r="K364" s="17"/>
      <c r="L364" s="17"/>
    </row>
    <row r="365" ht="15.75" customHeight="1">
      <c r="A365" s="16"/>
      <c r="B365" s="16"/>
      <c r="I365" s="17"/>
      <c r="J365" s="17"/>
      <c r="K365" s="17"/>
      <c r="L365" s="17"/>
    </row>
    <row r="366" ht="15.75" customHeight="1">
      <c r="A366" s="16"/>
      <c r="B366" s="16"/>
      <c r="I366" s="17"/>
      <c r="J366" s="17"/>
      <c r="K366" s="17"/>
      <c r="L366" s="17"/>
    </row>
    <row r="367" ht="15.75" customHeight="1">
      <c r="A367" s="16"/>
      <c r="B367" s="16"/>
      <c r="I367" s="17"/>
      <c r="J367" s="17"/>
      <c r="K367" s="17"/>
      <c r="L367" s="17"/>
    </row>
    <row r="368" ht="15.75" customHeight="1">
      <c r="A368" s="16"/>
      <c r="B368" s="16"/>
      <c r="I368" s="17"/>
      <c r="J368" s="17"/>
      <c r="K368" s="17"/>
      <c r="L368" s="17"/>
    </row>
    <row r="369" ht="15.75" customHeight="1">
      <c r="A369" s="16"/>
      <c r="B369" s="16"/>
      <c r="I369" s="17"/>
      <c r="J369" s="17"/>
      <c r="K369" s="17"/>
      <c r="L369" s="17"/>
    </row>
    <row r="370" ht="15.75" customHeight="1">
      <c r="A370" s="16"/>
      <c r="B370" s="16"/>
      <c r="I370" s="17"/>
      <c r="J370" s="17"/>
      <c r="K370" s="17"/>
      <c r="L370" s="17"/>
    </row>
    <row r="371" ht="15.75" customHeight="1">
      <c r="A371" s="16"/>
      <c r="B371" s="16"/>
      <c r="I371" s="17"/>
      <c r="J371" s="17"/>
      <c r="K371" s="17"/>
      <c r="L371" s="17"/>
    </row>
    <row r="372" ht="15.75" customHeight="1">
      <c r="A372" s="16"/>
      <c r="B372" s="16"/>
      <c r="I372" s="17"/>
      <c r="J372" s="17"/>
      <c r="K372" s="17"/>
      <c r="L372" s="17"/>
    </row>
    <row r="373" ht="15.75" customHeight="1">
      <c r="A373" s="16"/>
      <c r="B373" s="16"/>
      <c r="I373" s="17"/>
      <c r="J373" s="17"/>
      <c r="K373" s="17"/>
      <c r="L373" s="17"/>
    </row>
    <row r="374" ht="15.75" customHeight="1">
      <c r="A374" s="16"/>
      <c r="B374" s="16"/>
      <c r="I374" s="17"/>
      <c r="J374" s="17"/>
      <c r="K374" s="17"/>
      <c r="L374" s="17"/>
    </row>
    <row r="375" ht="15.75" customHeight="1">
      <c r="A375" s="16"/>
      <c r="B375" s="16"/>
      <c r="I375" s="17"/>
      <c r="J375" s="17"/>
      <c r="K375" s="17"/>
      <c r="L375" s="17"/>
    </row>
    <row r="376" ht="15.75" customHeight="1">
      <c r="A376" s="16"/>
      <c r="B376" s="16"/>
      <c r="I376" s="17"/>
      <c r="J376" s="17"/>
      <c r="K376" s="17"/>
      <c r="L376" s="17"/>
    </row>
    <row r="377" ht="15.75" customHeight="1">
      <c r="A377" s="16"/>
      <c r="B377" s="16"/>
      <c r="I377" s="17"/>
      <c r="J377" s="17"/>
      <c r="K377" s="17"/>
      <c r="L377" s="17"/>
    </row>
    <row r="378" ht="15.75" customHeight="1">
      <c r="A378" s="16"/>
      <c r="B378" s="16"/>
      <c r="I378" s="17"/>
      <c r="J378" s="17"/>
      <c r="K378" s="17"/>
      <c r="L378" s="17"/>
    </row>
    <row r="379" ht="15.75" customHeight="1">
      <c r="A379" s="16"/>
      <c r="B379" s="16"/>
      <c r="I379" s="17"/>
      <c r="J379" s="17"/>
      <c r="K379" s="17"/>
      <c r="L379" s="17"/>
    </row>
    <row r="380" ht="15.75" customHeight="1">
      <c r="A380" s="16"/>
      <c r="B380" s="16"/>
      <c r="I380" s="17"/>
      <c r="J380" s="17"/>
      <c r="K380" s="17"/>
      <c r="L380" s="17"/>
    </row>
    <row r="381" ht="15.75" customHeight="1">
      <c r="A381" s="16"/>
      <c r="B381" s="16"/>
      <c r="I381" s="17"/>
      <c r="J381" s="17"/>
      <c r="K381" s="17"/>
      <c r="L381" s="17"/>
    </row>
    <row r="382" ht="15.75" customHeight="1">
      <c r="A382" s="16"/>
      <c r="B382" s="16"/>
      <c r="I382" s="17"/>
      <c r="J382" s="17"/>
      <c r="K382" s="17"/>
      <c r="L382" s="17"/>
    </row>
    <row r="383" ht="15.75" customHeight="1">
      <c r="A383" s="16"/>
      <c r="B383" s="16"/>
      <c r="I383" s="17"/>
      <c r="J383" s="17"/>
      <c r="K383" s="17"/>
      <c r="L383" s="17"/>
    </row>
    <row r="384" ht="15.75" customHeight="1">
      <c r="A384" s="16"/>
      <c r="B384" s="16"/>
      <c r="I384" s="17"/>
      <c r="J384" s="17"/>
      <c r="K384" s="17"/>
      <c r="L384" s="17"/>
    </row>
    <row r="385" ht="15.75" customHeight="1">
      <c r="A385" s="16"/>
      <c r="B385" s="16"/>
      <c r="I385" s="17"/>
      <c r="J385" s="17"/>
      <c r="K385" s="17"/>
      <c r="L385" s="17"/>
    </row>
    <row r="386" ht="15.75" customHeight="1">
      <c r="A386" s="16"/>
      <c r="B386" s="16"/>
      <c r="I386" s="17"/>
      <c r="J386" s="17"/>
      <c r="K386" s="17"/>
      <c r="L386" s="17"/>
    </row>
    <row r="387" ht="15.75" customHeight="1">
      <c r="A387" s="16"/>
      <c r="B387" s="16"/>
      <c r="I387" s="17"/>
      <c r="J387" s="17"/>
      <c r="K387" s="17"/>
      <c r="L387" s="17"/>
    </row>
    <row r="388" ht="15.75" customHeight="1">
      <c r="A388" s="16"/>
      <c r="B388" s="16"/>
      <c r="I388" s="17"/>
      <c r="J388" s="17"/>
      <c r="K388" s="17"/>
      <c r="L388" s="17"/>
    </row>
    <row r="389" ht="15.75" customHeight="1">
      <c r="A389" s="16"/>
      <c r="B389" s="16"/>
      <c r="I389" s="17"/>
      <c r="J389" s="17"/>
      <c r="K389" s="17"/>
      <c r="L389" s="17"/>
    </row>
    <row r="390" ht="15.75" customHeight="1">
      <c r="A390" s="16"/>
      <c r="B390" s="16"/>
      <c r="I390" s="17"/>
      <c r="J390" s="17"/>
      <c r="K390" s="17"/>
      <c r="L390" s="17"/>
    </row>
    <row r="391" ht="15.75" customHeight="1">
      <c r="A391" s="16"/>
      <c r="B391" s="16"/>
      <c r="I391" s="17"/>
      <c r="J391" s="17"/>
      <c r="K391" s="17"/>
      <c r="L391" s="17"/>
    </row>
    <row r="392" ht="15.75" customHeight="1">
      <c r="A392" s="16"/>
      <c r="B392" s="16"/>
      <c r="I392" s="17"/>
      <c r="J392" s="17"/>
      <c r="K392" s="17"/>
      <c r="L392" s="17"/>
    </row>
    <row r="393" ht="15.75" customHeight="1">
      <c r="A393" s="16"/>
      <c r="B393" s="16"/>
      <c r="I393" s="17"/>
      <c r="J393" s="17"/>
      <c r="K393" s="17"/>
      <c r="L393" s="17"/>
    </row>
    <row r="394" ht="15.75" customHeight="1">
      <c r="A394" s="16"/>
      <c r="B394" s="16"/>
      <c r="I394" s="17"/>
      <c r="J394" s="17"/>
      <c r="K394" s="17"/>
      <c r="L394" s="17"/>
    </row>
    <row r="395" ht="15.75" customHeight="1">
      <c r="A395" s="16"/>
      <c r="B395" s="16"/>
      <c r="I395" s="17"/>
      <c r="J395" s="17"/>
      <c r="K395" s="17"/>
      <c r="L395" s="17"/>
    </row>
    <row r="396" ht="15.75" customHeight="1">
      <c r="A396" s="16"/>
      <c r="B396" s="16"/>
      <c r="I396" s="17"/>
      <c r="J396" s="17"/>
      <c r="K396" s="17"/>
      <c r="L396" s="17"/>
    </row>
    <row r="397" ht="15.75" customHeight="1">
      <c r="A397" s="16"/>
      <c r="B397" s="16"/>
      <c r="I397" s="17"/>
      <c r="J397" s="17"/>
      <c r="K397" s="17"/>
      <c r="L397" s="17"/>
    </row>
    <row r="398" ht="15.75" customHeight="1">
      <c r="A398" s="16"/>
      <c r="B398" s="16"/>
      <c r="I398" s="17"/>
      <c r="J398" s="17"/>
      <c r="K398" s="17"/>
      <c r="L398" s="17"/>
    </row>
    <row r="399" ht="15.75" customHeight="1">
      <c r="A399" s="16"/>
      <c r="B399" s="16"/>
      <c r="I399" s="17"/>
      <c r="J399" s="17"/>
      <c r="K399" s="17"/>
      <c r="L399" s="17"/>
    </row>
    <row r="400" ht="15.75" customHeight="1">
      <c r="A400" s="16"/>
      <c r="B400" s="16"/>
      <c r="I400" s="17"/>
      <c r="J400" s="17"/>
      <c r="K400" s="17"/>
      <c r="L400" s="17"/>
    </row>
    <row r="401" ht="15.75" customHeight="1">
      <c r="A401" s="16"/>
      <c r="B401" s="16"/>
      <c r="I401" s="17"/>
      <c r="J401" s="17"/>
      <c r="K401" s="17"/>
      <c r="L401" s="17"/>
    </row>
    <row r="402" ht="15.75" customHeight="1">
      <c r="A402" s="16"/>
      <c r="B402" s="16"/>
      <c r="I402" s="17"/>
      <c r="J402" s="17"/>
      <c r="K402" s="17"/>
      <c r="L402" s="17"/>
    </row>
    <row r="403" ht="15.75" customHeight="1">
      <c r="A403" s="16"/>
      <c r="B403" s="16"/>
      <c r="I403" s="17"/>
      <c r="J403" s="17"/>
      <c r="K403" s="17"/>
      <c r="L403" s="17"/>
    </row>
    <row r="404" ht="15.75" customHeight="1">
      <c r="A404" s="16"/>
      <c r="B404" s="16"/>
      <c r="I404" s="17"/>
      <c r="J404" s="17"/>
      <c r="K404" s="17"/>
      <c r="L404" s="17"/>
    </row>
    <row r="405" ht="15.75" customHeight="1">
      <c r="A405" s="16"/>
      <c r="B405" s="16"/>
      <c r="I405" s="17"/>
      <c r="J405" s="17"/>
      <c r="K405" s="17"/>
      <c r="L405" s="17"/>
    </row>
    <row r="406" ht="15.75" customHeight="1">
      <c r="A406" s="16"/>
      <c r="B406" s="16"/>
      <c r="I406" s="17"/>
      <c r="J406" s="17"/>
      <c r="K406" s="17"/>
      <c r="L406" s="17"/>
    </row>
    <row r="407" ht="15.75" customHeight="1">
      <c r="A407" s="16"/>
      <c r="B407" s="16"/>
      <c r="I407" s="17"/>
      <c r="J407" s="17"/>
      <c r="K407" s="17"/>
      <c r="L407" s="17"/>
    </row>
    <row r="408" ht="15.75" customHeight="1">
      <c r="A408" s="16"/>
      <c r="B408" s="16"/>
      <c r="I408" s="17"/>
      <c r="J408" s="17"/>
      <c r="K408" s="17"/>
      <c r="L408" s="17"/>
    </row>
    <row r="409" ht="15.75" customHeight="1">
      <c r="A409" s="16"/>
      <c r="B409" s="16"/>
      <c r="I409" s="17"/>
      <c r="J409" s="17"/>
      <c r="K409" s="17"/>
      <c r="L409" s="17"/>
    </row>
    <row r="410" ht="15.75" customHeight="1">
      <c r="A410" s="16"/>
      <c r="B410" s="16"/>
      <c r="I410" s="17"/>
      <c r="J410" s="17"/>
      <c r="K410" s="17"/>
      <c r="L410" s="17"/>
    </row>
    <row r="411" ht="15.75" customHeight="1">
      <c r="A411" s="16"/>
      <c r="B411" s="16"/>
      <c r="I411" s="17"/>
      <c r="J411" s="17"/>
      <c r="K411" s="17"/>
      <c r="L411" s="17"/>
    </row>
    <row r="412" ht="15.75" customHeight="1">
      <c r="A412" s="16"/>
      <c r="B412" s="16"/>
      <c r="I412" s="17"/>
      <c r="J412" s="17"/>
      <c r="K412" s="17"/>
      <c r="L412" s="17"/>
    </row>
    <row r="413" ht="15.75" customHeight="1">
      <c r="A413" s="16"/>
      <c r="B413" s="16"/>
      <c r="I413" s="17"/>
      <c r="J413" s="17"/>
      <c r="K413" s="17"/>
      <c r="L413" s="17"/>
    </row>
    <row r="414" ht="15.75" customHeight="1">
      <c r="A414" s="16"/>
      <c r="B414" s="16"/>
      <c r="I414" s="17"/>
      <c r="J414" s="17"/>
      <c r="K414" s="17"/>
      <c r="L414" s="17"/>
    </row>
    <row r="415" ht="15.75" customHeight="1">
      <c r="A415" s="16"/>
      <c r="B415" s="16"/>
      <c r="I415" s="17"/>
      <c r="J415" s="17"/>
      <c r="K415" s="17"/>
      <c r="L415" s="17"/>
    </row>
    <row r="416" ht="15.75" customHeight="1">
      <c r="A416" s="16"/>
      <c r="B416" s="16"/>
      <c r="I416" s="17"/>
      <c r="J416" s="17"/>
      <c r="K416" s="17"/>
      <c r="L416" s="17"/>
    </row>
    <row r="417" ht="15.75" customHeight="1">
      <c r="A417" s="16"/>
      <c r="B417" s="16"/>
      <c r="I417" s="17"/>
      <c r="J417" s="17"/>
      <c r="K417" s="17"/>
      <c r="L417" s="17"/>
    </row>
    <row r="418" ht="15.75" customHeight="1">
      <c r="A418" s="16"/>
      <c r="B418" s="16"/>
      <c r="I418" s="17"/>
      <c r="J418" s="17"/>
      <c r="K418" s="17"/>
      <c r="L418" s="17"/>
    </row>
    <row r="419" ht="15.75" customHeight="1">
      <c r="A419" s="16"/>
      <c r="B419" s="16"/>
      <c r="I419" s="17"/>
      <c r="J419" s="17"/>
      <c r="K419" s="17"/>
      <c r="L419" s="17"/>
    </row>
    <row r="420" ht="15.75" customHeight="1">
      <c r="A420" s="16"/>
      <c r="B420" s="16"/>
      <c r="I420" s="17"/>
      <c r="J420" s="17"/>
      <c r="K420" s="17"/>
      <c r="L420" s="17"/>
    </row>
    <row r="421" ht="15.75" customHeight="1">
      <c r="A421" s="16"/>
      <c r="B421" s="16"/>
      <c r="I421" s="17"/>
      <c r="J421" s="17"/>
      <c r="K421" s="17"/>
      <c r="L421" s="17"/>
    </row>
    <row r="422" ht="15.75" customHeight="1">
      <c r="A422" s="16"/>
      <c r="B422" s="16"/>
      <c r="I422" s="17"/>
      <c r="J422" s="17"/>
      <c r="K422" s="17"/>
      <c r="L422" s="17"/>
    </row>
    <row r="423" ht="15.75" customHeight="1">
      <c r="A423" s="16"/>
      <c r="B423" s="16"/>
      <c r="I423" s="17"/>
      <c r="J423" s="17"/>
      <c r="K423" s="17"/>
      <c r="L423" s="17"/>
    </row>
    <row r="424" ht="15.75" customHeight="1">
      <c r="A424" s="16"/>
      <c r="B424" s="16"/>
      <c r="I424" s="17"/>
      <c r="J424" s="17"/>
      <c r="K424" s="17"/>
      <c r="L424" s="17"/>
    </row>
    <row r="425" ht="15.75" customHeight="1">
      <c r="A425" s="16"/>
      <c r="B425" s="16"/>
      <c r="I425" s="17"/>
      <c r="J425" s="17"/>
      <c r="K425" s="17"/>
      <c r="L425" s="17"/>
    </row>
    <row r="426" ht="15.75" customHeight="1">
      <c r="A426" s="16"/>
      <c r="B426" s="16"/>
      <c r="I426" s="17"/>
      <c r="J426" s="17"/>
      <c r="K426" s="17"/>
      <c r="L426" s="17"/>
    </row>
    <row r="427" ht="15.75" customHeight="1">
      <c r="A427" s="16"/>
      <c r="B427" s="16"/>
      <c r="I427" s="17"/>
      <c r="J427" s="17"/>
      <c r="K427" s="17"/>
      <c r="L427" s="17"/>
    </row>
    <row r="428" ht="15.75" customHeight="1">
      <c r="A428" s="16"/>
      <c r="B428" s="16"/>
      <c r="I428" s="17"/>
      <c r="J428" s="17"/>
      <c r="K428" s="17"/>
      <c r="L428" s="17"/>
    </row>
    <row r="429" ht="15.75" customHeight="1">
      <c r="A429" s="16"/>
      <c r="B429" s="16"/>
      <c r="I429" s="17"/>
      <c r="J429" s="17"/>
      <c r="K429" s="17"/>
      <c r="L429" s="17"/>
    </row>
    <row r="430" ht="15.75" customHeight="1">
      <c r="A430" s="16"/>
      <c r="B430" s="16"/>
      <c r="I430" s="17"/>
      <c r="J430" s="17"/>
      <c r="K430" s="17"/>
      <c r="L430" s="17"/>
    </row>
    <row r="431" ht="15.75" customHeight="1">
      <c r="A431" s="16"/>
      <c r="B431" s="16"/>
      <c r="I431" s="17"/>
      <c r="J431" s="17"/>
      <c r="K431" s="17"/>
      <c r="L431" s="17"/>
    </row>
    <row r="432" ht="15.75" customHeight="1">
      <c r="A432" s="16"/>
      <c r="B432" s="16"/>
      <c r="I432" s="17"/>
      <c r="J432" s="17"/>
      <c r="K432" s="17"/>
      <c r="L432" s="17"/>
    </row>
    <row r="433" ht="15.75" customHeight="1">
      <c r="A433" s="16"/>
      <c r="B433" s="16"/>
      <c r="I433" s="17"/>
      <c r="J433" s="17"/>
      <c r="K433" s="17"/>
      <c r="L433" s="17"/>
    </row>
    <row r="434" ht="15.75" customHeight="1">
      <c r="A434" s="16"/>
      <c r="B434" s="16"/>
      <c r="I434" s="17"/>
      <c r="J434" s="17"/>
      <c r="K434" s="17"/>
      <c r="L434" s="17"/>
    </row>
    <row r="435" ht="15.75" customHeight="1">
      <c r="A435" s="16"/>
      <c r="B435" s="16"/>
      <c r="I435" s="17"/>
      <c r="J435" s="17"/>
      <c r="K435" s="17"/>
      <c r="L435" s="17"/>
    </row>
    <row r="436" ht="15.75" customHeight="1">
      <c r="A436" s="16"/>
      <c r="B436" s="16"/>
      <c r="I436" s="17"/>
      <c r="J436" s="17"/>
      <c r="K436" s="17"/>
      <c r="L436" s="17"/>
    </row>
    <row r="437" ht="15.75" customHeight="1">
      <c r="A437" s="16"/>
      <c r="B437" s="16"/>
      <c r="I437" s="17"/>
      <c r="J437" s="17"/>
      <c r="K437" s="17"/>
      <c r="L437" s="17"/>
    </row>
    <row r="438" ht="15.75" customHeight="1">
      <c r="A438" s="16"/>
      <c r="B438" s="16"/>
      <c r="I438" s="17"/>
      <c r="J438" s="17"/>
      <c r="K438" s="17"/>
      <c r="L438" s="17"/>
    </row>
    <row r="439" ht="15.75" customHeight="1">
      <c r="A439" s="16"/>
      <c r="B439" s="16"/>
      <c r="I439" s="17"/>
      <c r="J439" s="17"/>
      <c r="K439" s="17"/>
      <c r="L439" s="17"/>
    </row>
    <row r="440" ht="15.75" customHeight="1">
      <c r="A440" s="16"/>
      <c r="B440" s="16"/>
      <c r="I440" s="17"/>
      <c r="J440" s="17"/>
      <c r="K440" s="17"/>
      <c r="L440" s="17"/>
    </row>
    <row r="441" ht="15.75" customHeight="1">
      <c r="A441" s="16"/>
      <c r="B441" s="16"/>
      <c r="I441" s="17"/>
      <c r="J441" s="17"/>
      <c r="K441" s="17"/>
      <c r="L441" s="17"/>
    </row>
    <row r="442" ht="15.75" customHeight="1">
      <c r="A442" s="16"/>
      <c r="B442" s="16"/>
      <c r="I442" s="17"/>
      <c r="J442" s="17"/>
      <c r="K442" s="17"/>
      <c r="L442" s="17"/>
    </row>
    <row r="443" ht="15.75" customHeight="1">
      <c r="A443" s="16"/>
      <c r="B443" s="16"/>
      <c r="I443" s="17"/>
      <c r="J443" s="17"/>
      <c r="K443" s="17"/>
      <c r="L443" s="17"/>
    </row>
    <row r="444" ht="15.75" customHeight="1">
      <c r="A444" s="16"/>
      <c r="B444" s="16"/>
      <c r="I444" s="17"/>
      <c r="J444" s="17"/>
      <c r="K444" s="17"/>
      <c r="L444" s="17"/>
    </row>
    <row r="445" ht="15.75" customHeight="1">
      <c r="A445" s="16"/>
      <c r="B445" s="16"/>
      <c r="I445" s="17"/>
      <c r="J445" s="17"/>
      <c r="K445" s="17"/>
      <c r="L445" s="17"/>
    </row>
    <row r="446" ht="15.75" customHeight="1">
      <c r="A446" s="16"/>
      <c r="B446" s="16"/>
      <c r="I446" s="17"/>
      <c r="J446" s="17"/>
      <c r="K446" s="17"/>
      <c r="L446" s="17"/>
    </row>
    <row r="447" ht="15.75" customHeight="1">
      <c r="A447" s="16"/>
      <c r="B447" s="16"/>
      <c r="I447" s="17"/>
      <c r="J447" s="17"/>
      <c r="K447" s="17"/>
      <c r="L447" s="17"/>
    </row>
    <row r="448" ht="15.75" customHeight="1">
      <c r="A448" s="16"/>
      <c r="B448" s="16"/>
      <c r="I448" s="17"/>
      <c r="J448" s="17"/>
      <c r="K448" s="17"/>
      <c r="L448" s="17"/>
    </row>
    <row r="449" ht="15.75" customHeight="1">
      <c r="A449" s="16"/>
      <c r="B449" s="16"/>
      <c r="I449" s="17"/>
      <c r="J449" s="17"/>
      <c r="K449" s="17"/>
      <c r="L449" s="17"/>
    </row>
    <row r="450" ht="15.75" customHeight="1">
      <c r="A450" s="16"/>
      <c r="B450" s="16"/>
      <c r="I450" s="17"/>
      <c r="J450" s="17"/>
      <c r="K450" s="17"/>
      <c r="L450" s="17"/>
    </row>
    <row r="451" ht="15.75" customHeight="1">
      <c r="A451" s="16"/>
      <c r="B451" s="16"/>
      <c r="I451" s="17"/>
      <c r="J451" s="17"/>
      <c r="K451" s="17"/>
      <c r="L451" s="17"/>
    </row>
    <row r="452" ht="15.75" customHeight="1">
      <c r="A452" s="16"/>
      <c r="B452" s="16"/>
      <c r="I452" s="17"/>
      <c r="J452" s="17"/>
      <c r="K452" s="17"/>
      <c r="L452" s="17"/>
    </row>
    <row r="453" ht="15.75" customHeight="1">
      <c r="A453" s="16"/>
      <c r="B453" s="16"/>
      <c r="I453" s="17"/>
      <c r="J453" s="17"/>
      <c r="K453" s="17"/>
      <c r="L453" s="17"/>
    </row>
    <row r="454" ht="15.75" customHeight="1">
      <c r="A454" s="16"/>
      <c r="B454" s="16"/>
      <c r="I454" s="17"/>
      <c r="J454" s="17"/>
      <c r="K454" s="17"/>
      <c r="L454" s="17"/>
    </row>
    <row r="455" ht="15.75" customHeight="1">
      <c r="A455" s="16"/>
      <c r="B455" s="16"/>
      <c r="I455" s="17"/>
      <c r="J455" s="17"/>
      <c r="K455" s="17"/>
      <c r="L455" s="17"/>
    </row>
    <row r="456" ht="15.75" customHeight="1">
      <c r="A456" s="16"/>
      <c r="B456" s="16"/>
      <c r="I456" s="17"/>
      <c r="J456" s="17"/>
      <c r="K456" s="17"/>
      <c r="L456" s="17"/>
    </row>
    <row r="457" ht="15.75" customHeight="1">
      <c r="A457" s="16"/>
      <c r="B457" s="16"/>
      <c r="I457" s="17"/>
      <c r="J457" s="17"/>
      <c r="K457" s="17"/>
      <c r="L457" s="17"/>
    </row>
    <row r="458" ht="15.75" customHeight="1">
      <c r="A458" s="16"/>
      <c r="B458" s="16"/>
      <c r="I458" s="17"/>
      <c r="J458" s="17"/>
      <c r="K458" s="17"/>
      <c r="L458" s="17"/>
    </row>
    <row r="459" ht="15.75" customHeight="1">
      <c r="A459" s="16"/>
      <c r="B459" s="16"/>
      <c r="I459" s="17"/>
      <c r="J459" s="17"/>
      <c r="K459" s="17"/>
      <c r="L459" s="17"/>
    </row>
    <row r="460" ht="15.75" customHeight="1">
      <c r="A460" s="16"/>
      <c r="B460" s="16"/>
      <c r="I460" s="17"/>
      <c r="J460" s="17"/>
      <c r="K460" s="17"/>
      <c r="L460" s="17"/>
    </row>
    <row r="461" ht="15.75" customHeight="1">
      <c r="A461" s="16"/>
      <c r="B461" s="16"/>
      <c r="I461" s="17"/>
      <c r="J461" s="17"/>
      <c r="K461" s="17"/>
      <c r="L461" s="17"/>
    </row>
    <row r="462" ht="15.75" customHeight="1">
      <c r="A462" s="16"/>
      <c r="B462" s="16"/>
      <c r="I462" s="17"/>
      <c r="J462" s="17"/>
      <c r="K462" s="17"/>
      <c r="L462" s="17"/>
    </row>
    <row r="463" ht="15.75" customHeight="1">
      <c r="A463" s="16"/>
      <c r="B463" s="16"/>
      <c r="I463" s="17"/>
      <c r="J463" s="17"/>
      <c r="K463" s="17"/>
      <c r="L463" s="17"/>
    </row>
    <row r="464" ht="15.75" customHeight="1">
      <c r="A464" s="16"/>
      <c r="B464" s="16"/>
      <c r="I464" s="17"/>
      <c r="J464" s="17"/>
      <c r="K464" s="17"/>
      <c r="L464" s="17"/>
    </row>
    <row r="465" ht="15.75" customHeight="1">
      <c r="A465" s="16"/>
      <c r="B465" s="16"/>
      <c r="I465" s="17"/>
      <c r="J465" s="17"/>
      <c r="K465" s="17"/>
      <c r="L465" s="17"/>
    </row>
    <row r="466" ht="15.75" customHeight="1">
      <c r="A466" s="16"/>
      <c r="B466" s="16"/>
      <c r="I466" s="17"/>
      <c r="J466" s="17"/>
      <c r="K466" s="17"/>
      <c r="L466" s="17"/>
    </row>
    <row r="467" ht="15.75" customHeight="1">
      <c r="A467" s="16"/>
      <c r="B467" s="16"/>
      <c r="I467" s="17"/>
      <c r="J467" s="17"/>
      <c r="K467" s="17"/>
      <c r="L467" s="17"/>
    </row>
    <row r="468" ht="15.75" customHeight="1">
      <c r="A468" s="16"/>
      <c r="B468" s="16"/>
      <c r="I468" s="17"/>
      <c r="J468" s="17"/>
      <c r="K468" s="17"/>
      <c r="L468" s="17"/>
    </row>
    <row r="469" ht="15.75" customHeight="1">
      <c r="A469" s="16"/>
      <c r="B469" s="16"/>
      <c r="I469" s="17"/>
      <c r="J469" s="17"/>
      <c r="K469" s="17"/>
      <c r="L469" s="17"/>
    </row>
    <row r="470" ht="15.75" customHeight="1">
      <c r="A470" s="16"/>
      <c r="B470" s="16"/>
      <c r="I470" s="17"/>
      <c r="J470" s="17"/>
      <c r="K470" s="17"/>
      <c r="L470" s="17"/>
    </row>
    <row r="471" ht="15.75" customHeight="1">
      <c r="A471" s="16"/>
      <c r="B471" s="16"/>
      <c r="I471" s="17"/>
      <c r="J471" s="17"/>
      <c r="K471" s="17"/>
      <c r="L471" s="17"/>
    </row>
    <row r="472" ht="15.75" customHeight="1">
      <c r="A472" s="16"/>
      <c r="B472" s="16"/>
      <c r="I472" s="17"/>
      <c r="J472" s="17"/>
      <c r="K472" s="17"/>
      <c r="L472" s="17"/>
    </row>
    <row r="473" ht="15.75" customHeight="1">
      <c r="A473" s="16"/>
      <c r="B473" s="16"/>
      <c r="I473" s="17"/>
      <c r="J473" s="17"/>
      <c r="K473" s="17"/>
      <c r="L473" s="17"/>
    </row>
    <row r="474" ht="15.75" customHeight="1">
      <c r="A474" s="16"/>
      <c r="B474" s="16"/>
      <c r="I474" s="17"/>
      <c r="J474" s="17"/>
      <c r="K474" s="17"/>
      <c r="L474" s="17"/>
    </row>
    <row r="475" ht="15.75" customHeight="1">
      <c r="A475" s="16"/>
      <c r="B475" s="16"/>
      <c r="I475" s="17"/>
      <c r="J475" s="17"/>
      <c r="K475" s="17"/>
      <c r="L475" s="17"/>
    </row>
    <row r="476" ht="15.75" customHeight="1">
      <c r="A476" s="16"/>
      <c r="B476" s="16"/>
      <c r="I476" s="17"/>
      <c r="J476" s="17"/>
      <c r="K476" s="17"/>
      <c r="L476" s="17"/>
    </row>
    <row r="477" ht="15.75" customHeight="1">
      <c r="A477" s="16"/>
      <c r="B477" s="16"/>
      <c r="I477" s="17"/>
      <c r="J477" s="17"/>
      <c r="K477" s="17"/>
      <c r="L477" s="17"/>
    </row>
    <row r="478" ht="15.75" customHeight="1">
      <c r="A478" s="16"/>
      <c r="B478" s="16"/>
      <c r="I478" s="17"/>
      <c r="J478" s="17"/>
      <c r="K478" s="17"/>
      <c r="L478" s="17"/>
    </row>
    <row r="479" ht="15.75" customHeight="1">
      <c r="A479" s="16"/>
      <c r="B479" s="16"/>
      <c r="I479" s="17"/>
      <c r="J479" s="17"/>
      <c r="K479" s="17"/>
      <c r="L479" s="17"/>
    </row>
    <row r="480" ht="15.75" customHeight="1">
      <c r="A480" s="16"/>
      <c r="B480" s="16"/>
      <c r="I480" s="17"/>
      <c r="J480" s="17"/>
      <c r="K480" s="17"/>
      <c r="L480" s="17"/>
    </row>
    <row r="481" ht="15.75" customHeight="1">
      <c r="A481" s="16"/>
      <c r="B481" s="16"/>
      <c r="I481" s="17"/>
      <c r="J481" s="17"/>
      <c r="K481" s="17"/>
      <c r="L481" s="17"/>
    </row>
    <row r="482" ht="15.75" customHeight="1">
      <c r="A482" s="16"/>
      <c r="B482" s="16"/>
      <c r="I482" s="17"/>
      <c r="J482" s="17"/>
      <c r="K482" s="17"/>
      <c r="L482" s="17"/>
    </row>
    <row r="483" ht="15.75" customHeight="1">
      <c r="A483" s="16"/>
      <c r="B483" s="16"/>
      <c r="I483" s="17"/>
      <c r="J483" s="17"/>
      <c r="K483" s="17"/>
      <c r="L483" s="17"/>
    </row>
    <row r="484" ht="15.75" customHeight="1">
      <c r="A484" s="16"/>
      <c r="B484" s="16"/>
      <c r="I484" s="17"/>
      <c r="J484" s="17"/>
      <c r="K484" s="17"/>
      <c r="L484" s="17"/>
    </row>
    <row r="485" ht="15.75" customHeight="1">
      <c r="A485" s="16"/>
      <c r="B485" s="16"/>
      <c r="I485" s="17"/>
      <c r="J485" s="17"/>
      <c r="K485" s="17"/>
      <c r="L485" s="17"/>
    </row>
    <row r="486" ht="15.75" customHeight="1">
      <c r="A486" s="16"/>
      <c r="B486" s="16"/>
      <c r="I486" s="17"/>
      <c r="J486" s="17"/>
      <c r="K486" s="17"/>
      <c r="L486" s="17"/>
    </row>
    <row r="487" ht="15.75" customHeight="1">
      <c r="A487" s="16"/>
      <c r="B487" s="16"/>
      <c r="I487" s="17"/>
      <c r="J487" s="17"/>
      <c r="K487" s="17"/>
      <c r="L487" s="17"/>
    </row>
    <row r="488" ht="15.75" customHeight="1">
      <c r="A488" s="16"/>
      <c r="B488" s="16"/>
      <c r="I488" s="17"/>
      <c r="J488" s="17"/>
      <c r="K488" s="17"/>
      <c r="L488" s="17"/>
    </row>
    <row r="489" ht="15.75" customHeight="1">
      <c r="A489" s="16"/>
      <c r="B489" s="16"/>
      <c r="I489" s="17"/>
      <c r="J489" s="17"/>
      <c r="K489" s="17"/>
      <c r="L489" s="17"/>
    </row>
    <row r="490" ht="15.75" customHeight="1">
      <c r="A490" s="16"/>
      <c r="B490" s="16"/>
      <c r="I490" s="17"/>
      <c r="J490" s="17"/>
      <c r="K490" s="17"/>
      <c r="L490" s="17"/>
    </row>
    <row r="491" ht="15.75" customHeight="1">
      <c r="A491" s="16"/>
      <c r="B491" s="16"/>
      <c r="I491" s="17"/>
      <c r="J491" s="17"/>
      <c r="K491" s="17"/>
      <c r="L491" s="17"/>
    </row>
    <row r="492" ht="15.75" customHeight="1">
      <c r="A492" s="16"/>
      <c r="B492" s="16"/>
      <c r="I492" s="17"/>
      <c r="J492" s="17"/>
      <c r="K492" s="17"/>
      <c r="L492" s="17"/>
    </row>
    <row r="493" ht="15.75" customHeight="1">
      <c r="A493" s="16"/>
      <c r="B493" s="16"/>
      <c r="I493" s="17"/>
      <c r="J493" s="17"/>
      <c r="K493" s="17"/>
      <c r="L493" s="17"/>
    </row>
    <row r="494" ht="15.75" customHeight="1">
      <c r="A494" s="16"/>
      <c r="B494" s="16"/>
      <c r="I494" s="17"/>
      <c r="J494" s="17"/>
      <c r="K494" s="17"/>
      <c r="L494" s="17"/>
    </row>
    <row r="495" ht="15.75" customHeight="1">
      <c r="A495" s="16"/>
      <c r="B495" s="16"/>
      <c r="I495" s="17"/>
      <c r="J495" s="17"/>
      <c r="K495" s="17"/>
      <c r="L495" s="17"/>
    </row>
    <row r="496" ht="15.75" customHeight="1">
      <c r="A496" s="16"/>
      <c r="B496" s="16"/>
      <c r="I496" s="17"/>
      <c r="J496" s="17"/>
      <c r="K496" s="17"/>
      <c r="L496" s="17"/>
    </row>
    <row r="497" ht="15.75" customHeight="1">
      <c r="A497" s="16"/>
      <c r="B497" s="16"/>
      <c r="I497" s="17"/>
      <c r="J497" s="17"/>
      <c r="K497" s="17"/>
      <c r="L497" s="17"/>
    </row>
    <row r="498" ht="15.75" customHeight="1">
      <c r="A498" s="16"/>
      <c r="B498" s="16"/>
      <c r="I498" s="17"/>
      <c r="J498" s="17"/>
      <c r="K498" s="17"/>
      <c r="L498" s="17"/>
    </row>
    <row r="499" ht="15.75" customHeight="1">
      <c r="A499" s="16"/>
      <c r="B499" s="16"/>
      <c r="I499" s="17"/>
      <c r="J499" s="17"/>
      <c r="K499" s="17"/>
      <c r="L499" s="17"/>
    </row>
    <row r="500" ht="15.75" customHeight="1">
      <c r="A500" s="16"/>
      <c r="B500" s="16"/>
      <c r="I500" s="17"/>
      <c r="J500" s="17"/>
      <c r="K500" s="17"/>
      <c r="L500" s="17"/>
    </row>
    <row r="501" ht="15.75" customHeight="1">
      <c r="A501" s="16"/>
      <c r="B501" s="16"/>
      <c r="I501" s="17"/>
      <c r="J501" s="17"/>
      <c r="K501" s="17"/>
      <c r="L501" s="17"/>
    </row>
    <row r="502" ht="15.75" customHeight="1">
      <c r="A502" s="16"/>
      <c r="B502" s="16"/>
      <c r="I502" s="17"/>
      <c r="J502" s="17"/>
      <c r="K502" s="17"/>
      <c r="L502" s="17"/>
    </row>
    <row r="503" ht="15.75" customHeight="1">
      <c r="A503" s="16"/>
      <c r="B503" s="16"/>
      <c r="I503" s="17"/>
      <c r="J503" s="17"/>
      <c r="K503" s="17"/>
      <c r="L503" s="17"/>
    </row>
    <row r="504" ht="15.75" customHeight="1">
      <c r="A504" s="16"/>
      <c r="B504" s="16"/>
      <c r="I504" s="17"/>
      <c r="J504" s="17"/>
      <c r="K504" s="17"/>
      <c r="L504" s="17"/>
    </row>
    <row r="505" ht="15.75" customHeight="1">
      <c r="A505" s="16"/>
      <c r="B505" s="16"/>
      <c r="I505" s="17"/>
      <c r="J505" s="17"/>
      <c r="K505" s="17"/>
      <c r="L505" s="17"/>
    </row>
    <row r="506" ht="15.75" customHeight="1">
      <c r="A506" s="16"/>
      <c r="B506" s="16"/>
      <c r="I506" s="17"/>
      <c r="J506" s="17"/>
      <c r="K506" s="17"/>
      <c r="L506" s="17"/>
    </row>
    <row r="507" ht="15.75" customHeight="1">
      <c r="A507" s="16"/>
      <c r="B507" s="16"/>
      <c r="I507" s="17"/>
      <c r="J507" s="17"/>
      <c r="K507" s="17"/>
      <c r="L507" s="17"/>
    </row>
    <row r="508" ht="15.75" customHeight="1">
      <c r="A508" s="16"/>
      <c r="B508" s="16"/>
      <c r="I508" s="17"/>
      <c r="J508" s="17"/>
      <c r="K508" s="17"/>
      <c r="L508" s="17"/>
    </row>
    <row r="509" ht="15.75" customHeight="1">
      <c r="A509" s="16"/>
      <c r="B509" s="16"/>
      <c r="I509" s="17"/>
      <c r="J509" s="17"/>
      <c r="K509" s="17"/>
      <c r="L509" s="17"/>
    </row>
    <row r="510" ht="15.75" customHeight="1">
      <c r="A510" s="16"/>
      <c r="B510" s="16"/>
      <c r="I510" s="17"/>
      <c r="J510" s="17"/>
      <c r="K510" s="17"/>
      <c r="L510" s="17"/>
    </row>
    <row r="511" ht="15.75" customHeight="1">
      <c r="A511" s="16"/>
      <c r="B511" s="16"/>
      <c r="I511" s="17"/>
      <c r="J511" s="17"/>
      <c r="K511" s="17"/>
      <c r="L511" s="17"/>
    </row>
    <row r="512" ht="15.75" customHeight="1">
      <c r="A512" s="16"/>
      <c r="B512" s="16"/>
      <c r="I512" s="17"/>
      <c r="J512" s="17"/>
      <c r="K512" s="17"/>
      <c r="L512" s="17"/>
    </row>
    <row r="513" ht="15.75" customHeight="1">
      <c r="A513" s="16"/>
      <c r="B513" s="16"/>
      <c r="I513" s="17"/>
      <c r="J513" s="17"/>
      <c r="K513" s="17"/>
      <c r="L513" s="17"/>
    </row>
    <row r="514" ht="15.75" customHeight="1">
      <c r="A514" s="16"/>
      <c r="B514" s="16"/>
      <c r="I514" s="17"/>
      <c r="J514" s="17"/>
      <c r="K514" s="17"/>
      <c r="L514" s="17"/>
    </row>
    <row r="515" ht="15.75" customHeight="1">
      <c r="A515" s="16"/>
      <c r="B515" s="16"/>
      <c r="I515" s="17"/>
      <c r="J515" s="17"/>
      <c r="K515" s="17"/>
      <c r="L515" s="17"/>
    </row>
    <row r="516" ht="15.75" customHeight="1">
      <c r="A516" s="16"/>
      <c r="B516" s="16"/>
      <c r="I516" s="17"/>
      <c r="J516" s="17"/>
      <c r="K516" s="17"/>
      <c r="L516" s="17"/>
    </row>
    <row r="517" ht="15.75" customHeight="1">
      <c r="A517" s="16"/>
      <c r="B517" s="16"/>
      <c r="I517" s="17"/>
      <c r="J517" s="17"/>
      <c r="K517" s="17"/>
      <c r="L517" s="17"/>
    </row>
    <row r="518" ht="15.75" customHeight="1">
      <c r="A518" s="16"/>
      <c r="B518" s="16"/>
      <c r="I518" s="17"/>
      <c r="J518" s="17"/>
      <c r="K518" s="17"/>
      <c r="L518" s="17"/>
    </row>
    <row r="519" ht="15.75" customHeight="1">
      <c r="A519" s="16"/>
      <c r="B519" s="16"/>
      <c r="I519" s="17"/>
      <c r="J519" s="17"/>
      <c r="K519" s="17"/>
      <c r="L519" s="17"/>
    </row>
    <row r="520" ht="15.75" customHeight="1">
      <c r="A520" s="16"/>
      <c r="B520" s="16"/>
      <c r="I520" s="17"/>
      <c r="J520" s="17"/>
      <c r="K520" s="17"/>
      <c r="L520" s="17"/>
    </row>
    <row r="521" ht="15.75" customHeight="1">
      <c r="A521" s="16"/>
      <c r="B521" s="16"/>
      <c r="I521" s="17"/>
      <c r="J521" s="17"/>
      <c r="K521" s="17"/>
      <c r="L521" s="17"/>
    </row>
    <row r="522" ht="15.75" customHeight="1">
      <c r="A522" s="16"/>
      <c r="B522" s="16"/>
      <c r="I522" s="17"/>
      <c r="J522" s="17"/>
      <c r="K522" s="17"/>
      <c r="L522" s="17"/>
    </row>
    <row r="523" ht="15.75" customHeight="1">
      <c r="A523" s="16"/>
      <c r="B523" s="16"/>
      <c r="I523" s="17"/>
      <c r="J523" s="17"/>
      <c r="K523" s="17"/>
      <c r="L523" s="17"/>
    </row>
    <row r="524" ht="15.75" customHeight="1">
      <c r="A524" s="16"/>
      <c r="B524" s="16"/>
      <c r="I524" s="17"/>
      <c r="J524" s="17"/>
      <c r="K524" s="17"/>
      <c r="L524" s="17"/>
    </row>
    <row r="525" ht="15.75" customHeight="1">
      <c r="A525" s="16"/>
      <c r="B525" s="16"/>
      <c r="I525" s="17"/>
      <c r="J525" s="17"/>
      <c r="K525" s="17"/>
      <c r="L525" s="17"/>
    </row>
    <row r="526" ht="15.75" customHeight="1">
      <c r="A526" s="16"/>
      <c r="B526" s="16"/>
      <c r="I526" s="17"/>
      <c r="J526" s="17"/>
      <c r="K526" s="17"/>
      <c r="L526" s="17"/>
    </row>
    <row r="527" ht="15.75" customHeight="1">
      <c r="A527" s="16"/>
      <c r="B527" s="16"/>
      <c r="I527" s="17"/>
      <c r="J527" s="17"/>
      <c r="K527" s="17"/>
      <c r="L527" s="17"/>
    </row>
    <row r="528" ht="15.75" customHeight="1">
      <c r="A528" s="16"/>
      <c r="B528" s="16"/>
      <c r="I528" s="17"/>
      <c r="J528" s="17"/>
      <c r="K528" s="17"/>
      <c r="L528" s="17"/>
    </row>
    <row r="529" ht="15.75" customHeight="1">
      <c r="A529" s="16"/>
      <c r="B529" s="16"/>
      <c r="I529" s="17"/>
      <c r="J529" s="17"/>
      <c r="K529" s="17"/>
      <c r="L529" s="17"/>
    </row>
    <row r="530" ht="15.75" customHeight="1">
      <c r="A530" s="16"/>
      <c r="B530" s="16"/>
      <c r="I530" s="17"/>
      <c r="J530" s="17"/>
      <c r="K530" s="17"/>
      <c r="L530" s="17"/>
    </row>
    <row r="531" ht="15.75" customHeight="1">
      <c r="A531" s="16"/>
      <c r="B531" s="16"/>
      <c r="I531" s="17"/>
      <c r="J531" s="17"/>
      <c r="K531" s="17"/>
      <c r="L531" s="17"/>
    </row>
    <row r="532" ht="15.75" customHeight="1">
      <c r="A532" s="16"/>
      <c r="B532" s="16"/>
      <c r="I532" s="17"/>
      <c r="J532" s="17"/>
      <c r="K532" s="17"/>
      <c r="L532" s="17"/>
    </row>
    <row r="533" ht="15.75" customHeight="1">
      <c r="A533" s="16"/>
      <c r="B533" s="16"/>
      <c r="I533" s="17"/>
      <c r="J533" s="17"/>
      <c r="K533" s="17"/>
      <c r="L533" s="17"/>
    </row>
    <row r="534" ht="15.75" customHeight="1">
      <c r="A534" s="16"/>
      <c r="B534" s="16"/>
      <c r="I534" s="17"/>
      <c r="J534" s="17"/>
      <c r="K534" s="17"/>
      <c r="L534" s="17"/>
    </row>
    <row r="535" ht="15.75" customHeight="1">
      <c r="A535" s="16"/>
      <c r="B535" s="16"/>
      <c r="I535" s="17"/>
      <c r="J535" s="17"/>
      <c r="K535" s="17"/>
      <c r="L535" s="17"/>
    </row>
    <row r="536" ht="15.75" customHeight="1">
      <c r="A536" s="16"/>
      <c r="B536" s="16"/>
      <c r="I536" s="17"/>
      <c r="J536" s="17"/>
      <c r="K536" s="17"/>
      <c r="L536" s="17"/>
    </row>
    <row r="537" ht="15.75" customHeight="1">
      <c r="A537" s="16"/>
      <c r="B537" s="16"/>
      <c r="I537" s="17"/>
      <c r="J537" s="17"/>
      <c r="K537" s="17"/>
      <c r="L537" s="17"/>
    </row>
    <row r="538" ht="15.75" customHeight="1">
      <c r="A538" s="16"/>
      <c r="B538" s="16"/>
      <c r="I538" s="17"/>
      <c r="J538" s="17"/>
      <c r="K538" s="17"/>
      <c r="L538" s="17"/>
    </row>
    <row r="539" ht="15.75" customHeight="1">
      <c r="A539" s="16"/>
      <c r="B539" s="16"/>
      <c r="I539" s="17"/>
      <c r="J539" s="17"/>
      <c r="K539" s="17"/>
      <c r="L539" s="17"/>
    </row>
    <row r="540" ht="15.75" customHeight="1">
      <c r="A540" s="16"/>
      <c r="B540" s="16"/>
      <c r="I540" s="17"/>
      <c r="J540" s="17"/>
      <c r="K540" s="17"/>
      <c r="L540" s="17"/>
    </row>
    <row r="541" ht="15.75" customHeight="1">
      <c r="A541" s="16"/>
      <c r="B541" s="16"/>
      <c r="I541" s="17"/>
      <c r="J541" s="17"/>
      <c r="K541" s="17"/>
      <c r="L541" s="17"/>
    </row>
    <row r="542" ht="15.75" customHeight="1">
      <c r="A542" s="16"/>
      <c r="B542" s="16"/>
      <c r="I542" s="17"/>
      <c r="J542" s="17"/>
      <c r="K542" s="17"/>
      <c r="L542" s="17"/>
    </row>
    <row r="543" ht="15.75" customHeight="1">
      <c r="A543" s="16"/>
      <c r="B543" s="16"/>
      <c r="I543" s="17"/>
      <c r="J543" s="17"/>
      <c r="K543" s="17"/>
      <c r="L543" s="17"/>
    </row>
    <row r="544" ht="15.75" customHeight="1">
      <c r="A544" s="16"/>
      <c r="B544" s="16"/>
      <c r="I544" s="17"/>
      <c r="J544" s="17"/>
      <c r="K544" s="17"/>
      <c r="L544" s="17"/>
    </row>
    <row r="545" ht="15.75" customHeight="1">
      <c r="A545" s="16"/>
      <c r="B545" s="16"/>
      <c r="I545" s="17"/>
      <c r="J545" s="17"/>
      <c r="K545" s="17"/>
      <c r="L545" s="17"/>
    </row>
    <row r="546" ht="15.75" customHeight="1">
      <c r="A546" s="16"/>
      <c r="B546" s="16"/>
      <c r="I546" s="17"/>
      <c r="J546" s="17"/>
      <c r="K546" s="17"/>
      <c r="L546" s="17"/>
    </row>
    <row r="547" ht="15.75" customHeight="1">
      <c r="A547" s="16"/>
      <c r="B547" s="16"/>
      <c r="I547" s="17"/>
      <c r="J547" s="17"/>
      <c r="K547" s="17"/>
      <c r="L547" s="17"/>
    </row>
    <row r="548" ht="15.75" customHeight="1">
      <c r="A548" s="16"/>
      <c r="B548" s="16"/>
      <c r="I548" s="17"/>
      <c r="J548" s="17"/>
      <c r="K548" s="17"/>
      <c r="L548" s="17"/>
    </row>
    <row r="549" ht="15.75" customHeight="1">
      <c r="A549" s="16"/>
      <c r="B549" s="16"/>
      <c r="I549" s="17"/>
      <c r="J549" s="17"/>
      <c r="K549" s="17"/>
      <c r="L549" s="17"/>
    </row>
    <row r="550" ht="15.75" customHeight="1">
      <c r="A550" s="16"/>
      <c r="B550" s="16"/>
      <c r="I550" s="17"/>
      <c r="J550" s="17"/>
      <c r="K550" s="17"/>
      <c r="L550" s="17"/>
    </row>
    <row r="551" ht="15.75" customHeight="1">
      <c r="A551" s="16"/>
      <c r="B551" s="16"/>
      <c r="I551" s="17"/>
      <c r="J551" s="17"/>
      <c r="K551" s="17"/>
      <c r="L551" s="17"/>
    </row>
    <row r="552" ht="15.75" customHeight="1">
      <c r="A552" s="16"/>
      <c r="B552" s="16"/>
      <c r="I552" s="17"/>
      <c r="J552" s="17"/>
      <c r="K552" s="17"/>
      <c r="L552" s="17"/>
    </row>
    <row r="553" ht="15.75" customHeight="1">
      <c r="A553" s="16"/>
      <c r="B553" s="16"/>
      <c r="I553" s="17"/>
      <c r="J553" s="17"/>
      <c r="K553" s="17"/>
      <c r="L553" s="17"/>
    </row>
    <row r="554" ht="15.75" customHeight="1">
      <c r="A554" s="16"/>
      <c r="B554" s="16"/>
      <c r="I554" s="17"/>
      <c r="J554" s="17"/>
      <c r="K554" s="17"/>
      <c r="L554" s="17"/>
    </row>
    <row r="555" ht="15.75" customHeight="1">
      <c r="A555" s="16"/>
      <c r="B555" s="16"/>
      <c r="I555" s="17"/>
      <c r="J555" s="17"/>
      <c r="K555" s="17"/>
      <c r="L555" s="17"/>
    </row>
    <row r="556" ht="15.75" customHeight="1">
      <c r="A556" s="16"/>
      <c r="B556" s="16"/>
      <c r="I556" s="17"/>
      <c r="J556" s="17"/>
      <c r="K556" s="17"/>
      <c r="L556" s="17"/>
    </row>
    <row r="557" ht="15.75" customHeight="1">
      <c r="A557" s="16"/>
      <c r="B557" s="16"/>
      <c r="I557" s="17"/>
      <c r="J557" s="17"/>
      <c r="K557" s="17"/>
      <c r="L557" s="17"/>
    </row>
    <row r="558" ht="15.75" customHeight="1">
      <c r="A558" s="16"/>
      <c r="B558" s="16"/>
      <c r="I558" s="17"/>
      <c r="J558" s="17"/>
      <c r="K558" s="17"/>
      <c r="L558" s="17"/>
    </row>
    <row r="559" ht="15.75" customHeight="1">
      <c r="A559" s="16"/>
      <c r="B559" s="16"/>
      <c r="I559" s="17"/>
      <c r="J559" s="17"/>
      <c r="K559" s="17"/>
      <c r="L559" s="17"/>
    </row>
    <row r="560" ht="15.75" customHeight="1">
      <c r="A560" s="16"/>
      <c r="B560" s="16"/>
      <c r="I560" s="17"/>
      <c r="J560" s="17"/>
      <c r="K560" s="17"/>
      <c r="L560" s="17"/>
    </row>
    <row r="561" ht="15.75" customHeight="1">
      <c r="A561" s="16"/>
      <c r="B561" s="16"/>
      <c r="I561" s="17"/>
      <c r="J561" s="17"/>
      <c r="K561" s="17"/>
      <c r="L561" s="17"/>
    </row>
    <row r="562" ht="15.75" customHeight="1">
      <c r="A562" s="16"/>
      <c r="B562" s="16"/>
      <c r="I562" s="17"/>
      <c r="J562" s="17"/>
      <c r="K562" s="17"/>
      <c r="L562" s="17"/>
    </row>
    <row r="563" ht="15.75" customHeight="1">
      <c r="A563" s="16"/>
      <c r="B563" s="16"/>
      <c r="I563" s="17"/>
      <c r="J563" s="17"/>
      <c r="K563" s="17"/>
      <c r="L563" s="17"/>
    </row>
    <row r="564" ht="15.75" customHeight="1">
      <c r="A564" s="16"/>
      <c r="B564" s="16"/>
      <c r="I564" s="17"/>
      <c r="J564" s="17"/>
      <c r="K564" s="17"/>
      <c r="L564" s="17"/>
    </row>
    <row r="565" ht="15.75" customHeight="1">
      <c r="A565" s="16"/>
      <c r="B565" s="16"/>
      <c r="I565" s="17"/>
      <c r="J565" s="17"/>
      <c r="K565" s="17"/>
      <c r="L565" s="17"/>
    </row>
    <row r="566" ht="15.75" customHeight="1">
      <c r="A566" s="16"/>
      <c r="B566" s="16"/>
      <c r="I566" s="17"/>
      <c r="J566" s="17"/>
      <c r="K566" s="17"/>
      <c r="L566" s="17"/>
    </row>
    <row r="567" ht="15.75" customHeight="1">
      <c r="A567" s="16"/>
      <c r="B567" s="16"/>
      <c r="I567" s="17"/>
      <c r="J567" s="17"/>
      <c r="K567" s="17"/>
      <c r="L567" s="17"/>
    </row>
    <row r="568" ht="15.75" customHeight="1">
      <c r="A568" s="16"/>
      <c r="B568" s="16"/>
      <c r="I568" s="17"/>
      <c r="J568" s="17"/>
      <c r="K568" s="17"/>
      <c r="L568" s="17"/>
    </row>
    <row r="569" ht="15.75" customHeight="1">
      <c r="A569" s="16"/>
      <c r="B569" s="16"/>
      <c r="I569" s="17"/>
      <c r="J569" s="17"/>
      <c r="K569" s="17"/>
      <c r="L569" s="17"/>
    </row>
    <row r="570" ht="15.75" customHeight="1">
      <c r="A570" s="16"/>
      <c r="B570" s="16"/>
      <c r="I570" s="17"/>
      <c r="J570" s="17"/>
      <c r="K570" s="17"/>
      <c r="L570" s="17"/>
    </row>
    <row r="571" ht="15.75" customHeight="1">
      <c r="A571" s="16"/>
      <c r="B571" s="16"/>
      <c r="I571" s="17"/>
      <c r="J571" s="17"/>
      <c r="K571" s="17"/>
      <c r="L571" s="17"/>
    </row>
    <row r="572" ht="15.75" customHeight="1">
      <c r="A572" s="16"/>
      <c r="B572" s="16"/>
      <c r="I572" s="17"/>
      <c r="J572" s="17"/>
      <c r="K572" s="17"/>
      <c r="L572" s="17"/>
    </row>
    <row r="573" ht="15.75" customHeight="1">
      <c r="A573" s="16"/>
      <c r="B573" s="16"/>
      <c r="I573" s="17"/>
      <c r="J573" s="17"/>
      <c r="K573" s="17"/>
      <c r="L573" s="17"/>
    </row>
    <row r="574" ht="15.75" customHeight="1">
      <c r="A574" s="16"/>
      <c r="B574" s="16"/>
      <c r="I574" s="17"/>
      <c r="J574" s="17"/>
      <c r="K574" s="17"/>
      <c r="L574" s="17"/>
    </row>
    <row r="575" ht="15.75" customHeight="1">
      <c r="A575" s="16"/>
      <c r="B575" s="16"/>
      <c r="I575" s="17"/>
      <c r="J575" s="17"/>
      <c r="K575" s="17"/>
      <c r="L575" s="17"/>
    </row>
    <row r="576" ht="15.75" customHeight="1">
      <c r="A576" s="16"/>
      <c r="B576" s="16"/>
      <c r="I576" s="17"/>
      <c r="J576" s="17"/>
      <c r="K576" s="17"/>
      <c r="L576" s="17"/>
    </row>
    <row r="577" ht="15.75" customHeight="1">
      <c r="A577" s="16"/>
      <c r="B577" s="16"/>
      <c r="I577" s="17"/>
      <c r="J577" s="17"/>
      <c r="K577" s="17"/>
      <c r="L577" s="17"/>
    </row>
    <row r="578" ht="15.75" customHeight="1">
      <c r="A578" s="16"/>
      <c r="B578" s="16"/>
      <c r="I578" s="17"/>
      <c r="J578" s="17"/>
      <c r="K578" s="17"/>
      <c r="L578" s="17"/>
    </row>
    <row r="579" ht="15.75" customHeight="1">
      <c r="A579" s="16"/>
      <c r="B579" s="16"/>
      <c r="I579" s="17"/>
      <c r="J579" s="17"/>
      <c r="K579" s="17"/>
      <c r="L579" s="17"/>
    </row>
    <row r="580" ht="15.75" customHeight="1">
      <c r="A580" s="16"/>
      <c r="B580" s="16"/>
      <c r="I580" s="17"/>
      <c r="J580" s="17"/>
      <c r="K580" s="17"/>
      <c r="L580" s="17"/>
    </row>
    <row r="581" ht="15.75" customHeight="1">
      <c r="A581" s="16"/>
      <c r="B581" s="16"/>
      <c r="I581" s="17"/>
      <c r="J581" s="17"/>
      <c r="K581" s="17"/>
      <c r="L581" s="17"/>
    </row>
    <row r="582" ht="15.75" customHeight="1">
      <c r="A582" s="16"/>
      <c r="B582" s="16"/>
      <c r="I582" s="17"/>
      <c r="J582" s="17"/>
      <c r="K582" s="17"/>
      <c r="L582" s="17"/>
    </row>
    <row r="583" ht="15.75" customHeight="1">
      <c r="A583" s="16"/>
      <c r="B583" s="16"/>
      <c r="I583" s="17"/>
      <c r="J583" s="17"/>
      <c r="K583" s="17"/>
      <c r="L583" s="17"/>
    </row>
    <row r="584" ht="15.75" customHeight="1">
      <c r="A584" s="16"/>
      <c r="B584" s="16"/>
      <c r="I584" s="17"/>
      <c r="J584" s="17"/>
      <c r="K584" s="17"/>
      <c r="L584" s="17"/>
    </row>
    <row r="585" ht="15.75" customHeight="1">
      <c r="A585" s="16"/>
      <c r="B585" s="16"/>
      <c r="I585" s="17"/>
      <c r="J585" s="17"/>
      <c r="K585" s="17"/>
      <c r="L585" s="17"/>
    </row>
    <row r="586" ht="15.75" customHeight="1">
      <c r="A586" s="16"/>
      <c r="B586" s="16"/>
      <c r="I586" s="17"/>
      <c r="J586" s="17"/>
      <c r="K586" s="17"/>
      <c r="L586" s="17"/>
    </row>
    <row r="587" ht="15.75" customHeight="1">
      <c r="A587" s="16"/>
      <c r="B587" s="16"/>
      <c r="I587" s="17"/>
      <c r="J587" s="17"/>
      <c r="K587" s="17"/>
      <c r="L587" s="17"/>
    </row>
    <row r="588" ht="15.75" customHeight="1">
      <c r="A588" s="16"/>
      <c r="B588" s="16"/>
      <c r="I588" s="17"/>
      <c r="J588" s="17"/>
      <c r="K588" s="17"/>
      <c r="L588" s="17"/>
    </row>
    <row r="589" ht="15.75" customHeight="1">
      <c r="A589" s="16"/>
      <c r="B589" s="16"/>
      <c r="I589" s="17"/>
      <c r="J589" s="17"/>
      <c r="K589" s="17"/>
      <c r="L589" s="17"/>
    </row>
    <row r="590" ht="15.75" customHeight="1">
      <c r="A590" s="16"/>
      <c r="B590" s="16"/>
      <c r="I590" s="17"/>
      <c r="J590" s="17"/>
      <c r="K590" s="17"/>
      <c r="L590" s="17"/>
    </row>
    <row r="591" ht="15.75" customHeight="1">
      <c r="A591" s="16"/>
      <c r="B591" s="16"/>
      <c r="I591" s="17"/>
      <c r="J591" s="17"/>
      <c r="K591" s="17"/>
      <c r="L591" s="17"/>
    </row>
    <row r="592" ht="15.75" customHeight="1">
      <c r="A592" s="16"/>
      <c r="B592" s="16"/>
      <c r="I592" s="17"/>
      <c r="J592" s="17"/>
      <c r="K592" s="17"/>
      <c r="L592" s="17"/>
    </row>
    <row r="593" ht="15.75" customHeight="1">
      <c r="A593" s="16"/>
      <c r="B593" s="16"/>
      <c r="I593" s="17"/>
      <c r="J593" s="17"/>
      <c r="K593" s="17"/>
      <c r="L593" s="17"/>
    </row>
    <row r="594" ht="15.75" customHeight="1">
      <c r="A594" s="16"/>
      <c r="B594" s="16"/>
      <c r="I594" s="17"/>
      <c r="J594" s="17"/>
      <c r="K594" s="17"/>
      <c r="L594" s="17"/>
    </row>
    <row r="595" ht="15.75" customHeight="1">
      <c r="A595" s="16"/>
      <c r="B595" s="16"/>
      <c r="I595" s="17"/>
      <c r="J595" s="17"/>
      <c r="K595" s="17"/>
      <c r="L595" s="17"/>
    </row>
    <row r="596" ht="15.75" customHeight="1">
      <c r="A596" s="16"/>
      <c r="B596" s="16"/>
      <c r="I596" s="17"/>
      <c r="J596" s="17"/>
      <c r="K596" s="17"/>
      <c r="L596" s="17"/>
    </row>
    <row r="597" ht="15.75" customHeight="1">
      <c r="A597" s="16"/>
      <c r="B597" s="16"/>
      <c r="I597" s="17"/>
      <c r="J597" s="17"/>
      <c r="K597" s="17"/>
      <c r="L597" s="17"/>
    </row>
    <row r="598" ht="15.75" customHeight="1">
      <c r="A598" s="16"/>
      <c r="B598" s="16"/>
      <c r="I598" s="17"/>
      <c r="J598" s="17"/>
      <c r="K598" s="17"/>
      <c r="L598" s="17"/>
    </row>
    <row r="599" ht="15.75" customHeight="1">
      <c r="A599" s="16"/>
      <c r="B599" s="16"/>
      <c r="I599" s="17"/>
      <c r="J599" s="17"/>
      <c r="K599" s="17"/>
      <c r="L599" s="17"/>
    </row>
    <row r="600" ht="15.75" customHeight="1">
      <c r="A600" s="16"/>
      <c r="B600" s="16"/>
      <c r="I600" s="17"/>
      <c r="J600" s="17"/>
      <c r="K600" s="17"/>
      <c r="L600" s="17"/>
    </row>
    <row r="601" ht="15.75" customHeight="1">
      <c r="A601" s="16"/>
      <c r="B601" s="16"/>
      <c r="I601" s="17"/>
      <c r="J601" s="17"/>
      <c r="K601" s="17"/>
      <c r="L601" s="17"/>
    </row>
    <row r="602" ht="15.75" customHeight="1">
      <c r="A602" s="16"/>
      <c r="B602" s="16"/>
      <c r="I602" s="17"/>
      <c r="J602" s="17"/>
      <c r="K602" s="17"/>
      <c r="L602" s="17"/>
    </row>
    <row r="603" ht="15.75" customHeight="1">
      <c r="A603" s="16"/>
      <c r="B603" s="16"/>
      <c r="I603" s="17"/>
      <c r="J603" s="17"/>
      <c r="K603" s="17"/>
      <c r="L603" s="17"/>
    </row>
    <row r="604" ht="15.75" customHeight="1">
      <c r="A604" s="16"/>
      <c r="B604" s="16"/>
      <c r="I604" s="17"/>
      <c r="J604" s="17"/>
      <c r="K604" s="17"/>
      <c r="L604" s="17"/>
    </row>
    <row r="605" ht="15.75" customHeight="1">
      <c r="A605" s="16"/>
      <c r="B605" s="16"/>
      <c r="I605" s="17"/>
      <c r="J605" s="17"/>
      <c r="K605" s="17"/>
      <c r="L605" s="17"/>
    </row>
    <row r="606" ht="15.75" customHeight="1">
      <c r="A606" s="16"/>
      <c r="B606" s="16"/>
      <c r="I606" s="17"/>
      <c r="J606" s="17"/>
      <c r="K606" s="17"/>
      <c r="L606" s="17"/>
    </row>
    <row r="607" ht="15.75" customHeight="1">
      <c r="A607" s="16"/>
      <c r="B607" s="16"/>
      <c r="I607" s="17"/>
      <c r="J607" s="17"/>
      <c r="K607" s="17"/>
      <c r="L607" s="17"/>
    </row>
    <row r="608" ht="15.75" customHeight="1">
      <c r="A608" s="16"/>
      <c r="B608" s="16"/>
      <c r="I608" s="17"/>
      <c r="J608" s="17"/>
      <c r="K608" s="17"/>
      <c r="L608" s="17"/>
    </row>
    <row r="609" ht="15.75" customHeight="1">
      <c r="A609" s="16"/>
      <c r="B609" s="16"/>
      <c r="I609" s="17"/>
      <c r="J609" s="17"/>
      <c r="K609" s="17"/>
      <c r="L609" s="17"/>
    </row>
    <row r="610" ht="15.75" customHeight="1">
      <c r="A610" s="16"/>
      <c r="B610" s="16"/>
      <c r="I610" s="17"/>
      <c r="J610" s="17"/>
      <c r="K610" s="17"/>
      <c r="L610" s="17"/>
    </row>
    <row r="611" ht="15.75" customHeight="1">
      <c r="A611" s="16"/>
      <c r="B611" s="16"/>
      <c r="I611" s="17"/>
      <c r="J611" s="17"/>
      <c r="K611" s="17"/>
      <c r="L611" s="17"/>
    </row>
    <row r="612" ht="15.75" customHeight="1">
      <c r="A612" s="16"/>
      <c r="B612" s="16"/>
      <c r="I612" s="17"/>
      <c r="J612" s="17"/>
      <c r="K612" s="17"/>
      <c r="L612" s="17"/>
    </row>
    <row r="613" ht="15.75" customHeight="1">
      <c r="A613" s="16"/>
      <c r="B613" s="16"/>
      <c r="I613" s="17"/>
      <c r="J613" s="17"/>
      <c r="K613" s="17"/>
      <c r="L613" s="17"/>
    </row>
    <row r="614" ht="15.75" customHeight="1">
      <c r="A614" s="16"/>
      <c r="B614" s="16"/>
      <c r="I614" s="17"/>
      <c r="J614" s="17"/>
      <c r="K614" s="17"/>
      <c r="L614" s="17"/>
    </row>
    <row r="615" ht="15.75" customHeight="1">
      <c r="A615" s="16"/>
      <c r="B615" s="16"/>
      <c r="I615" s="17"/>
      <c r="J615" s="17"/>
      <c r="K615" s="17"/>
      <c r="L615" s="17"/>
    </row>
    <row r="616" ht="15.75" customHeight="1">
      <c r="A616" s="16"/>
      <c r="B616" s="16"/>
      <c r="I616" s="17"/>
      <c r="J616" s="17"/>
      <c r="K616" s="17"/>
      <c r="L616" s="17"/>
    </row>
    <row r="617" ht="15.75" customHeight="1">
      <c r="A617" s="16"/>
      <c r="B617" s="16"/>
      <c r="I617" s="17"/>
      <c r="J617" s="17"/>
      <c r="K617" s="17"/>
      <c r="L617" s="17"/>
    </row>
    <row r="618" ht="15.75" customHeight="1">
      <c r="A618" s="16"/>
      <c r="B618" s="16"/>
      <c r="I618" s="17"/>
      <c r="J618" s="17"/>
      <c r="K618" s="17"/>
      <c r="L618" s="17"/>
    </row>
    <row r="619" ht="15.75" customHeight="1">
      <c r="A619" s="16"/>
      <c r="B619" s="16"/>
      <c r="I619" s="17"/>
      <c r="J619" s="17"/>
      <c r="K619" s="17"/>
      <c r="L619" s="17"/>
    </row>
    <row r="620" ht="15.75" customHeight="1">
      <c r="A620" s="16"/>
      <c r="B620" s="16"/>
      <c r="I620" s="17"/>
      <c r="J620" s="17"/>
      <c r="K620" s="17"/>
      <c r="L620" s="17"/>
    </row>
    <row r="621" ht="15.75" customHeight="1">
      <c r="A621" s="16"/>
      <c r="B621" s="16"/>
      <c r="I621" s="17"/>
      <c r="J621" s="17"/>
      <c r="K621" s="17"/>
      <c r="L621" s="17"/>
    </row>
    <row r="622" ht="15.75" customHeight="1">
      <c r="A622" s="16"/>
      <c r="B622" s="16"/>
      <c r="I622" s="17"/>
      <c r="J622" s="17"/>
      <c r="K622" s="17"/>
      <c r="L622" s="17"/>
    </row>
    <row r="623" ht="15.75" customHeight="1">
      <c r="A623" s="16"/>
      <c r="B623" s="16"/>
      <c r="I623" s="17"/>
      <c r="J623" s="17"/>
      <c r="K623" s="17"/>
      <c r="L623" s="17"/>
    </row>
    <row r="624" ht="15.75" customHeight="1">
      <c r="A624" s="16"/>
      <c r="B624" s="16"/>
      <c r="I624" s="17"/>
      <c r="J624" s="17"/>
      <c r="K624" s="17"/>
      <c r="L624" s="17"/>
    </row>
    <row r="625" ht="15.75" customHeight="1">
      <c r="A625" s="16"/>
      <c r="B625" s="16"/>
      <c r="I625" s="17"/>
      <c r="J625" s="17"/>
      <c r="K625" s="17"/>
      <c r="L625" s="17"/>
    </row>
    <row r="626" ht="15.75" customHeight="1">
      <c r="A626" s="16"/>
      <c r="B626" s="16"/>
      <c r="I626" s="17"/>
      <c r="J626" s="17"/>
      <c r="K626" s="17"/>
      <c r="L626" s="17"/>
    </row>
    <row r="627" ht="15.75" customHeight="1">
      <c r="A627" s="16"/>
      <c r="B627" s="16"/>
      <c r="I627" s="17"/>
      <c r="J627" s="17"/>
      <c r="K627" s="17"/>
      <c r="L627" s="17"/>
    </row>
    <row r="628" ht="15.75" customHeight="1">
      <c r="A628" s="16"/>
      <c r="B628" s="16"/>
      <c r="I628" s="17"/>
      <c r="J628" s="17"/>
      <c r="K628" s="17"/>
      <c r="L628" s="17"/>
    </row>
    <row r="629" ht="15.75" customHeight="1">
      <c r="A629" s="16"/>
      <c r="B629" s="16"/>
      <c r="I629" s="17"/>
      <c r="J629" s="17"/>
      <c r="K629" s="17"/>
      <c r="L629" s="17"/>
    </row>
    <row r="630" ht="15.75" customHeight="1">
      <c r="A630" s="16"/>
      <c r="B630" s="16"/>
      <c r="I630" s="17"/>
      <c r="J630" s="17"/>
      <c r="K630" s="17"/>
      <c r="L630" s="17"/>
    </row>
    <row r="631" ht="15.75" customHeight="1">
      <c r="A631" s="16"/>
      <c r="B631" s="16"/>
      <c r="I631" s="17"/>
      <c r="J631" s="17"/>
      <c r="K631" s="17"/>
      <c r="L631" s="17"/>
    </row>
    <row r="632" ht="15.75" customHeight="1">
      <c r="A632" s="16"/>
      <c r="B632" s="16"/>
      <c r="I632" s="17"/>
      <c r="J632" s="17"/>
      <c r="K632" s="17"/>
      <c r="L632" s="17"/>
    </row>
    <row r="633" ht="15.75" customHeight="1">
      <c r="A633" s="16"/>
      <c r="B633" s="16"/>
      <c r="I633" s="17"/>
      <c r="J633" s="17"/>
      <c r="K633" s="17"/>
      <c r="L633" s="17"/>
    </row>
    <row r="634" ht="15.75" customHeight="1">
      <c r="A634" s="16"/>
      <c r="B634" s="16"/>
      <c r="I634" s="17"/>
      <c r="J634" s="17"/>
      <c r="K634" s="17"/>
      <c r="L634" s="17"/>
    </row>
    <row r="635" ht="15.75" customHeight="1">
      <c r="A635" s="16"/>
      <c r="B635" s="16"/>
      <c r="I635" s="17"/>
      <c r="J635" s="17"/>
      <c r="K635" s="17"/>
      <c r="L635" s="17"/>
    </row>
    <row r="636" ht="15.75" customHeight="1">
      <c r="A636" s="16"/>
      <c r="B636" s="16"/>
      <c r="I636" s="17"/>
      <c r="J636" s="17"/>
      <c r="K636" s="17"/>
      <c r="L636" s="17"/>
    </row>
    <row r="637" ht="15.75" customHeight="1">
      <c r="A637" s="16"/>
      <c r="B637" s="16"/>
      <c r="I637" s="17"/>
      <c r="J637" s="17"/>
      <c r="K637" s="17"/>
      <c r="L637" s="17"/>
    </row>
    <row r="638" ht="15.75" customHeight="1">
      <c r="A638" s="16"/>
      <c r="B638" s="16"/>
      <c r="I638" s="17"/>
      <c r="J638" s="17"/>
      <c r="K638" s="17"/>
      <c r="L638" s="17"/>
    </row>
    <row r="639" ht="15.75" customHeight="1">
      <c r="A639" s="16"/>
      <c r="B639" s="16"/>
      <c r="I639" s="17"/>
      <c r="J639" s="17"/>
      <c r="K639" s="17"/>
      <c r="L639" s="17"/>
    </row>
    <row r="640" ht="15.75" customHeight="1">
      <c r="A640" s="16"/>
      <c r="B640" s="16"/>
      <c r="I640" s="17"/>
      <c r="J640" s="17"/>
      <c r="K640" s="17"/>
      <c r="L640" s="17"/>
    </row>
    <row r="641" ht="15.75" customHeight="1">
      <c r="A641" s="16"/>
      <c r="B641" s="16"/>
      <c r="I641" s="17"/>
      <c r="J641" s="17"/>
      <c r="K641" s="17"/>
      <c r="L641" s="17"/>
    </row>
    <row r="642" ht="15.75" customHeight="1">
      <c r="A642" s="16"/>
      <c r="B642" s="16"/>
      <c r="I642" s="17"/>
      <c r="J642" s="17"/>
      <c r="K642" s="17"/>
      <c r="L642" s="17"/>
    </row>
    <row r="643" ht="15.75" customHeight="1">
      <c r="A643" s="16"/>
      <c r="B643" s="16"/>
      <c r="I643" s="17"/>
      <c r="J643" s="17"/>
      <c r="K643" s="17"/>
      <c r="L643" s="17"/>
    </row>
    <row r="644" ht="15.75" customHeight="1">
      <c r="A644" s="16"/>
      <c r="B644" s="16"/>
      <c r="I644" s="17"/>
      <c r="J644" s="17"/>
      <c r="K644" s="17"/>
      <c r="L644" s="17"/>
    </row>
    <row r="645" ht="15.75" customHeight="1">
      <c r="A645" s="16"/>
      <c r="B645" s="16"/>
      <c r="I645" s="17"/>
      <c r="J645" s="17"/>
      <c r="K645" s="17"/>
      <c r="L645" s="17"/>
    </row>
    <row r="646" ht="15.75" customHeight="1">
      <c r="A646" s="16"/>
      <c r="B646" s="16"/>
      <c r="I646" s="17"/>
      <c r="J646" s="17"/>
      <c r="K646" s="17"/>
      <c r="L646" s="17"/>
    </row>
    <row r="647" ht="15.75" customHeight="1">
      <c r="A647" s="16"/>
      <c r="B647" s="16"/>
      <c r="I647" s="17"/>
      <c r="J647" s="17"/>
      <c r="K647" s="17"/>
      <c r="L647" s="17"/>
    </row>
    <row r="648" ht="15.75" customHeight="1">
      <c r="A648" s="16"/>
      <c r="B648" s="16"/>
      <c r="I648" s="17"/>
      <c r="J648" s="17"/>
      <c r="K648" s="17"/>
      <c r="L648" s="17"/>
    </row>
    <row r="649" ht="15.75" customHeight="1">
      <c r="A649" s="16"/>
      <c r="B649" s="16"/>
      <c r="I649" s="17"/>
      <c r="J649" s="17"/>
      <c r="K649" s="17"/>
      <c r="L649" s="17"/>
    </row>
    <row r="650" ht="15.75" customHeight="1">
      <c r="A650" s="16"/>
      <c r="B650" s="16"/>
      <c r="I650" s="17"/>
      <c r="J650" s="17"/>
      <c r="K650" s="17"/>
      <c r="L650" s="17"/>
    </row>
    <row r="651" ht="15.75" customHeight="1">
      <c r="A651" s="16"/>
      <c r="B651" s="16"/>
      <c r="I651" s="17"/>
      <c r="J651" s="17"/>
      <c r="K651" s="17"/>
      <c r="L651" s="17"/>
    </row>
    <row r="652" ht="15.75" customHeight="1">
      <c r="A652" s="16"/>
      <c r="B652" s="16"/>
      <c r="I652" s="17"/>
      <c r="J652" s="17"/>
      <c r="K652" s="17"/>
      <c r="L652" s="17"/>
    </row>
    <row r="653" ht="15.75" customHeight="1">
      <c r="A653" s="16"/>
      <c r="B653" s="16"/>
      <c r="I653" s="17"/>
      <c r="J653" s="17"/>
      <c r="K653" s="17"/>
      <c r="L653" s="17"/>
    </row>
    <row r="654" ht="15.75" customHeight="1">
      <c r="A654" s="16"/>
      <c r="B654" s="16"/>
      <c r="I654" s="17"/>
      <c r="J654" s="17"/>
      <c r="K654" s="17"/>
      <c r="L654" s="17"/>
    </row>
    <row r="655" ht="15.75" customHeight="1">
      <c r="A655" s="16"/>
      <c r="B655" s="16"/>
      <c r="I655" s="17"/>
      <c r="J655" s="17"/>
      <c r="K655" s="17"/>
      <c r="L655" s="17"/>
    </row>
    <row r="656" ht="15.75" customHeight="1">
      <c r="A656" s="16"/>
      <c r="B656" s="16"/>
      <c r="I656" s="17"/>
      <c r="J656" s="17"/>
      <c r="K656" s="17"/>
      <c r="L656" s="17"/>
    </row>
    <row r="657" ht="15.75" customHeight="1">
      <c r="A657" s="16"/>
      <c r="B657" s="16"/>
      <c r="I657" s="17"/>
      <c r="J657" s="17"/>
      <c r="K657" s="17"/>
      <c r="L657" s="17"/>
    </row>
    <row r="658" ht="15.75" customHeight="1">
      <c r="A658" s="16"/>
      <c r="B658" s="16"/>
      <c r="I658" s="17"/>
      <c r="J658" s="17"/>
      <c r="K658" s="17"/>
      <c r="L658" s="17"/>
    </row>
    <row r="659" ht="15.75" customHeight="1">
      <c r="A659" s="16"/>
      <c r="B659" s="16"/>
      <c r="I659" s="17"/>
      <c r="J659" s="17"/>
      <c r="K659" s="17"/>
      <c r="L659" s="17"/>
    </row>
    <row r="660" ht="15.75" customHeight="1">
      <c r="A660" s="16"/>
      <c r="B660" s="16"/>
      <c r="I660" s="17"/>
      <c r="J660" s="17"/>
      <c r="K660" s="17"/>
      <c r="L660" s="17"/>
    </row>
    <row r="661" ht="15.75" customHeight="1">
      <c r="A661" s="16"/>
      <c r="B661" s="16"/>
      <c r="I661" s="17"/>
      <c r="J661" s="17"/>
      <c r="K661" s="17"/>
      <c r="L661" s="17"/>
    </row>
    <row r="662" ht="15.75" customHeight="1">
      <c r="A662" s="16"/>
      <c r="B662" s="16"/>
      <c r="I662" s="17"/>
      <c r="J662" s="17"/>
      <c r="K662" s="17"/>
      <c r="L662" s="17"/>
    </row>
    <row r="663" ht="15.75" customHeight="1">
      <c r="A663" s="16"/>
      <c r="B663" s="16"/>
      <c r="I663" s="17"/>
      <c r="J663" s="17"/>
      <c r="K663" s="17"/>
      <c r="L663" s="17"/>
    </row>
    <row r="664" ht="15.75" customHeight="1">
      <c r="A664" s="16"/>
      <c r="B664" s="16"/>
      <c r="I664" s="17"/>
      <c r="J664" s="17"/>
      <c r="K664" s="17"/>
      <c r="L664" s="17"/>
    </row>
    <row r="665" ht="15.75" customHeight="1">
      <c r="A665" s="16"/>
      <c r="B665" s="16"/>
      <c r="I665" s="17"/>
      <c r="J665" s="17"/>
      <c r="K665" s="17"/>
      <c r="L665" s="17"/>
    </row>
    <row r="666" ht="15.75" customHeight="1">
      <c r="A666" s="16"/>
      <c r="B666" s="16"/>
      <c r="I666" s="17"/>
      <c r="J666" s="17"/>
      <c r="K666" s="17"/>
      <c r="L666" s="17"/>
    </row>
    <row r="667" ht="15.75" customHeight="1">
      <c r="A667" s="16"/>
      <c r="B667" s="16"/>
      <c r="I667" s="17"/>
      <c r="J667" s="17"/>
      <c r="K667" s="17"/>
      <c r="L667" s="17"/>
    </row>
    <row r="668" ht="15.75" customHeight="1">
      <c r="A668" s="16"/>
      <c r="B668" s="16"/>
      <c r="I668" s="17"/>
      <c r="J668" s="17"/>
      <c r="K668" s="17"/>
      <c r="L668" s="17"/>
    </row>
    <row r="669" ht="15.75" customHeight="1">
      <c r="A669" s="16"/>
      <c r="B669" s="16"/>
      <c r="I669" s="17"/>
      <c r="J669" s="17"/>
      <c r="K669" s="17"/>
      <c r="L669" s="17"/>
    </row>
    <row r="670" ht="15.75" customHeight="1">
      <c r="A670" s="16"/>
      <c r="B670" s="16"/>
      <c r="I670" s="17"/>
      <c r="J670" s="17"/>
      <c r="K670" s="17"/>
      <c r="L670" s="17"/>
    </row>
    <row r="671" ht="15.75" customHeight="1">
      <c r="A671" s="16"/>
      <c r="B671" s="16"/>
      <c r="I671" s="17"/>
      <c r="J671" s="17"/>
      <c r="K671" s="17"/>
      <c r="L671" s="17"/>
    </row>
    <row r="672" ht="15.75" customHeight="1">
      <c r="A672" s="16"/>
      <c r="B672" s="16"/>
      <c r="I672" s="17"/>
      <c r="J672" s="17"/>
      <c r="K672" s="17"/>
      <c r="L672" s="17"/>
    </row>
    <row r="673" ht="15.75" customHeight="1">
      <c r="A673" s="16"/>
      <c r="B673" s="16"/>
      <c r="I673" s="17"/>
      <c r="J673" s="17"/>
      <c r="K673" s="17"/>
      <c r="L673" s="17"/>
    </row>
    <row r="674" ht="15.75" customHeight="1">
      <c r="A674" s="16"/>
      <c r="B674" s="16"/>
      <c r="I674" s="17"/>
      <c r="J674" s="17"/>
      <c r="K674" s="17"/>
      <c r="L674" s="17"/>
    </row>
    <row r="675" ht="15.75" customHeight="1">
      <c r="A675" s="16"/>
      <c r="B675" s="16"/>
      <c r="I675" s="17"/>
      <c r="J675" s="17"/>
      <c r="K675" s="17"/>
      <c r="L675" s="17"/>
    </row>
    <row r="676" ht="15.75" customHeight="1">
      <c r="A676" s="16"/>
      <c r="B676" s="16"/>
      <c r="I676" s="17"/>
      <c r="J676" s="17"/>
      <c r="K676" s="17"/>
      <c r="L676" s="17"/>
    </row>
    <row r="677" ht="15.75" customHeight="1">
      <c r="A677" s="16"/>
      <c r="B677" s="16"/>
      <c r="I677" s="17"/>
      <c r="J677" s="17"/>
      <c r="K677" s="17"/>
      <c r="L677" s="17"/>
    </row>
    <row r="678" ht="15.75" customHeight="1">
      <c r="A678" s="16"/>
      <c r="B678" s="16"/>
      <c r="I678" s="17"/>
      <c r="J678" s="17"/>
      <c r="K678" s="17"/>
      <c r="L678" s="17"/>
    </row>
    <row r="679" ht="15.75" customHeight="1">
      <c r="A679" s="16"/>
      <c r="B679" s="16"/>
      <c r="I679" s="17"/>
      <c r="J679" s="17"/>
      <c r="K679" s="17"/>
      <c r="L679" s="17"/>
    </row>
    <row r="680" ht="15.75" customHeight="1">
      <c r="A680" s="16"/>
      <c r="B680" s="16"/>
      <c r="I680" s="17"/>
      <c r="J680" s="17"/>
      <c r="K680" s="17"/>
      <c r="L680" s="17"/>
    </row>
    <row r="681" ht="15.75" customHeight="1">
      <c r="A681" s="16"/>
      <c r="B681" s="16"/>
      <c r="I681" s="17"/>
      <c r="J681" s="17"/>
      <c r="K681" s="17"/>
      <c r="L681" s="17"/>
    </row>
    <row r="682" ht="15.75" customHeight="1">
      <c r="A682" s="16"/>
      <c r="B682" s="16"/>
      <c r="I682" s="17"/>
      <c r="J682" s="17"/>
      <c r="K682" s="17"/>
      <c r="L682" s="17"/>
    </row>
    <row r="683" ht="15.75" customHeight="1">
      <c r="A683" s="16"/>
      <c r="B683" s="16"/>
      <c r="I683" s="17"/>
      <c r="J683" s="17"/>
      <c r="K683" s="17"/>
      <c r="L683" s="17"/>
    </row>
    <row r="684" ht="15.75" customHeight="1">
      <c r="A684" s="16"/>
      <c r="B684" s="16"/>
      <c r="I684" s="17"/>
      <c r="J684" s="17"/>
      <c r="K684" s="17"/>
      <c r="L684" s="17"/>
    </row>
    <row r="685" ht="15.75" customHeight="1">
      <c r="A685" s="16"/>
      <c r="B685" s="16"/>
      <c r="I685" s="17"/>
      <c r="J685" s="17"/>
      <c r="K685" s="17"/>
      <c r="L685" s="17"/>
    </row>
    <row r="686" ht="15.75" customHeight="1">
      <c r="A686" s="16"/>
      <c r="B686" s="16"/>
      <c r="I686" s="17"/>
      <c r="J686" s="17"/>
      <c r="K686" s="17"/>
      <c r="L686" s="17"/>
    </row>
    <row r="687" ht="15.75" customHeight="1">
      <c r="A687" s="16"/>
      <c r="B687" s="16"/>
      <c r="I687" s="17"/>
      <c r="J687" s="17"/>
      <c r="K687" s="17"/>
      <c r="L687" s="17"/>
    </row>
    <row r="688" ht="15.75" customHeight="1">
      <c r="A688" s="16"/>
      <c r="B688" s="16"/>
      <c r="I688" s="17"/>
      <c r="J688" s="17"/>
      <c r="K688" s="17"/>
      <c r="L688" s="17"/>
    </row>
    <row r="689" ht="15.75" customHeight="1">
      <c r="A689" s="16"/>
      <c r="B689" s="16"/>
      <c r="I689" s="17"/>
      <c r="J689" s="17"/>
      <c r="K689" s="17"/>
      <c r="L689" s="17"/>
    </row>
    <row r="690" ht="15.75" customHeight="1">
      <c r="A690" s="16"/>
      <c r="B690" s="16"/>
      <c r="I690" s="17"/>
      <c r="J690" s="17"/>
      <c r="K690" s="17"/>
      <c r="L690" s="17"/>
    </row>
    <row r="691" ht="15.75" customHeight="1">
      <c r="A691" s="16"/>
      <c r="B691" s="16"/>
      <c r="I691" s="17"/>
      <c r="J691" s="17"/>
      <c r="K691" s="17"/>
      <c r="L691" s="17"/>
    </row>
    <row r="692" ht="15.75" customHeight="1">
      <c r="A692" s="16"/>
      <c r="B692" s="16"/>
      <c r="I692" s="17"/>
      <c r="J692" s="17"/>
      <c r="K692" s="17"/>
      <c r="L692" s="17"/>
    </row>
    <row r="693" ht="15.75" customHeight="1">
      <c r="A693" s="16"/>
      <c r="B693" s="16"/>
      <c r="I693" s="17"/>
      <c r="J693" s="17"/>
      <c r="K693" s="17"/>
      <c r="L693" s="17"/>
    </row>
    <row r="694" ht="15.75" customHeight="1">
      <c r="A694" s="16"/>
      <c r="B694" s="16"/>
      <c r="I694" s="17"/>
      <c r="J694" s="17"/>
      <c r="K694" s="17"/>
      <c r="L694" s="17"/>
    </row>
    <row r="695" ht="15.75" customHeight="1">
      <c r="A695" s="16"/>
      <c r="B695" s="16"/>
      <c r="I695" s="17"/>
      <c r="J695" s="17"/>
      <c r="K695" s="17"/>
      <c r="L695" s="17"/>
    </row>
    <row r="696" ht="15.75" customHeight="1">
      <c r="A696" s="16"/>
      <c r="B696" s="16"/>
      <c r="I696" s="17"/>
      <c r="J696" s="17"/>
      <c r="K696" s="17"/>
      <c r="L696" s="17"/>
    </row>
    <row r="697" ht="15.75" customHeight="1">
      <c r="A697" s="16"/>
      <c r="B697" s="16"/>
      <c r="I697" s="17"/>
      <c r="J697" s="17"/>
      <c r="K697" s="17"/>
      <c r="L697" s="17"/>
    </row>
    <row r="698" ht="15.75" customHeight="1">
      <c r="A698" s="16"/>
      <c r="B698" s="16"/>
      <c r="I698" s="17"/>
      <c r="J698" s="17"/>
      <c r="K698" s="17"/>
      <c r="L698" s="17"/>
    </row>
    <row r="699" ht="15.75" customHeight="1">
      <c r="A699" s="16"/>
      <c r="B699" s="16"/>
      <c r="I699" s="17"/>
      <c r="J699" s="17"/>
      <c r="K699" s="17"/>
      <c r="L699" s="17"/>
    </row>
    <row r="700" ht="15.75" customHeight="1">
      <c r="A700" s="16"/>
      <c r="B700" s="16"/>
      <c r="I700" s="17"/>
      <c r="J700" s="17"/>
      <c r="K700" s="17"/>
      <c r="L700" s="17"/>
    </row>
    <row r="701" ht="15.75" customHeight="1">
      <c r="A701" s="16"/>
      <c r="B701" s="16"/>
      <c r="I701" s="17"/>
      <c r="J701" s="17"/>
      <c r="K701" s="17"/>
      <c r="L701" s="17"/>
    </row>
    <row r="702" ht="15.75" customHeight="1">
      <c r="A702" s="16"/>
      <c r="B702" s="16"/>
      <c r="I702" s="17"/>
      <c r="J702" s="17"/>
      <c r="K702" s="17"/>
      <c r="L702" s="17"/>
    </row>
    <row r="703" ht="15.75" customHeight="1">
      <c r="A703" s="16"/>
      <c r="B703" s="16"/>
      <c r="I703" s="17"/>
      <c r="J703" s="17"/>
      <c r="K703" s="17"/>
      <c r="L703" s="17"/>
    </row>
    <row r="704" ht="15.75" customHeight="1">
      <c r="A704" s="16"/>
      <c r="B704" s="16"/>
      <c r="I704" s="17"/>
      <c r="J704" s="17"/>
      <c r="K704" s="17"/>
      <c r="L704" s="17"/>
    </row>
    <row r="705" ht="15.75" customHeight="1">
      <c r="A705" s="16"/>
      <c r="B705" s="16"/>
      <c r="I705" s="17"/>
      <c r="J705" s="17"/>
      <c r="K705" s="17"/>
      <c r="L705" s="17"/>
    </row>
    <row r="706" ht="15.75" customHeight="1">
      <c r="A706" s="16"/>
      <c r="B706" s="16"/>
      <c r="I706" s="17"/>
      <c r="J706" s="17"/>
      <c r="K706" s="17"/>
      <c r="L706" s="17"/>
    </row>
    <row r="707" ht="15.75" customHeight="1">
      <c r="A707" s="16"/>
      <c r="B707" s="16"/>
      <c r="I707" s="17"/>
      <c r="J707" s="17"/>
      <c r="K707" s="17"/>
      <c r="L707" s="17"/>
    </row>
    <row r="708" ht="15.75" customHeight="1">
      <c r="A708" s="16"/>
      <c r="B708" s="16"/>
      <c r="I708" s="17"/>
      <c r="J708" s="17"/>
      <c r="K708" s="17"/>
      <c r="L708" s="17"/>
    </row>
    <row r="709" ht="15.75" customHeight="1">
      <c r="A709" s="16"/>
      <c r="B709" s="16"/>
      <c r="I709" s="17"/>
      <c r="J709" s="17"/>
      <c r="K709" s="17"/>
      <c r="L709" s="17"/>
    </row>
    <row r="710" ht="15.75" customHeight="1">
      <c r="A710" s="16"/>
      <c r="B710" s="16"/>
      <c r="I710" s="17"/>
      <c r="J710" s="17"/>
      <c r="K710" s="17"/>
      <c r="L710" s="17"/>
    </row>
    <row r="711" ht="15.75" customHeight="1">
      <c r="A711" s="16"/>
      <c r="B711" s="16"/>
      <c r="I711" s="17"/>
      <c r="J711" s="17"/>
      <c r="K711" s="17"/>
      <c r="L711" s="17"/>
    </row>
    <row r="712" ht="15.75" customHeight="1">
      <c r="A712" s="16"/>
      <c r="B712" s="16"/>
      <c r="I712" s="17"/>
      <c r="J712" s="17"/>
      <c r="K712" s="17"/>
      <c r="L712" s="17"/>
    </row>
    <row r="713" ht="15.75" customHeight="1">
      <c r="A713" s="16"/>
      <c r="B713" s="16"/>
      <c r="I713" s="17"/>
      <c r="J713" s="17"/>
      <c r="K713" s="17"/>
      <c r="L713" s="17"/>
    </row>
    <row r="714" ht="15.75" customHeight="1">
      <c r="A714" s="16"/>
      <c r="B714" s="16"/>
      <c r="I714" s="17"/>
      <c r="J714" s="17"/>
      <c r="K714" s="17"/>
      <c r="L714" s="17"/>
    </row>
    <row r="715" ht="15.75" customHeight="1">
      <c r="A715" s="16"/>
      <c r="B715" s="16"/>
      <c r="I715" s="17"/>
      <c r="J715" s="17"/>
      <c r="K715" s="17"/>
      <c r="L715" s="17"/>
    </row>
    <row r="716" ht="15.75" customHeight="1">
      <c r="A716" s="16"/>
      <c r="B716" s="16"/>
      <c r="I716" s="17"/>
      <c r="J716" s="17"/>
      <c r="K716" s="17"/>
      <c r="L716" s="17"/>
    </row>
    <row r="717" ht="15.75" customHeight="1">
      <c r="A717" s="16"/>
      <c r="B717" s="16"/>
      <c r="I717" s="17"/>
      <c r="J717" s="17"/>
      <c r="K717" s="17"/>
      <c r="L717" s="17"/>
    </row>
    <row r="718" ht="15.75" customHeight="1">
      <c r="A718" s="16"/>
      <c r="B718" s="16"/>
      <c r="I718" s="17"/>
      <c r="J718" s="17"/>
      <c r="K718" s="17"/>
      <c r="L718" s="17"/>
    </row>
    <row r="719" ht="15.75" customHeight="1">
      <c r="A719" s="16"/>
      <c r="B719" s="16"/>
      <c r="I719" s="17"/>
      <c r="J719" s="17"/>
      <c r="K719" s="17"/>
      <c r="L719" s="17"/>
    </row>
    <row r="720" ht="15.75" customHeight="1">
      <c r="A720" s="16"/>
      <c r="B720" s="16"/>
      <c r="I720" s="17"/>
      <c r="J720" s="17"/>
      <c r="K720" s="17"/>
      <c r="L720" s="17"/>
    </row>
    <row r="721" ht="15.75" customHeight="1">
      <c r="A721" s="16"/>
      <c r="B721" s="16"/>
      <c r="I721" s="17"/>
      <c r="J721" s="17"/>
      <c r="K721" s="17"/>
      <c r="L721" s="17"/>
    </row>
    <row r="722" ht="15.75" customHeight="1">
      <c r="A722" s="16"/>
      <c r="B722" s="16"/>
      <c r="I722" s="17"/>
      <c r="J722" s="17"/>
      <c r="K722" s="17"/>
      <c r="L722" s="17"/>
    </row>
    <row r="723" ht="15.75" customHeight="1">
      <c r="A723" s="16"/>
      <c r="B723" s="16"/>
      <c r="I723" s="17"/>
      <c r="J723" s="17"/>
      <c r="K723" s="17"/>
      <c r="L723" s="17"/>
    </row>
    <row r="724" ht="15.75" customHeight="1">
      <c r="A724" s="16"/>
      <c r="B724" s="16"/>
      <c r="I724" s="17"/>
      <c r="J724" s="17"/>
      <c r="K724" s="17"/>
      <c r="L724" s="17"/>
    </row>
    <row r="725" ht="15.75" customHeight="1">
      <c r="A725" s="16"/>
      <c r="B725" s="16"/>
      <c r="I725" s="17"/>
      <c r="J725" s="17"/>
      <c r="K725" s="17"/>
      <c r="L725" s="17"/>
    </row>
    <row r="726" ht="15.75" customHeight="1">
      <c r="A726" s="16"/>
      <c r="B726" s="16"/>
      <c r="I726" s="17"/>
      <c r="J726" s="17"/>
      <c r="K726" s="17"/>
      <c r="L726" s="17"/>
    </row>
    <row r="727" ht="15.75" customHeight="1">
      <c r="A727" s="16"/>
      <c r="B727" s="16"/>
      <c r="I727" s="17"/>
      <c r="J727" s="17"/>
      <c r="K727" s="17"/>
      <c r="L727" s="17"/>
    </row>
    <row r="728" ht="15.75" customHeight="1">
      <c r="A728" s="16"/>
      <c r="B728" s="16"/>
      <c r="I728" s="17"/>
      <c r="J728" s="17"/>
      <c r="K728" s="17"/>
      <c r="L728" s="17"/>
    </row>
    <row r="729" ht="15.75" customHeight="1">
      <c r="A729" s="16"/>
      <c r="B729" s="16"/>
      <c r="I729" s="17"/>
      <c r="J729" s="17"/>
      <c r="K729" s="17"/>
      <c r="L729" s="17"/>
    </row>
    <row r="730" ht="15.75" customHeight="1">
      <c r="A730" s="16"/>
      <c r="B730" s="16"/>
      <c r="I730" s="17"/>
      <c r="J730" s="17"/>
      <c r="K730" s="17"/>
      <c r="L730" s="17"/>
    </row>
    <row r="731" ht="15.75" customHeight="1">
      <c r="A731" s="16"/>
      <c r="B731" s="16"/>
      <c r="I731" s="17"/>
      <c r="J731" s="17"/>
      <c r="K731" s="17"/>
      <c r="L731" s="17"/>
    </row>
    <row r="732" ht="15.75" customHeight="1">
      <c r="A732" s="16"/>
      <c r="B732" s="16"/>
      <c r="I732" s="17"/>
      <c r="J732" s="17"/>
      <c r="K732" s="17"/>
      <c r="L732" s="17"/>
    </row>
    <row r="733" ht="15.75" customHeight="1">
      <c r="A733" s="16"/>
      <c r="B733" s="16"/>
      <c r="I733" s="17"/>
      <c r="J733" s="17"/>
      <c r="K733" s="17"/>
      <c r="L733" s="17"/>
    </row>
    <row r="734" ht="15.75" customHeight="1">
      <c r="A734" s="16"/>
      <c r="B734" s="16"/>
      <c r="I734" s="17"/>
      <c r="J734" s="17"/>
      <c r="K734" s="17"/>
      <c r="L734" s="17"/>
    </row>
    <row r="735" ht="15.75" customHeight="1">
      <c r="A735" s="16"/>
      <c r="B735" s="16"/>
      <c r="I735" s="17"/>
      <c r="J735" s="17"/>
      <c r="K735" s="17"/>
      <c r="L735" s="17"/>
    </row>
    <row r="736" ht="15.75" customHeight="1">
      <c r="A736" s="16"/>
      <c r="B736" s="16"/>
      <c r="I736" s="17"/>
      <c r="J736" s="17"/>
      <c r="K736" s="17"/>
      <c r="L736" s="17"/>
    </row>
    <row r="737" ht="15.75" customHeight="1">
      <c r="A737" s="16"/>
      <c r="B737" s="16"/>
      <c r="I737" s="17"/>
      <c r="J737" s="17"/>
      <c r="K737" s="17"/>
      <c r="L737" s="17"/>
    </row>
    <row r="738" ht="15.75" customHeight="1">
      <c r="A738" s="16"/>
      <c r="B738" s="16"/>
      <c r="I738" s="17"/>
      <c r="J738" s="17"/>
      <c r="K738" s="17"/>
      <c r="L738" s="17"/>
    </row>
    <row r="739" ht="15.75" customHeight="1">
      <c r="A739" s="16"/>
      <c r="B739" s="16"/>
      <c r="I739" s="17"/>
      <c r="J739" s="17"/>
      <c r="K739" s="17"/>
      <c r="L739" s="17"/>
    </row>
    <row r="740" ht="15.75" customHeight="1">
      <c r="A740" s="16"/>
      <c r="B740" s="16"/>
      <c r="I740" s="17"/>
      <c r="J740" s="17"/>
      <c r="K740" s="17"/>
      <c r="L740" s="17"/>
    </row>
    <row r="741" ht="15.75" customHeight="1">
      <c r="A741" s="16"/>
      <c r="B741" s="16"/>
      <c r="I741" s="17"/>
      <c r="J741" s="17"/>
      <c r="K741" s="17"/>
      <c r="L741" s="17"/>
    </row>
    <row r="742" ht="15.75" customHeight="1">
      <c r="A742" s="16"/>
      <c r="B742" s="16"/>
      <c r="I742" s="17"/>
      <c r="J742" s="17"/>
      <c r="K742" s="17"/>
      <c r="L742" s="17"/>
    </row>
    <row r="743" ht="15.75" customHeight="1">
      <c r="A743" s="16"/>
      <c r="B743" s="16"/>
      <c r="I743" s="17"/>
      <c r="J743" s="17"/>
      <c r="K743" s="17"/>
      <c r="L743" s="17"/>
    </row>
    <row r="744" ht="15.75" customHeight="1">
      <c r="A744" s="16"/>
      <c r="B744" s="16"/>
      <c r="I744" s="17"/>
      <c r="J744" s="17"/>
      <c r="K744" s="17"/>
      <c r="L744" s="17"/>
    </row>
    <row r="745" ht="15.75" customHeight="1">
      <c r="A745" s="16"/>
      <c r="B745" s="16"/>
      <c r="I745" s="17"/>
      <c r="J745" s="17"/>
      <c r="K745" s="17"/>
      <c r="L745" s="17"/>
    </row>
    <row r="746" ht="15.75" customHeight="1">
      <c r="A746" s="16"/>
      <c r="B746" s="16"/>
      <c r="I746" s="17"/>
      <c r="J746" s="17"/>
      <c r="K746" s="17"/>
      <c r="L746" s="17"/>
    </row>
    <row r="747" ht="15.75" customHeight="1">
      <c r="A747" s="16"/>
      <c r="B747" s="16"/>
      <c r="I747" s="17"/>
      <c r="J747" s="17"/>
      <c r="K747" s="17"/>
      <c r="L747" s="17"/>
    </row>
    <row r="748" ht="15.75" customHeight="1">
      <c r="A748" s="16"/>
      <c r="B748" s="16"/>
      <c r="I748" s="17"/>
      <c r="J748" s="17"/>
      <c r="K748" s="17"/>
      <c r="L748" s="17"/>
    </row>
    <row r="749" ht="15.75" customHeight="1">
      <c r="A749" s="16"/>
      <c r="B749" s="16"/>
      <c r="I749" s="17"/>
      <c r="J749" s="17"/>
      <c r="K749" s="17"/>
      <c r="L749" s="17"/>
    </row>
    <row r="750" ht="15.75" customHeight="1">
      <c r="A750" s="16"/>
      <c r="B750" s="16"/>
      <c r="I750" s="17"/>
      <c r="J750" s="17"/>
      <c r="K750" s="17"/>
      <c r="L750" s="17"/>
    </row>
    <row r="751" ht="15.75" customHeight="1">
      <c r="A751" s="16"/>
      <c r="B751" s="16"/>
      <c r="I751" s="17"/>
      <c r="J751" s="17"/>
      <c r="K751" s="17"/>
      <c r="L751" s="17"/>
    </row>
    <row r="752" ht="15.75" customHeight="1">
      <c r="A752" s="16"/>
      <c r="B752" s="16"/>
      <c r="I752" s="17"/>
      <c r="J752" s="17"/>
      <c r="K752" s="17"/>
      <c r="L752" s="17"/>
    </row>
    <row r="753" ht="15.75" customHeight="1">
      <c r="A753" s="16"/>
      <c r="B753" s="16"/>
      <c r="I753" s="17"/>
      <c r="J753" s="17"/>
      <c r="K753" s="17"/>
      <c r="L753" s="17"/>
    </row>
    <row r="754" ht="15.75" customHeight="1">
      <c r="A754" s="16"/>
      <c r="B754" s="16"/>
      <c r="I754" s="17"/>
      <c r="J754" s="17"/>
      <c r="K754" s="17"/>
      <c r="L754" s="17"/>
    </row>
    <row r="755" ht="15.75" customHeight="1">
      <c r="A755" s="16"/>
      <c r="B755" s="16"/>
      <c r="I755" s="17"/>
      <c r="J755" s="17"/>
      <c r="K755" s="17"/>
      <c r="L755" s="17"/>
    </row>
    <row r="756" ht="15.75" customHeight="1">
      <c r="A756" s="16"/>
      <c r="B756" s="16"/>
      <c r="I756" s="17"/>
      <c r="J756" s="17"/>
      <c r="K756" s="17"/>
      <c r="L756" s="17"/>
    </row>
    <row r="757" ht="15.75" customHeight="1">
      <c r="A757" s="16"/>
      <c r="B757" s="16"/>
      <c r="I757" s="17"/>
      <c r="J757" s="17"/>
      <c r="K757" s="17"/>
      <c r="L757" s="17"/>
    </row>
    <row r="758" ht="15.75" customHeight="1">
      <c r="A758" s="16"/>
      <c r="B758" s="16"/>
      <c r="I758" s="17"/>
      <c r="J758" s="17"/>
      <c r="K758" s="17"/>
      <c r="L758" s="17"/>
    </row>
    <row r="759" ht="15.75" customHeight="1">
      <c r="A759" s="16"/>
      <c r="B759" s="16"/>
      <c r="I759" s="17"/>
      <c r="J759" s="17"/>
      <c r="K759" s="17"/>
      <c r="L759" s="17"/>
    </row>
    <row r="760" ht="15.75" customHeight="1">
      <c r="A760" s="16"/>
      <c r="B760" s="16"/>
      <c r="I760" s="17"/>
      <c r="J760" s="17"/>
      <c r="K760" s="17"/>
      <c r="L760" s="17"/>
    </row>
    <row r="761" ht="15.75" customHeight="1">
      <c r="A761" s="16"/>
      <c r="B761" s="16"/>
      <c r="I761" s="17"/>
      <c r="J761" s="17"/>
      <c r="K761" s="17"/>
      <c r="L761" s="17"/>
    </row>
    <row r="762" ht="15.75" customHeight="1">
      <c r="A762" s="16"/>
      <c r="B762" s="16"/>
      <c r="I762" s="17"/>
      <c r="J762" s="17"/>
      <c r="K762" s="17"/>
      <c r="L762" s="17"/>
    </row>
    <row r="763" ht="15.75" customHeight="1">
      <c r="A763" s="16"/>
      <c r="B763" s="16"/>
      <c r="I763" s="17"/>
      <c r="J763" s="17"/>
      <c r="K763" s="17"/>
      <c r="L763" s="17"/>
    </row>
    <row r="764" ht="15.75" customHeight="1">
      <c r="A764" s="16"/>
      <c r="B764" s="16"/>
      <c r="I764" s="17"/>
      <c r="J764" s="17"/>
      <c r="K764" s="17"/>
      <c r="L764" s="17"/>
    </row>
    <row r="765" ht="15.75" customHeight="1">
      <c r="A765" s="16"/>
      <c r="B765" s="16"/>
      <c r="I765" s="17"/>
      <c r="J765" s="17"/>
      <c r="K765" s="17"/>
      <c r="L765" s="17"/>
    </row>
    <row r="766" ht="15.75" customHeight="1">
      <c r="A766" s="16"/>
      <c r="B766" s="16"/>
      <c r="I766" s="17"/>
      <c r="J766" s="17"/>
      <c r="K766" s="17"/>
      <c r="L766" s="17"/>
    </row>
    <row r="767" ht="15.75" customHeight="1">
      <c r="A767" s="16"/>
      <c r="B767" s="16"/>
      <c r="I767" s="17"/>
      <c r="J767" s="17"/>
      <c r="K767" s="17"/>
      <c r="L767" s="17"/>
    </row>
    <row r="768" ht="15.75" customHeight="1">
      <c r="A768" s="16"/>
      <c r="B768" s="16"/>
      <c r="I768" s="17"/>
      <c r="J768" s="17"/>
      <c r="K768" s="17"/>
      <c r="L768" s="17"/>
    </row>
    <row r="769" ht="15.75" customHeight="1">
      <c r="A769" s="16"/>
      <c r="B769" s="16"/>
      <c r="I769" s="17"/>
      <c r="J769" s="17"/>
      <c r="K769" s="17"/>
      <c r="L769" s="17"/>
    </row>
    <row r="770" ht="15.75" customHeight="1">
      <c r="A770" s="16"/>
      <c r="B770" s="16"/>
      <c r="I770" s="17"/>
      <c r="J770" s="17"/>
      <c r="K770" s="17"/>
      <c r="L770" s="17"/>
    </row>
    <row r="771" ht="15.75" customHeight="1">
      <c r="A771" s="16"/>
      <c r="B771" s="16"/>
      <c r="I771" s="17"/>
      <c r="J771" s="17"/>
      <c r="K771" s="17"/>
      <c r="L771" s="17"/>
    </row>
    <row r="772" ht="15.75" customHeight="1">
      <c r="A772" s="16"/>
      <c r="B772" s="16"/>
      <c r="I772" s="17"/>
      <c r="J772" s="17"/>
      <c r="K772" s="17"/>
      <c r="L772" s="17"/>
    </row>
    <row r="773" ht="15.75" customHeight="1">
      <c r="A773" s="16"/>
      <c r="B773" s="16"/>
      <c r="I773" s="17"/>
      <c r="J773" s="17"/>
      <c r="K773" s="17"/>
      <c r="L773" s="17"/>
    </row>
    <row r="774" ht="15.75" customHeight="1">
      <c r="A774" s="16"/>
      <c r="B774" s="16"/>
      <c r="I774" s="17"/>
      <c r="J774" s="17"/>
      <c r="K774" s="17"/>
      <c r="L774" s="17"/>
    </row>
    <row r="775" ht="15.75" customHeight="1">
      <c r="A775" s="16"/>
      <c r="B775" s="16"/>
      <c r="I775" s="17"/>
      <c r="J775" s="17"/>
      <c r="K775" s="17"/>
      <c r="L775" s="17"/>
    </row>
    <row r="776" ht="15.75" customHeight="1">
      <c r="A776" s="16"/>
      <c r="B776" s="16"/>
      <c r="I776" s="17"/>
      <c r="J776" s="17"/>
      <c r="K776" s="17"/>
      <c r="L776" s="17"/>
    </row>
    <row r="777" ht="15.75" customHeight="1">
      <c r="A777" s="16"/>
      <c r="B777" s="16"/>
      <c r="I777" s="17"/>
      <c r="J777" s="17"/>
      <c r="K777" s="17"/>
      <c r="L777" s="17"/>
    </row>
    <row r="778" ht="15.75" customHeight="1">
      <c r="A778" s="16"/>
      <c r="B778" s="16"/>
      <c r="I778" s="17"/>
      <c r="J778" s="17"/>
      <c r="K778" s="17"/>
      <c r="L778" s="17"/>
    </row>
    <row r="779" ht="15.75" customHeight="1">
      <c r="A779" s="16"/>
      <c r="B779" s="16"/>
      <c r="I779" s="17"/>
      <c r="J779" s="17"/>
      <c r="K779" s="17"/>
      <c r="L779" s="17"/>
    </row>
    <row r="780" ht="15.75" customHeight="1">
      <c r="A780" s="16"/>
      <c r="B780" s="16"/>
      <c r="I780" s="17"/>
      <c r="J780" s="17"/>
      <c r="K780" s="17"/>
      <c r="L780" s="17"/>
    </row>
    <row r="781" ht="15.75" customHeight="1">
      <c r="A781" s="16"/>
      <c r="B781" s="16"/>
      <c r="I781" s="17"/>
      <c r="J781" s="17"/>
      <c r="K781" s="17"/>
      <c r="L781" s="17"/>
    </row>
    <row r="782" ht="15.75" customHeight="1">
      <c r="A782" s="16"/>
      <c r="B782" s="16"/>
      <c r="I782" s="17"/>
      <c r="J782" s="17"/>
      <c r="K782" s="17"/>
      <c r="L782" s="17"/>
    </row>
    <row r="783" ht="15.75" customHeight="1">
      <c r="A783" s="16"/>
      <c r="B783" s="16"/>
      <c r="I783" s="17"/>
      <c r="J783" s="17"/>
      <c r="K783" s="17"/>
      <c r="L783" s="17"/>
    </row>
    <row r="784" ht="15.75" customHeight="1">
      <c r="A784" s="16"/>
      <c r="B784" s="16"/>
      <c r="I784" s="17"/>
      <c r="J784" s="17"/>
      <c r="K784" s="17"/>
      <c r="L784" s="17"/>
    </row>
    <row r="785" ht="15.75" customHeight="1">
      <c r="A785" s="16"/>
      <c r="B785" s="16"/>
      <c r="I785" s="17"/>
      <c r="J785" s="17"/>
      <c r="K785" s="17"/>
      <c r="L785" s="17"/>
    </row>
    <row r="786" ht="15.75" customHeight="1">
      <c r="A786" s="16"/>
      <c r="B786" s="16"/>
      <c r="I786" s="17"/>
      <c r="J786" s="17"/>
      <c r="K786" s="17"/>
      <c r="L786" s="17"/>
    </row>
    <row r="787" ht="15.75" customHeight="1">
      <c r="A787" s="16"/>
      <c r="B787" s="16"/>
      <c r="I787" s="17"/>
      <c r="J787" s="17"/>
      <c r="K787" s="17"/>
      <c r="L787" s="17"/>
    </row>
    <row r="788" ht="15.75" customHeight="1">
      <c r="A788" s="16"/>
      <c r="B788" s="16"/>
      <c r="I788" s="17"/>
      <c r="J788" s="17"/>
      <c r="K788" s="17"/>
      <c r="L788" s="17"/>
    </row>
    <row r="789" ht="15.75" customHeight="1">
      <c r="A789" s="16"/>
      <c r="B789" s="16"/>
      <c r="I789" s="17"/>
      <c r="J789" s="17"/>
      <c r="K789" s="17"/>
      <c r="L789" s="17"/>
    </row>
    <row r="790" ht="15.75" customHeight="1">
      <c r="A790" s="16"/>
      <c r="B790" s="16"/>
      <c r="I790" s="17"/>
      <c r="J790" s="17"/>
      <c r="K790" s="17"/>
      <c r="L790" s="17"/>
    </row>
    <row r="791" ht="15.75" customHeight="1">
      <c r="A791" s="16"/>
      <c r="B791" s="16"/>
      <c r="I791" s="17"/>
      <c r="J791" s="17"/>
      <c r="K791" s="17"/>
      <c r="L791" s="17"/>
    </row>
    <row r="792" ht="15.75" customHeight="1">
      <c r="A792" s="16"/>
      <c r="B792" s="16"/>
      <c r="I792" s="17"/>
      <c r="J792" s="17"/>
      <c r="K792" s="17"/>
      <c r="L792" s="17"/>
    </row>
    <row r="793" ht="15.75" customHeight="1">
      <c r="A793" s="16"/>
      <c r="B793" s="16"/>
      <c r="I793" s="17"/>
      <c r="J793" s="17"/>
      <c r="K793" s="17"/>
      <c r="L793" s="17"/>
    </row>
    <row r="794" ht="15.75" customHeight="1">
      <c r="A794" s="16"/>
      <c r="B794" s="16"/>
      <c r="I794" s="17"/>
      <c r="J794" s="17"/>
      <c r="K794" s="17"/>
      <c r="L794" s="17"/>
    </row>
    <row r="795" ht="15.75" customHeight="1">
      <c r="A795" s="16"/>
      <c r="B795" s="16"/>
      <c r="I795" s="17"/>
      <c r="J795" s="17"/>
      <c r="K795" s="17"/>
      <c r="L795" s="17"/>
    </row>
    <row r="796" ht="15.75" customHeight="1">
      <c r="A796" s="16"/>
      <c r="B796" s="16"/>
      <c r="I796" s="17"/>
      <c r="J796" s="17"/>
      <c r="K796" s="17"/>
      <c r="L796" s="17"/>
    </row>
    <row r="797" ht="15.75" customHeight="1">
      <c r="A797" s="16"/>
      <c r="B797" s="16"/>
      <c r="I797" s="17"/>
      <c r="J797" s="17"/>
      <c r="K797" s="17"/>
      <c r="L797" s="17"/>
    </row>
    <row r="798" ht="15.75" customHeight="1">
      <c r="A798" s="16"/>
      <c r="B798" s="16"/>
      <c r="I798" s="17"/>
      <c r="J798" s="17"/>
      <c r="K798" s="17"/>
      <c r="L798" s="17"/>
    </row>
    <row r="799" ht="15.75" customHeight="1">
      <c r="A799" s="16"/>
      <c r="B799" s="16"/>
      <c r="I799" s="17"/>
      <c r="J799" s="17"/>
      <c r="K799" s="17"/>
      <c r="L799" s="17"/>
    </row>
    <row r="800" ht="15.75" customHeight="1">
      <c r="A800" s="16"/>
      <c r="B800" s="16"/>
      <c r="I800" s="17"/>
      <c r="J800" s="17"/>
      <c r="K800" s="17"/>
      <c r="L800" s="17"/>
    </row>
    <row r="801" ht="15.75" customHeight="1">
      <c r="A801" s="16"/>
      <c r="B801" s="16"/>
      <c r="I801" s="17"/>
      <c r="J801" s="17"/>
      <c r="K801" s="17"/>
      <c r="L801" s="17"/>
    </row>
    <row r="802" ht="15.75" customHeight="1">
      <c r="A802" s="16"/>
      <c r="B802" s="16"/>
      <c r="I802" s="17"/>
      <c r="J802" s="17"/>
      <c r="K802" s="17"/>
      <c r="L802" s="17"/>
    </row>
    <row r="803" ht="15.75" customHeight="1">
      <c r="A803" s="16"/>
      <c r="B803" s="16"/>
      <c r="I803" s="17"/>
      <c r="J803" s="17"/>
      <c r="K803" s="17"/>
      <c r="L803" s="17"/>
    </row>
    <row r="804" ht="15.75" customHeight="1">
      <c r="A804" s="16"/>
      <c r="B804" s="16"/>
      <c r="I804" s="17"/>
      <c r="J804" s="17"/>
      <c r="K804" s="17"/>
      <c r="L804" s="17"/>
    </row>
    <row r="805" ht="15.75" customHeight="1">
      <c r="A805" s="16"/>
      <c r="B805" s="16"/>
      <c r="I805" s="17"/>
      <c r="J805" s="17"/>
      <c r="K805" s="17"/>
      <c r="L805" s="17"/>
    </row>
    <row r="806" ht="15.75" customHeight="1">
      <c r="A806" s="16"/>
      <c r="B806" s="16"/>
      <c r="I806" s="17"/>
      <c r="J806" s="17"/>
      <c r="K806" s="17"/>
      <c r="L806" s="17"/>
    </row>
    <row r="807" ht="15.75" customHeight="1">
      <c r="A807" s="16"/>
      <c r="B807" s="16"/>
      <c r="I807" s="17"/>
      <c r="J807" s="17"/>
      <c r="K807" s="17"/>
      <c r="L807" s="17"/>
    </row>
    <row r="808" ht="15.75" customHeight="1">
      <c r="A808" s="16"/>
      <c r="B808" s="16"/>
      <c r="I808" s="17"/>
      <c r="J808" s="17"/>
      <c r="K808" s="17"/>
      <c r="L808" s="17"/>
    </row>
    <row r="809" ht="15.75" customHeight="1">
      <c r="A809" s="16"/>
      <c r="B809" s="16"/>
      <c r="I809" s="17"/>
      <c r="J809" s="17"/>
      <c r="K809" s="17"/>
      <c r="L809" s="17"/>
    </row>
    <row r="810" ht="15.75" customHeight="1">
      <c r="A810" s="16"/>
      <c r="B810" s="16"/>
      <c r="I810" s="17"/>
      <c r="J810" s="17"/>
      <c r="K810" s="17"/>
      <c r="L810" s="17"/>
    </row>
    <row r="811" ht="15.75" customHeight="1">
      <c r="A811" s="16"/>
      <c r="B811" s="16"/>
      <c r="I811" s="17"/>
      <c r="J811" s="17"/>
      <c r="K811" s="17"/>
      <c r="L811" s="17"/>
    </row>
    <row r="812" ht="15.75" customHeight="1">
      <c r="A812" s="16"/>
      <c r="B812" s="16"/>
      <c r="I812" s="17"/>
      <c r="J812" s="17"/>
      <c r="K812" s="17"/>
      <c r="L812" s="17"/>
    </row>
    <row r="813" ht="15.75" customHeight="1">
      <c r="A813" s="16"/>
      <c r="B813" s="16"/>
      <c r="I813" s="17"/>
      <c r="J813" s="17"/>
      <c r="K813" s="17"/>
      <c r="L813" s="17"/>
    </row>
    <row r="814" ht="15.75" customHeight="1">
      <c r="A814" s="16"/>
      <c r="B814" s="16"/>
      <c r="I814" s="17"/>
      <c r="J814" s="17"/>
      <c r="K814" s="17"/>
      <c r="L814" s="17"/>
    </row>
    <row r="815" ht="15.75" customHeight="1">
      <c r="A815" s="16"/>
      <c r="B815" s="16"/>
      <c r="I815" s="17"/>
      <c r="J815" s="17"/>
      <c r="K815" s="17"/>
      <c r="L815" s="17"/>
    </row>
    <row r="816" ht="15.75" customHeight="1">
      <c r="A816" s="16"/>
      <c r="B816" s="16"/>
      <c r="I816" s="17"/>
      <c r="J816" s="17"/>
      <c r="K816" s="17"/>
      <c r="L816" s="17"/>
    </row>
    <row r="817" ht="15.75" customHeight="1">
      <c r="A817" s="16"/>
      <c r="B817" s="16"/>
      <c r="I817" s="17"/>
      <c r="J817" s="17"/>
      <c r="K817" s="17"/>
      <c r="L817" s="17"/>
    </row>
    <row r="818" ht="15.75" customHeight="1">
      <c r="A818" s="16"/>
      <c r="B818" s="16"/>
      <c r="I818" s="17"/>
      <c r="J818" s="17"/>
      <c r="K818" s="17"/>
      <c r="L818" s="17"/>
    </row>
    <row r="819" ht="15.75" customHeight="1">
      <c r="A819" s="16"/>
      <c r="B819" s="16"/>
      <c r="I819" s="17"/>
      <c r="J819" s="17"/>
      <c r="K819" s="17"/>
      <c r="L819" s="17"/>
    </row>
    <row r="820" ht="15.75" customHeight="1">
      <c r="A820" s="16"/>
      <c r="B820" s="16"/>
      <c r="I820" s="17"/>
      <c r="J820" s="17"/>
      <c r="K820" s="17"/>
      <c r="L820" s="17"/>
    </row>
    <row r="821" ht="15.75" customHeight="1">
      <c r="A821" s="16"/>
      <c r="B821" s="16"/>
      <c r="I821" s="17"/>
      <c r="J821" s="17"/>
      <c r="K821" s="17"/>
      <c r="L821" s="17"/>
    </row>
    <row r="822" ht="15.75" customHeight="1">
      <c r="A822" s="16"/>
      <c r="B822" s="16"/>
      <c r="I822" s="17"/>
      <c r="J822" s="17"/>
      <c r="K822" s="17"/>
      <c r="L822" s="17"/>
    </row>
    <row r="823" ht="15.75" customHeight="1">
      <c r="A823" s="16"/>
      <c r="B823" s="16"/>
      <c r="I823" s="17"/>
      <c r="J823" s="17"/>
      <c r="K823" s="17"/>
      <c r="L823" s="17"/>
    </row>
    <row r="824" ht="15.75" customHeight="1">
      <c r="A824" s="16"/>
      <c r="B824" s="16"/>
      <c r="I824" s="17"/>
      <c r="J824" s="17"/>
      <c r="K824" s="17"/>
      <c r="L824" s="17"/>
    </row>
    <row r="825" ht="15.75" customHeight="1">
      <c r="A825" s="16"/>
      <c r="B825" s="16"/>
      <c r="I825" s="17"/>
      <c r="J825" s="17"/>
      <c r="K825" s="17"/>
      <c r="L825" s="17"/>
    </row>
    <row r="826" ht="15.75" customHeight="1">
      <c r="A826" s="16"/>
      <c r="B826" s="16"/>
      <c r="I826" s="17"/>
      <c r="J826" s="17"/>
      <c r="K826" s="17"/>
      <c r="L826" s="17"/>
    </row>
    <row r="827" ht="15.75" customHeight="1">
      <c r="A827" s="16"/>
      <c r="B827" s="16"/>
      <c r="I827" s="17"/>
      <c r="J827" s="17"/>
      <c r="K827" s="17"/>
      <c r="L827" s="17"/>
    </row>
    <row r="828" ht="15.75" customHeight="1">
      <c r="A828" s="16"/>
      <c r="B828" s="16"/>
      <c r="I828" s="17"/>
      <c r="J828" s="17"/>
      <c r="K828" s="17"/>
      <c r="L828" s="17"/>
    </row>
    <row r="829" ht="15.75" customHeight="1">
      <c r="A829" s="16"/>
      <c r="B829" s="16"/>
      <c r="I829" s="17"/>
      <c r="J829" s="17"/>
      <c r="K829" s="17"/>
      <c r="L829" s="17"/>
    </row>
    <row r="830" ht="15.75" customHeight="1">
      <c r="A830" s="16"/>
      <c r="B830" s="16"/>
      <c r="I830" s="17"/>
      <c r="J830" s="17"/>
      <c r="K830" s="17"/>
      <c r="L830" s="17"/>
    </row>
    <row r="831" ht="15.75" customHeight="1">
      <c r="A831" s="16"/>
      <c r="B831" s="16"/>
      <c r="I831" s="17"/>
      <c r="J831" s="17"/>
      <c r="K831" s="17"/>
      <c r="L831" s="17"/>
    </row>
    <row r="832" ht="15.75" customHeight="1">
      <c r="A832" s="16"/>
      <c r="B832" s="16"/>
      <c r="I832" s="17"/>
      <c r="J832" s="17"/>
      <c r="K832" s="17"/>
      <c r="L832" s="17"/>
    </row>
    <row r="833" ht="15.75" customHeight="1">
      <c r="A833" s="16"/>
      <c r="B833" s="16"/>
      <c r="I833" s="17"/>
      <c r="J833" s="17"/>
      <c r="K833" s="17"/>
      <c r="L833" s="17"/>
    </row>
    <row r="834" ht="15.75" customHeight="1">
      <c r="A834" s="16"/>
      <c r="B834" s="16"/>
      <c r="I834" s="17"/>
      <c r="J834" s="17"/>
      <c r="K834" s="17"/>
      <c r="L834" s="17"/>
    </row>
    <row r="835" ht="15.75" customHeight="1">
      <c r="A835" s="16"/>
      <c r="B835" s="16"/>
      <c r="I835" s="17"/>
      <c r="J835" s="17"/>
      <c r="K835" s="17"/>
      <c r="L835" s="17"/>
    </row>
    <row r="836" ht="15.75" customHeight="1">
      <c r="A836" s="16"/>
      <c r="B836" s="16"/>
      <c r="I836" s="17"/>
      <c r="J836" s="17"/>
      <c r="K836" s="17"/>
      <c r="L836" s="17"/>
    </row>
    <row r="837" ht="15.75" customHeight="1">
      <c r="A837" s="16"/>
      <c r="B837" s="16"/>
      <c r="I837" s="17"/>
      <c r="J837" s="17"/>
      <c r="K837" s="17"/>
      <c r="L837" s="17"/>
    </row>
    <row r="838" ht="15.75" customHeight="1">
      <c r="A838" s="16"/>
      <c r="B838" s="16"/>
      <c r="I838" s="17"/>
      <c r="J838" s="17"/>
      <c r="K838" s="17"/>
      <c r="L838" s="17"/>
    </row>
    <row r="839" ht="15.75" customHeight="1">
      <c r="A839" s="16"/>
      <c r="B839" s="16"/>
      <c r="I839" s="17"/>
      <c r="J839" s="17"/>
      <c r="K839" s="17"/>
      <c r="L839" s="17"/>
    </row>
    <row r="840" ht="15.75" customHeight="1">
      <c r="A840" s="16"/>
      <c r="B840" s="16"/>
      <c r="I840" s="17"/>
      <c r="J840" s="17"/>
      <c r="K840" s="17"/>
      <c r="L840" s="17"/>
    </row>
    <row r="841" ht="15.75" customHeight="1">
      <c r="A841" s="16"/>
      <c r="B841" s="16"/>
      <c r="I841" s="17"/>
      <c r="J841" s="17"/>
      <c r="K841" s="17"/>
      <c r="L841" s="17"/>
    </row>
    <row r="842" ht="15.75" customHeight="1">
      <c r="A842" s="16"/>
      <c r="B842" s="16"/>
      <c r="I842" s="17"/>
      <c r="J842" s="17"/>
      <c r="K842" s="17"/>
      <c r="L842" s="17"/>
    </row>
    <row r="843" ht="15.75" customHeight="1">
      <c r="A843" s="16"/>
      <c r="B843" s="16"/>
      <c r="I843" s="17"/>
      <c r="J843" s="17"/>
      <c r="K843" s="17"/>
      <c r="L843" s="17"/>
    </row>
    <row r="844" ht="15.75" customHeight="1">
      <c r="A844" s="16"/>
      <c r="B844" s="16"/>
      <c r="I844" s="17"/>
      <c r="J844" s="17"/>
      <c r="K844" s="17"/>
      <c r="L844" s="17"/>
    </row>
    <row r="845" ht="15.75" customHeight="1">
      <c r="A845" s="16"/>
      <c r="B845" s="16"/>
      <c r="I845" s="17"/>
      <c r="J845" s="17"/>
      <c r="K845" s="17"/>
      <c r="L845" s="17"/>
    </row>
    <row r="846" ht="15.75" customHeight="1">
      <c r="A846" s="16"/>
      <c r="B846" s="16"/>
      <c r="I846" s="17"/>
      <c r="J846" s="17"/>
      <c r="K846" s="17"/>
      <c r="L846" s="17"/>
    </row>
    <row r="847" ht="15.75" customHeight="1">
      <c r="A847" s="16"/>
      <c r="B847" s="16"/>
      <c r="I847" s="17"/>
      <c r="J847" s="17"/>
      <c r="K847" s="17"/>
      <c r="L847" s="17"/>
    </row>
    <row r="848" ht="15.75" customHeight="1">
      <c r="A848" s="16"/>
      <c r="B848" s="16"/>
      <c r="I848" s="17"/>
      <c r="J848" s="17"/>
      <c r="K848" s="17"/>
      <c r="L848" s="17"/>
    </row>
    <row r="849" ht="15.75" customHeight="1">
      <c r="A849" s="16"/>
      <c r="B849" s="16"/>
      <c r="I849" s="17"/>
      <c r="J849" s="17"/>
      <c r="K849" s="17"/>
      <c r="L849" s="17"/>
    </row>
    <row r="850" ht="15.75" customHeight="1">
      <c r="A850" s="16"/>
      <c r="B850" s="16"/>
      <c r="I850" s="17"/>
      <c r="J850" s="17"/>
      <c r="K850" s="17"/>
      <c r="L850" s="17"/>
    </row>
    <row r="851" ht="15.75" customHeight="1">
      <c r="A851" s="16"/>
      <c r="B851" s="16"/>
      <c r="I851" s="17"/>
      <c r="J851" s="17"/>
      <c r="K851" s="17"/>
      <c r="L851" s="17"/>
    </row>
    <row r="852" ht="15.75" customHeight="1">
      <c r="A852" s="16"/>
      <c r="B852" s="16"/>
      <c r="I852" s="17"/>
      <c r="J852" s="17"/>
      <c r="K852" s="17"/>
      <c r="L852" s="17"/>
    </row>
    <row r="853" ht="15.75" customHeight="1">
      <c r="A853" s="16"/>
      <c r="B853" s="16"/>
      <c r="I853" s="17"/>
      <c r="J853" s="17"/>
      <c r="K853" s="17"/>
      <c r="L853" s="17"/>
    </row>
    <row r="854" ht="15.75" customHeight="1">
      <c r="A854" s="16"/>
      <c r="B854" s="16"/>
      <c r="I854" s="17"/>
      <c r="J854" s="17"/>
      <c r="K854" s="17"/>
      <c r="L854" s="17"/>
    </row>
    <row r="855" ht="15.75" customHeight="1">
      <c r="A855" s="16"/>
      <c r="B855" s="16"/>
      <c r="I855" s="17"/>
      <c r="J855" s="17"/>
      <c r="K855" s="17"/>
      <c r="L855" s="17"/>
    </row>
    <row r="856" ht="15.75" customHeight="1">
      <c r="A856" s="16"/>
      <c r="B856" s="16"/>
      <c r="I856" s="17"/>
      <c r="J856" s="17"/>
      <c r="K856" s="17"/>
      <c r="L856" s="17"/>
    </row>
    <row r="857" ht="15.75" customHeight="1">
      <c r="A857" s="16"/>
      <c r="B857" s="16"/>
      <c r="I857" s="17"/>
      <c r="J857" s="17"/>
      <c r="K857" s="17"/>
      <c r="L857" s="17"/>
    </row>
    <row r="858" ht="15.75" customHeight="1">
      <c r="A858" s="16"/>
      <c r="B858" s="16"/>
      <c r="I858" s="17"/>
      <c r="J858" s="17"/>
      <c r="K858" s="17"/>
      <c r="L858" s="17"/>
    </row>
    <row r="859" ht="15.75" customHeight="1">
      <c r="A859" s="16"/>
      <c r="B859" s="16"/>
      <c r="I859" s="17"/>
      <c r="J859" s="17"/>
      <c r="K859" s="17"/>
      <c r="L859" s="17"/>
    </row>
    <row r="860" ht="15.75" customHeight="1">
      <c r="A860" s="16"/>
      <c r="B860" s="16"/>
      <c r="I860" s="17"/>
      <c r="J860" s="17"/>
      <c r="K860" s="17"/>
      <c r="L860" s="17"/>
    </row>
    <row r="861" ht="15.75" customHeight="1">
      <c r="A861" s="16"/>
      <c r="B861" s="16"/>
      <c r="I861" s="17"/>
      <c r="J861" s="17"/>
      <c r="K861" s="17"/>
      <c r="L861" s="17"/>
    </row>
    <row r="862" ht="15.75" customHeight="1">
      <c r="A862" s="16"/>
      <c r="B862" s="16"/>
      <c r="I862" s="17"/>
      <c r="J862" s="17"/>
      <c r="K862" s="17"/>
      <c r="L862" s="17"/>
    </row>
    <row r="863" ht="15.75" customHeight="1">
      <c r="A863" s="16"/>
      <c r="B863" s="16"/>
      <c r="I863" s="17"/>
      <c r="J863" s="17"/>
      <c r="K863" s="17"/>
      <c r="L863" s="17"/>
    </row>
    <row r="864" ht="15.75" customHeight="1">
      <c r="A864" s="16"/>
      <c r="B864" s="16"/>
      <c r="I864" s="17"/>
      <c r="J864" s="17"/>
      <c r="K864" s="17"/>
      <c r="L864" s="17"/>
    </row>
    <row r="865" ht="15.75" customHeight="1">
      <c r="A865" s="16"/>
      <c r="B865" s="16"/>
      <c r="I865" s="17"/>
      <c r="J865" s="17"/>
      <c r="K865" s="17"/>
      <c r="L865" s="17"/>
    </row>
    <row r="866" ht="15.75" customHeight="1">
      <c r="A866" s="16"/>
      <c r="B866" s="16"/>
      <c r="I866" s="17"/>
      <c r="J866" s="17"/>
      <c r="K866" s="17"/>
      <c r="L866" s="17"/>
    </row>
    <row r="867" ht="15.75" customHeight="1">
      <c r="A867" s="16"/>
      <c r="B867" s="16"/>
      <c r="I867" s="17"/>
      <c r="J867" s="17"/>
      <c r="K867" s="17"/>
      <c r="L867" s="17"/>
    </row>
    <row r="868" ht="15.75" customHeight="1">
      <c r="A868" s="16"/>
      <c r="B868" s="16"/>
      <c r="I868" s="17"/>
      <c r="J868" s="17"/>
      <c r="K868" s="17"/>
      <c r="L868" s="17"/>
    </row>
    <row r="869" ht="15.75" customHeight="1">
      <c r="A869" s="16"/>
      <c r="B869" s="16"/>
      <c r="I869" s="17"/>
      <c r="J869" s="17"/>
      <c r="K869" s="17"/>
      <c r="L869" s="17"/>
    </row>
    <row r="870" ht="15.75" customHeight="1">
      <c r="A870" s="16"/>
      <c r="B870" s="16"/>
      <c r="I870" s="17"/>
      <c r="J870" s="17"/>
      <c r="K870" s="17"/>
      <c r="L870" s="17"/>
    </row>
    <row r="871" ht="15.75" customHeight="1">
      <c r="A871" s="16"/>
      <c r="B871" s="16"/>
      <c r="I871" s="17"/>
      <c r="J871" s="17"/>
      <c r="K871" s="17"/>
      <c r="L871" s="17"/>
    </row>
    <row r="872" ht="15.75" customHeight="1">
      <c r="A872" s="16"/>
      <c r="B872" s="16"/>
      <c r="I872" s="17"/>
      <c r="J872" s="17"/>
      <c r="K872" s="17"/>
      <c r="L872" s="17"/>
    </row>
    <row r="873" ht="15.75" customHeight="1">
      <c r="A873" s="16"/>
      <c r="B873" s="16"/>
      <c r="I873" s="17"/>
      <c r="J873" s="17"/>
      <c r="K873" s="17"/>
      <c r="L873" s="17"/>
    </row>
    <row r="874" ht="15.75" customHeight="1">
      <c r="A874" s="16"/>
      <c r="B874" s="16"/>
      <c r="I874" s="17"/>
      <c r="J874" s="17"/>
      <c r="K874" s="17"/>
      <c r="L874" s="17"/>
    </row>
    <row r="875" ht="15.75" customHeight="1">
      <c r="A875" s="16"/>
      <c r="B875" s="16"/>
      <c r="I875" s="17"/>
      <c r="J875" s="17"/>
      <c r="K875" s="17"/>
      <c r="L875" s="17"/>
    </row>
    <row r="876" ht="15.75" customHeight="1">
      <c r="A876" s="16"/>
      <c r="B876" s="16"/>
      <c r="I876" s="17"/>
      <c r="J876" s="17"/>
      <c r="K876" s="17"/>
      <c r="L876" s="17"/>
    </row>
    <row r="877" ht="15.75" customHeight="1">
      <c r="A877" s="16"/>
      <c r="B877" s="16"/>
      <c r="I877" s="17"/>
      <c r="J877" s="17"/>
      <c r="K877" s="17"/>
      <c r="L877" s="17"/>
    </row>
    <row r="878" ht="15.75" customHeight="1">
      <c r="A878" s="16"/>
      <c r="B878" s="16"/>
      <c r="I878" s="17"/>
      <c r="J878" s="17"/>
      <c r="K878" s="17"/>
      <c r="L878" s="17"/>
    </row>
    <row r="879" ht="15.75" customHeight="1">
      <c r="A879" s="16"/>
      <c r="B879" s="16"/>
      <c r="I879" s="17"/>
      <c r="J879" s="17"/>
      <c r="K879" s="17"/>
      <c r="L879" s="17"/>
    </row>
    <row r="880" ht="15.75" customHeight="1">
      <c r="A880" s="16"/>
      <c r="B880" s="16"/>
      <c r="I880" s="17"/>
      <c r="J880" s="17"/>
      <c r="K880" s="17"/>
      <c r="L880" s="17"/>
    </row>
    <row r="881" ht="15.75" customHeight="1">
      <c r="A881" s="16"/>
      <c r="B881" s="16"/>
      <c r="I881" s="17"/>
      <c r="J881" s="17"/>
      <c r="K881" s="17"/>
      <c r="L881" s="17"/>
    </row>
    <row r="882" ht="15.75" customHeight="1">
      <c r="A882" s="16"/>
      <c r="B882" s="16"/>
      <c r="I882" s="17"/>
      <c r="J882" s="17"/>
      <c r="K882" s="17"/>
      <c r="L882" s="17"/>
    </row>
    <row r="883" ht="15.75" customHeight="1">
      <c r="A883" s="16"/>
      <c r="B883" s="16"/>
      <c r="I883" s="17"/>
      <c r="J883" s="17"/>
      <c r="K883" s="17"/>
      <c r="L883" s="17"/>
    </row>
    <row r="884" ht="15.75" customHeight="1">
      <c r="A884" s="16"/>
      <c r="B884" s="16"/>
      <c r="I884" s="17"/>
      <c r="J884" s="17"/>
      <c r="K884" s="17"/>
      <c r="L884" s="17"/>
    </row>
    <row r="885" ht="15.75" customHeight="1">
      <c r="A885" s="16"/>
      <c r="B885" s="16"/>
      <c r="I885" s="17"/>
      <c r="J885" s="17"/>
      <c r="K885" s="17"/>
      <c r="L885" s="17"/>
    </row>
    <row r="886" ht="15.75" customHeight="1">
      <c r="A886" s="16"/>
      <c r="B886" s="16"/>
      <c r="I886" s="17"/>
      <c r="J886" s="17"/>
      <c r="K886" s="17"/>
      <c r="L886" s="17"/>
    </row>
    <row r="887" ht="15.75" customHeight="1">
      <c r="A887" s="16"/>
      <c r="B887" s="16"/>
      <c r="I887" s="17"/>
      <c r="J887" s="17"/>
      <c r="K887" s="17"/>
      <c r="L887" s="17"/>
    </row>
    <row r="888" ht="15.75" customHeight="1">
      <c r="A888" s="16"/>
      <c r="B888" s="16"/>
      <c r="I888" s="17"/>
      <c r="J888" s="17"/>
      <c r="K888" s="17"/>
      <c r="L888" s="17"/>
    </row>
    <row r="889" ht="15.75" customHeight="1">
      <c r="A889" s="16"/>
      <c r="B889" s="16"/>
      <c r="I889" s="17"/>
      <c r="J889" s="17"/>
      <c r="K889" s="17"/>
      <c r="L889" s="17"/>
    </row>
    <row r="890" ht="15.75" customHeight="1">
      <c r="A890" s="16"/>
      <c r="B890" s="16"/>
      <c r="I890" s="17"/>
      <c r="J890" s="17"/>
      <c r="K890" s="17"/>
      <c r="L890" s="17"/>
    </row>
    <row r="891" ht="15.75" customHeight="1">
      <c r="A891" s="16"/>
      <c r="B891" s="16"/>
      <c r="I891" s="17"/>
      <c r="J891" s="17"/>
      <c r="K891" s="17"/>
      <c r="L891" s="17"/>
    </row>
    <row r="892" ht="15.75" customHeight="1">
      <c r="A892" s="16"/>
      <c r="B892" s="16"/>
      <c r="I892" s="17"/>
      <c r="J892" s="17"/>
      <c r="K892" s="17"/>
      <c r="L892" s="17"/>
    </row>
    <row r="893" ht="15.75" customHeight="1">
      <c r="A893" s="16"/>
      <c r="B893" s="16"/>
      <c r="I893" s="17"/>
      <c r="J893" s="17"/>
      <c r="K893" s="17"/>
      <c r="L893" s="17"/>
    </row>
    <row r="894" ht="15.75" customHeight="1">
      <c r="A894" s="16"/>
      <c r="B894" s="16"/>
      <c r="I894" s="17"/>
      <c r="J894" s="17"/>
      <c r="K894" s="17"/>
      <c r="L894" s="17"/>
    </row>
    <row r="895" ht="15.75" customHeight="1">
      <c r="A895" s="16"/>
      <c r="B895" s="16"/>
      <c r="I895" s="17"/>
      <c r="J895" s="17"/>
      <c r="K895" s="17"/>
      <c r="L895" s="17"/>
    </row>
    <row r="896" ht="15.75" customHeight="1">
      <c r="A896" s="16"/>
      <c r="B896" s="16"/>
      <c r="I896" s="17"/>
      <c r="J896" s="17"/>
      <c r="K896" s="17"/>
      <c r="L896" s="17"/>
    </row>
    <row r="897" ht="15.75" customHeight="1">
      <c r="A897" s="16"/>
      <c r="B897" s="16"/>
      <c r="I897" s="17"/>
      <c r="J897" s="17"/>
      <c r="K897" s="17"/>
      <c r="L897" s="17"/>
    </row>
    <row r="898" ht="15.75" customHeight="1">
      <c r="A898" s="16"/>
      <c r="B898" s="16"/>
      <c r="I898" s="17"/>
      <c r="J898" s="17"/>
      <c r="K898" s="17"/>
      <c r="L898" s="17"/>
    </row>
    <row r="899" ht="15.75" customHeight="1">
      <c r="A899" s="16"/>
      <c r="B899" s="16"/>
      <c r="I899" s="17"/>
      <c r="J899" s="17"/>
      <c r="K899" s="17"/>
      <c r="L899" s="17"/>
    </row>
    <row r="900" ht="15.75" customHeight="1">
      <c r="A900" s="16"/>
      <c r="B900" s="16"/>
      <c r="I900" s="17"/>
      <c r="J900" s="17"/>
      <c r="K900" s="17"/>
      <c r="L900" s="17"/>
    </row>
    <row r="901" ht="15.75" customHeight="1">
      <c r="A901" s="16"/>
      <c r="B901" s="16"/>
      <c r="I901" s="17"/>
      <c r="J901" s="17"/>
      <c r="K901" s="17"/>
      <c r="L901" s="17"/>
    </row>
    <row r="902" ht="15.75" customHeight="1">
      <c r="A902" s="16"/>
      <c r="B902" s="16"/>
      <c r="I902" s="17"/>
      <c r="J902" s="17"/>
      <c r="K902" s="17"/>
      <c r="L902" s="17"/>
    </row>
    <row r="903" ht="15.75" customHeight="1">
      <c r="A903" s="16"/>
      <c r="B903" s="16"/>
      <c r="I903" s="17"/>
      <c r="J903" s="17"/>
      <c r="K903" s="17"/>
      <c r="L903" s="17"/>
    </row>
    <row r="904" ht="15.75" customHeight="1">
      <c r="A904" s="16"/>
      <c r="B904" s="16"/>
      <c r="I904" s="17"/>
      <c r="J904" s="17"/>
      <c r="K904" s="17"/>
      <c r="L904" s="17"/>
    </row>
    <row r="905" ht="15.75" customHeight="1">
      <c r="A905" s="16"/>
      <c r="B905" s="16"/>
      <c r="I905" s="17"/>
      <c r="J905" s="17"/>
      <c r="K905" s="17"/>
      <c r="L905" s="17"/>
    </row>
    <row r="906" ht="15.75" customHeight="1">
      <c r="A906" s="16"/>
      <c r="B906" s="16"/>
      <c r="I906" s="17"/>
      <c r="J906" s="17"/>
      <c r="K906" s="17"/>
      <c r="L906" s="17"/>
    </row>
    <row r="907" ht="15.75" customHeight="1">
      <c r="A907" s="16"/>
      <c r="B907" s="16"/>
      <c r="I907" s="17"/>
      <c r="J907" s="17"/>
      <c r="K907" s="17"/>
      <c r="L907" s="17"/>
    </row>
    <row r="908" ht="15.75" customHeight="1">
      <c r="A908" s="16"/>
      <c r="B908" s="16"/>
      <c r="I908" s="17"/>
      <c r="J908" s="17"/>
      <c r="K908" s="17"/>
      <c r="L908" s="17"/>
    </row>
    <row r="909" ht="15.75" customHeight="1">
      <c r="A909" s="16"/>
      <c r="B909" s="16"/>
      <c r="I909" s="17"/>
      <c r="J909" s="17"/>
      <c r="K909" s="17"/>
      <c r="L909" s="17"/>
    </row>
    <row r="910" ht="15.75" customHeight="1">
      <c r="A910" s="16"/>
      <c r="B910" s="16"/>
      <c r="I910" s="17"/>
      <c r="J910" s="17"/>
      <c r="K910" s="17"/>
      <c r="L910" s="17"/>
    </row>
    <row r="911" ht="15.75" customHeight="1">
      <c r="A911" s="16"/>
      <c r="B911" s="16"/>
      <c r="I911" s="17"/>
      <c r="J911" s="17"/>
      <c r="K911" s="17"/>
      <c r="L911" s="17"/>
    </row>
    <row r="912" ht="15.75" customHeight="1">
      <c r="A912" s="16"/>
      <c r="B912" s="16"/>
      <c r="I912" s="17"/>
      <c r="J912" s="17"/>
      <c r="K912" s="17"/>
      <c r="L912" s="17"/>
    </row>
    <row r="913" ht="15.75" customHeight="1">
      <c r="A913" s="16"/>
      <c r="B913" s="16"/>
      <c r="I913" s="17"/>
      <c r="J913" s="17"/>
      <c r="K913" s="17"/>
      <c r="L913" s="17"/>
    </row>
    <row r="914" ht="15.75" customHeight="1">
      <c r="A914" s="16"/>
      <c r="B914" s="16"/>
      <c r="I914" s="17"/>
      <c r="J914" s="17"/>
      <c r="K914" s="17"/>
      <c r="L914" s="17"/>
    </row>
    <row r="915" ht="15.75" customHeight="1">
      <c r="A915" s="16"/>
      <c r="B915" s="16"/>
      <c r="I915" s="17"/>
      <c r="J915" s="17"/>
      <c r="K915" s="17"/>
      <c r="L915" s="17"/>
    </row>
    <row r="916" ht="15.75" customHeight="1">
      <c r="A916" s="16"/>
      <c r="B916" s="16"/>
      <c r="I916" s="17"/>
      <c r="J916" s="17"/>
      <c r="K916" s="17"/>
      <c r="L916" s="17"/>
    </row>
    <row r="917" ht="15.75" customHeight="1">
      <c r="A917" s="16"/>
      <c r="B917" s="16"/>
      <c r="I917" s="17"/>
      <c r="J917" s="17"/>
      <c r="K917" s="17"/>
      <c r="L917" s="17"/>
    </row>
    <row r="918" ht="15.75" customHeight="1">
      <c r="A918" s="16"/>
      <c r="B918" s="16"/>
      <c r="I918" s="17"/>
      <c r="J918" s="17"/>
      <c r="K918" s="17"/>
      <c r="L918" s="17"/>
    </row>
    <row r="919" ht="15.75" customHeight="1">
      <c r="A919" s="16"/>
      <c r="B919" s="16"/>
      <c r="I919" s="17"/>
      <c r="J919" s="17"/>
      <c r="K919" s="17"/>
      <c r="L919" s="17"/>
    </row>
    <row r="920" ht="15.75" customHeight="1">
      <c r="A920" s="16"/>
      <c r="B920" s="16"/>
      <c r="I920" s="17"/>
      <c r="J920" s="17"/>
      <c r="K920" s="17"/>
      <c r="L920" s="17"/>
    </row>
    <row r="921" ht="15.75" customHeight="1">
      <c r="A921" s="16"/>
      <c r="B921" s="16"/>
      <c r="I921" s="17"/>
      <c r="J921" s="17"/>
      <c r="K921" s="17"/>
      <c r="L921" s="17"/>
    </row>
    <row r="922" ht="15.75" customHeight="1">
      <c r="A922" s="16"/>
      <c r="B922" s="16"/>
      <c r="I922" s="17"/>
      <c r="J922" s="17"/>
      <c r="K922" s="17"/>
      <c r="L922" s="17"/>
    </row>
    <row r="923" ht="15.75" customHeight="1">
      <c r="A923" s="16"/>
      <c r="B923" s="16"/>
      <c r="I923" s="17"/>
      <c r="J923" s="17"/>
      <c r="K923" s="17"/>
      <c r="L923" s="17"/>
    </row>
    <row r="924" ht="15.75" customHeight="1">
      <c r="A924" s="16"/>
      <c r="B924" s="16"/>
      <c r="I924" s="17"/>
      <c r="J924" s="17"/>
      <c r="K924" s="17"/>
      <c r="L924" s="17"/>
    </row>
    <row r="925" ht="15.75" customHeight="1">
      <c r="A925" s="16"/>
      <c r="B925" s="16"/>
      <c r="I925" s="17"/>
      <c r="J925" s="17"/>
      <c r="K925" s="17"/>
      <c r="L925" s="17"/>
    </row>
    <row r="926" ht="15.75" customHeight="1">
      <c r="A926" s="16"/>
      <c r="B926" s="16"/>
      <c r="I926" s="17"/>
      <c r="J926" s="17"/>
      <c r="K926" s="17"/>
      <c r="L926" s="17"/>
    </row>
    <row r="927" ht="15.75" customHeight="1">
      <c r="A927" s="16"/>
      <c r="B927" s="16"/>
      <c r="I927" s="17"/>
      <c r="J927" s="17"/>
      <c r="K927" s="17"/>
      <c r="L927" s="17"/>
    </row>
    <row r="928" ht="15.75" customHeight="1">
      <c r="A928" s="16"/>
      <c r="B928" s="16"/>
      <c r="I928" s="17"/>
      <c r="J928" s="17"/>
      <c r="K928" s="17"/>
      <c r="L928" s="17"/>
    </row>
    <row r="929" ht="15.75" customHeight="1">
      <c r="A929" s="16"/>
      <c r="B929" s="16"/>
      <c r="I929" s="17"/>
      <c r="J929" s="17"/>
      <c r="K929" s="17"/>
      <c r="L929" s="17"/>
    </row>
    <row r="930" ht="15.75" customHeight="1">
      <c r="A930" s="16"/>
      <c r="B930" s="16"/>
      <c r="I930" s="17"/>
      <c r="J930" s="17"/>
      <c r="K930" s="17"/>
      <c r="L930" s="17"/>
    </row>
    <row r="931" ht="15.75" customHeight="1">
      <c r="A931" s="16"/>
      <c r="B931" s="16"/>
      <c r="I931" s="17"/>
      <c r="J931" s="17"/>
      <c r="K931" s="17"/>
      <c r="L931" s="17"/>
    </row>
    <row r="932" ht="15.75" customHeight="1">
      <c r="A932" s="16"/>
      <c r="B932" s="16"/>
      <c r="I932" s="17"/>
      <c r="J932" s="17"/>
      <c r="K932" s="17"/>
      <c r="L932" s="17"/>
    </row>
    <row r="933" ht="15.75" customHeight="1">
      <c r="A933" s="16"/>
      <c r="B933" s="16"/>
      <c r="I933" s="17"/>
      <c r="J933" s="17"/>
      <c r="K933" s="17"/>
      <c r="L933" s="17"/>
    </row>
    <row r="934" ht="15.75" customHeight="1">
      <c r="A934" s="16"/>
      <c r="B934" s="16"/>
      <c r="I934" s="17"/>
      <c r="J934" s="17"/>
      <c r="K934" s="17"/>
      <c r="L934" s="17"/>
    </row>
    <row r="935" ht="15.75" customHeight="1">
      <c r="A935" s="16"/>
      <c r="B935" s="16"/>
      <c r="I935" s="17"/>
      <c r="J935" s="17"/>
      <c r="K935" s="17"/>
      <c r="L935" s="17"/>
    </row>
    <row r="936" ht="15.75" customHeight="1">
      <c r="A936" s="16"/>
      <c r="B936" s="16"/>
      <c r="I936" s="17"/>
      <c r="J936" s="17"/>
      <c r="K936" s="17"/>
      <c r="L936" s="17"/>
    </row>
    <row r="937" ht="15.75" customHeight="1">
      <c r="A937" s="16"/>
      <c r="B937" s="16"/>
      <c r="I937" s="17"/>
      <c r="J937" s="17"/>
      <c r="K937" s="17"/>
      <c r="L937" s="17"/>
    </row>
    <row r="938" ht="15.75" customHeight="1">
      <c r="A938" s="16"/>
      <c r="B938" s="16"/>
      <c r="I938" s="17"/>
      <c r="J938" s="17"/>
      <c r="K938" s="17"/>
      <c r="L938" s="17"/>
    </row>
    <row r="939" ht="15.75" customHeight="1">
      <c r="A939" s="16"/>
      <c r="B939" s="16"/>
      <c r="I939" s="17"/>
      <c r="J939" s="17"/>
      <c r="K939" s="17"/>
      <c r="L939" s="17"/>
    </row>
    <row r="940" ht="15.75" customHeight="1">
      <c r="A940" s="16"/>
      <c r="B940" s="16"/>
      <c r="I940" s="17"/>
      <c r="J940" s="17"/>
      <c r="K940" s="17"/>
      <c r="L940" s="17"/>
    </row>
    <row r="941" ht="15.75" customHeight="1">
      <c r="A941" s="16"/>
      <c r="B941" s="16"/>
      <c r="I941" s="17"/>
      <c r="J941" s="17"/>
      <c r="K941" s="17"/>
      <c r="L941" s="17"/>
    </row>
    <row r="942" ht="15.75" customHeight="1">
      <c r="A942" s="16"/>
      <c r="B942" s="16"/>
      <c r="I942" s="17"/>
      <c r="J942" s="17"/>
      <c r="K942" s="17"/>
      <c r="L942" s="17"/>
    </row>
    <row r="943" ht="15.75" customHeight="1">
      <c r="A943" s="16"/>
      <c r="B943" s="16"/>
      <c r="I943" s="17"/>
      <c r="J943" s="17"/>
      <c r="K943" s="17"/>
      <c r="L943" s="17"/>
    </row>
    <row r="944" ht="15.75" customHeight="1">
      <c r="A944" s="16"/>
      <c r="B944" s="16"/>
      <c r="I944" s="17"/>
      <c r="J944" s="17"/>
      <c r="K944" s="17"/>
      <c r="L944" s="17"/>
    </row>
    <row r="945" ht="15.75" customHeight="1">
      <c r="A945" s="16"/>
      <c r="B945" s="16"/>
      <c r="I945" s="17"/>
      <c r="J945" s="17"/>
      <c r="K945" s="17"/>
      <c r="L945" s="17"/>
    </row>
    <row r="946" ht="15.75" customHeight="1">
      <c r="A946" s="16"/>
      <c r="B946" s="16"/>
      <c r="I946" s="17"/>
      <c r="J946" s="17"/>
      <c r="K946" s="17"/>
      <c r="L946" s="17"/>
    </row>
    <row r="947" ht="15.75" customHeight="1">
      <c r="A947" s="16"/>
      <c r="B947" s="16"/>
      <c r="I947" s="17"/>
      <c r="J947" s="17"/>
      <c r="K947" s="17"/>
      <c r="L947" s="17"/>
    </row>
    <row r="948" ht="15.75" customHeight="1">
      <c r="A948" s="16"/>
      <c r="B948" s="16"/>
      <c r="I948" s="17"/>
      <c r="J948" s="17"/>
      <c r="K948" s="17"/>
      <c r="L948" s="17"/>
    </row>
    <row r="949" ht="15.75" customHeight="1">
      <c r="A949" s="16"/>
      <c r="B949" s="16"/>
      <c r="I949" s="17"/>
      <c r="J949" s="17"/>
      <c r="K949" s="17"/>
      <c r="L949" s="17"/>
    </row>
    <row r="950" ht="15.75" customHeight="1">
      <c r="A950" s="16"/>
      <c r="B950" s="16"/>
      <c r="I950" s="17"/>
      <c r="J950" s="17"/>
      <c r="K950" s="17"/>
      <c r="L950" s="17"/>
    </row>
    <row r="951" ht="15.75" customHeight="1">
      <c r="A951" s="16"/>
      <c r="B951" s="16"/>
      <c r="I951" s="17"/>
      <c r="J951" s="17"/>
      <c r="K951" s="17"/>
      <c r="L951" s="17"/>
    </row>
    <row r="952" ht="15.75" customHeight="1">
      <c r="A952" s="16"/>
      <c r="B952" s="16"/>
      <c r="I952" s="17"/>
      <c r="J952" s="17"/>
      <c r="K952" s="17"/>
      <c r="L952" s="17"/>
    </row>
    <row r="953" ht="15.75" customHeight="1">
      <c r="A953" s="16"/>
      <c r="B953" s="16"/>
      <c r="I953" s="17"/>
      <c r="J953" s="17"/>
      <c r="K953" s="17"/>
      <c r="L953" s="17"/>
    </row>
    <row r="954" ht="15.75" customHeight="1">
      <c r="A954" s="16"/>
      <c r="B954" s="16"/>
      <c r="I954" s="17"/>
      <c r="J954" s="17"/>
      <c r="K954" s="17"/>
      <c r="L954" s="17"/>
    </row>
    <row r="955" ht="15.75" customHeight="1">
      <c r="A955" s="16"/>
      <c r="B955" s="16"/>
      <c r="I955" s="17"/>
      <c r="J955" s="17"/>
      <c r="K955" s="17"/>
      <c r="L955" s="17"/>
    </row>
    <row r="956" ht="15.75" customHeight="1">
      <c r="A956" s="16"/>
      <c r="B956" s="16"/>
      <c r="I956" s="17"/>
      <c r="J956" s="17"/>
      <c r="K956" s="17"/>
      <c r="L956" s="17"/>
    </row>
    <row r="957" ht="15.75" customHeight="1">
      <c r="A957" s="16"/>
      <c r="B957" s="16"/>
      <c r="I957" s="17"/>
      <c r="J957" s="17"/>
      <c r="K957" s="17"/>
      <c r="L957" s="17"/>
    </row>
    <row r="958" ht="15.75" customHeight="1">
      <c r="A958" s="16"/>
      <c r="B958" s="16"/>
      <c r="I958" s="17"/>
      <c r="J958" s="17"/>
      <c r="K958" s="17"/>
      <c r="L958" s="17"/>
    </row>
    <row r="959" ht="15.75" customHeight="1">
      <c r="A959" s="16"/>
      <c r="B959" s="16"/>
      <c r="I959" s="17"/>
      <c r="J959" s="17"/>
      <c r="K959" s="17"/>
      <c r="L959" s="17"/>
    </row>
    <row r="960" ht="15.75" customHeight="1">
      <c r="A960" s="16"/>
      <c r="B960" s="16"/>
      <c r="I960" s="17"/>
      <c r="J960" s="17"/>
      <c r="K960" s="17"/>
      <c r="L960" s="17"/>
    </row>
    <row r="961" ht="15.75" customHeight="1">
      <c r="A961" s="16"/>
      <c r="B961" s="16"/>
      <c r="I961" s="17"/>
      <c r="J961" s="17"/>
      <c r="K961" s="17"/>
      <c r="L961" s="17"/>
    </row>
    <row r="962" ht="15.75" customHeight="1">
      <c r="A962" s="16"/>
      <c r="B962" s="16"/>
      <c r="I962" s="17"/>
      <c r="J962" s="17"/>
      <c r="K962" s="17"/>
      <c r="L962" s="17"/>
    </row>
    <row r="963" ht="15.75" customHeight="1">
      <c r="A963" s="16"/>
      <c r="B963" s="16"/>
      <c r="I963" s="17"/>
      <c r="J963" s="17"/>
      <c r="K963" s="17"/>
      <c r="L963" s="17"/>
    </row>
    <row r="964" ht="15.75" customHeight="1">
      <c r="A964" s="16"/>
      <c r="B964" s="16"/>
      <c r="I964" s="17"/>
      <c r="J964" s="17"/>
      <c r="K964" s="17"/>
      <c r="L964" s="17"/>
    </row>
    <row r="965" ht="15.75" customHeight="1">
      <c r="A965" s="16"/>
      <c r="B965" s="16"/>
      <c r="I965" s="17"/>
      <c r="J965" s="17"/>
      <c r="K965" s="17"/>
      <c r="L965" s="17"/>
    </row>
    <row r="966" ht="15.75" customHeight="1">
      <c r="A966" s="16"/>
      <c r="B966" s="16"/>
      <c r="I966" s="17"/>
      <c r="J966" s="17"/>
      <c r="K966" s="17"/>
      <c r="L966" s="17"/>
    </row>
    <row r="967" ht="15.75" customHeight="1">
      <c r="A967" s="16"/>
      <c r="B967" s="16"/>
      <c r="I967" s="17"/>
      <c r="J967" s="17"/>
      <c r="K967" s="17"/>
      <c r="L967" s="17"/>
    </row>
    <row r="968" ht="15.75" customHeight="1">
      <c r="A968" s="16"/>
      <c r="B968" s="16"/>
      <c r="I968" s="17"/>
      <c r="J968" s="17"/>
      <c r="K968" s="17"/>
      <c r="L968" s="17"/>
    </row>
    <row r="969" ht="15.75" customHeight="1">
      <c r="A969" s="16"/>
      <c r="B969" s="16"/>
      <c r="I969" s="17"/>
      <c r="J969" s="17"/>
      <c r="K969" s="17"/>
      <c r="L969" s="17"/>
    </row>
    <row r="970" ht="15.75" customHeight="1">
      <c r="A970" s="16"/>
      <c r="B970" s="16"/>
      <c r="I970" s="17"/>
      <c r="J970" s="17"/>
      <c r="K970" s="17"/>
      <c r="L970" s="17"/>
    </row>
    <row r="971" ht="15.75" customHeight="1">
      <c r="A971" s="16"/>
      <c r="B971" s="16"/>
      <c r="I971" s="17"/>
      <c r="J971" s="17"/>
      <c r="K971" s="17"/>
      <c r="L971" s="17"/>
    </row>
    <row r="972" ht="15.75" customHeight="1">
      <c r="A972" s="16"/>
      <c r="B972" s="16"/>
      <c r="I972" s="17"/>
      <c r="J972" s="17"/>
      <c r="K972" s="17"/>
      <c r="L972" s="17"/>
    </row>
    <row r="973" ht="15.75" customHeight="1">
      <c r="A973" s="16"/>
      <c r="B973" s="16"/>
      <c r="I973" s="17"/>
      <c r="J973" s="17"/>
      <c r="K973" s="17"/>
      <c r="L973" s="17"/>
    </row>
    <row r="974" ht="15.75" customHeight="1">
      <c r="A974" s="16"/>
      <c r="B974" s="16"/>
      <c r="I974" s="17"/>
      <c r="J974" s="17"/>
      <c r="K974" s="17"/>
      <c r="L974" s="17"/>
    </row>
    <row r="975" ht="15.75" customHeight="1">
      <c r="A975" s="16"/>
      <c r="B975" s="16"/>
      <c r="I975" s="17"/>
      <c r="J975" s="17"/>
      <c r="K975" s="17"/>
      <c r="L975" s="17"/>
    </row>
    <row r="976" ht="15.75" customHeight="1">
      <c r="A976" s="16"/>
      <c r="B976" s="16"/>
      <c r="I976" s="17"/>
      <c r="J976" s="17"/>
      <c r="K976" s="17"/>
      <c r="L976" s="17"/>
    </row>
    <row r="977" ht="15.75" customHeight="1">
      <c r="A977" s="16"/>
      <c r="B977" s="16"/>
      <c r="I977" s="17"/>
      <c r="J977" s="17"/>
      <c r="K977" s="17"/>
      <c r="L977" s="17"/>
    </row>
    <row r="978" ht="15.75" customHeight="1">
      <c r="A978" s="16"/>
      <c r="B978" s="16"/>
      <c r="I978" s="17"/>
      <c r="J978" s="17"/>
      <c r="K978" s="17"/>
      <c r="L978" s="17"/>
    </row>
    <row r="979" ht="15.75" customHeight="1">
      <c r="A979" s="16"/>
      <c r="B979" s="16"/>
      <c r="I979" s="17"/>
      <c r="J979" s="17"/>
      <c r="K979" s="17"/>
      <c r="L979" s="17"/>
    </row>
    <row r="980" ht="15.75" customHeight="1">
      <c r="A980" s="16"/>
      <c r="B980" s="16"/>
      <c r="I980" s="17"/>
      <c r="J980" s="17"/>
      <c r="K980" s="17"/>
      <c r="L980" s="17"/>
    </row>
    <row r="981" ht="15.75" customHeight="1">
      <c r="A981" s="16"/>
      <c r="B981" s="16"/>
      <c r="I981" s="17"/>
      <c r="J981" s="17"/>
      <c r="K981" s="17"/>
      <c r="L981" s="17"/>
    </row>
    <row r="982" ht="15.75" customHeight="1">
      <c r="A982" s="16"/>
      <c r="B982" s="16"/>
      <c r="I982" s="17"/>
      <c r="J982" s="17"/>
      <c r="K982" s="17"/>
      <c r="L982" s="17"/>
    </row>
    <row r="983" ht="15.75" customHeight="1">
      <c r="A983" s="16"/>
      <c r="B983" s="16"/>
      <c r="I983" s="17"/>
      <c r="J983" s="17"/>
      <c r="K983" s="17"/>
      <c r="L983" s="17"/>
    </row>
    <row r="984" ht="15.75" customHeight="1">
      <c r="A984" s="16"/>
      <c r="B984" s="16"/>
      <c r="I984" s="17"/>
      <c r="J984" s="17"/>
      <c r="K984" s="17"/>
      <c r="L984" s="17"/>
    </row>
    <row r="985" ht="15.75" customHeight="1">
      <c r="A985" s="16"/>
      <c r="B985" s="16"/>
      <c r="I985" s="17"/>
      <c r="J985" s="17"/>
      <c r="K985" s="17"/>
      <c r="L985" s="17"/>
    </row>
    <row r="986" ht="15.75" customHeight="1">
      <c r="A986" s="16"/>
      <c r="B986" s="16"/>
      <c r="I986" s="17"/>
      <c r="J986" s="17"/>
      <c r="K986" s="17"/>
      <c r="L986" s="17"/>
    </row>
    <row r="987" ht="15.75" customHeight="1">
      <c r="A987" s="16"/>
      <c r="B987" s="16"/>
      <c r="I987" s="17"/>
      <c r="J987" s="17"/>
      <c r="K987" s="17"/>
      <c r="L987" s="17"/>
    </row>
    <row r="988" ht="15.75" customHeight="1">
      <c r="A988" s="16"/>
      <c r="B988" s="16"/>
      <c r="I988" s="17"/>
      <c r="J988" s="17"/>
      <c r="K988" s="17"/>
      <c r="L988" s="17"/>
    </row>
    <row r="989" ht="15.75" customHeight="1">
      <c r="A989" s="16"/>
      <c r="B989" s="16"/>
      <c r="I989" s="17"/>
      <c r="J989" s="17"/>
      <c r="K989" s="17"/>
      <c r="L989" s="17"/>
    </row>
    <row r="990" ht="15.75" customHeight="1">
      <c r="A990" s="16"/>
      <c r="B990" s="16"/>
      <c r="I990" s="17"/>
      <c r="J990" s="17"/>
      <c r="K990" s="17"/>
      <c r="L990" s="17"/>
    </row>
    <row r="991" ht="15.75" customHeight="1">
      <c r="A991" s="16"/>
      <c r="B991" s="16"/>
      <c r="I991" s="17"/>
      <c r="J991" s="17"/>
      <c r="K991" s="17"/>
      <c r="L991" s="17"/>
    </row>
    <row r="992" ht="15.75" customHeight="1">
      <c r="A992" s="16"/>
      <c r="B992" s="16"/>
      <c r="I992" s="17"/>
      <c r="J992" s="17"/>
      <c r="K992" s="17"/>
      <c r="L992" s="17"/>
    </row>
    <row r="993" ht="15.75" customHeight="1">
      <c r="A993" s="16"/>
      <c r="B993" s="16"/>
      <c r="I993" s="17"/>
      <c r="J993" s="17"/>
      <c r="K993" s="17"/>
      <c r="L993" s="17"/>
    </row>
    <row r="994" ht="15.75" customHeight="1">
      <c r="A994" s="16"/>
      <c r="B994" s="16"/>
      <c r="I994" s="17"/>
      <c r="J994" s="17"/>
      <c r="K994" s="17"/>
      <c r="L994" s="17"/>
    </row>
    <row r="995" ht="15.75" customHeight="1">
      <c r="A995" s="16"/>
      <c r="B995" s="16"/>
      <c r="I995" s="17"/>
      <c r="J995" s="17"/>
      <c r="K995" s="17"/>
      <c r="L995" s="17"/>
    </row>
    <row r="996" ht="15.75" customHeight="1">
      <c r="A996" s="16"/>
      <c r="B996" s="16"/>
      <c r="I996" s="17"/>
      <c r="J996" s="17"/>
      <c r="K996" s="17"/>
      <c r="L996" s="17"/>
    </row>
    <row r="997" ht="15.75" customHeight="1">
      <c r="A997" s="16"/>
      <c r="B997" s="16"/>
      <c r="I997" s="17"/>
      <c r="J997" s="17"/>
      <c r="K997" s="17"/>
      <c r="L997" s="17"/>
    </row>
    <row r="998" ht="15.75" customHeight="1">
      <c r="A998" s="16"/>
      <c r="B998" s="16"/>
      <c r="I998" s="17"/>
      <c r="J998" s="17"/>
      <c r="K998" s="17"/>
      <c r="L998" s="17"/>
    </row>
    <row r="999" ht="15.75" customHeight="1">
      <c r="A999" s="16"/>
      <c r="B999" s="16"/>
      <c r="I999" s="17"/>
      <c r="J999" s="17"/>
      <c r="K999" s="17"/>
      <c r="L999" s="17"/>
    </row>
    <row r="1000" ht="15.75" customHeight="1">
      <c r="A1000" s="16"/>
      <c r="B1000" s="16"/>
      <c r="I1000" s="17"/>
      <c r="J1000" s="17"/>
      <c r="K1000" s="17"/>
      <c r="L1000" s="17"/>
    </row>
  </sheetData>
  <autoFilter ref="$A$1:$M$254">
    <filterColumn colId="1">
      <filters blank="1">
        <filter val="11-Aug"/>
        <filter val="10-Oct"/>
        <filter val="2-Jan"/>
        <filter val="19-Oct"/>
        <filter val="1-Feb"/>
        <filter val="22-May"/>
        <filter val="16-Feb"/>
        <filter val="4-Oct"/>
        <filter val="28-Feb"/>
        <filter val="25-Oct"/>
        <filter val="15-Dec"/>
        <filter val="16-May"/>
        <filter val="23-Aug"/>
        <filter val="27-Dec"/>
        <filter val="28-May"/>
        <filter val="12-Dec"/>
        <filter val="21-Dec"/>
        <filter val="8-Aug"/>
        <filter val="13-Oct"/>
        <filter val="23-Jan"/>
        <filter val="5-Jan"/>
        <filter val="1-May"/>
        <filter val="14-Aug"/>
        <filter val="17-Jan"/>
        <filter val="7-Oct"/>
        <filter val="9-Dec"/>
        <filter val="22-Feb"/>
        <filter val="28-Oct"/>
        <filter val="29-Aug"/>
        <filter val="20-Aug"/>
        <filter val="25-Feb"/>
        <filter val="26-Jan"/>
        <filter val="24-Dec"/>
        <filter val="31-May"/>
        <filter val="13-May"/>
        <filter val="1-Oct"/>
        <filter val="3-Dec"/>
        <filter val="2-Aug"/>
        <filter val="11-Jan"/>
        <filter val="7-May"/>
        <filter val="30-Dec"/>
        <filter val="4-Feb"/>
        <filter val="13-Feb"/>
        <filter val="10-May"/>
        <filter val="14-Jan"/>
        <filter val="6-Dec"/>
        <filter val="8-Jan"/>
        <filter val="7-Feb"/>
        <filter val="17-Aug"/>
        <filter val="22-Oct"/>
        <filter val="4-May"/>
        <filter val="31-Oct"/>
        <filter val="10-Feb"/>
        <filter val="20-Jan"/>
        <filter val="19-Feb"/>
        <filter val="25-May"/>
        <filter val="26-Aug"/>
        <filter val="16-Oct"/>
        <filter val="18-Dec"/>
        <filter val="19-May"/>
        <filter val="29-Jan"/>
        <filter val="5-Aug"/>
      </filters>
    </filterColumn>
  </autoFilter>
  <mergeCells count="9">
    <mergeCell ref="A253:F253"/>
    <mergeCell ref="A254:F254"/>
    <mergeCell ref="A246:F246"/>
    <mergeCell ref="A247:F247"/>
    <mergeCell ref="A248:F248"/>
    <mergeCell ref="A249:F249"/>
    <mergeCell ref="A250:F250"/>
    <mergeCell ref="A251:F251"/>
    <mergeCell ref="A252:F25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9" t="str">
        <f>IFERROR(__xludf.DUMMYFUNCTION("QUERY(FoodSales!A1:M1000,""select A,B,E,H"",1)"),"ID")</f>
        <v>ID</v>
      </c>
      <c r="B1" s="19" t="str">
        <f>IFERROR(__xludf.DUMMYFUNCTION("""COMPUTED_VALUE"""),"Date")</f>
        <v>Date</v>
      </c>
      <c r="C1" s="19" t="str">
        <f>IFERROR(__xludf.DUMMYFUNCTION("""COMPUTED_VALUE"""),"Category")</f>
        <v>Category</v>
      </c>
      <c r="D1" s="19" t="str">
        <f>IFERROR(__xludf.DUMMYFUNCTION("""COMPUTED_VALUE"""),"Unit Price")</f>
        <v>Unit Price</v>
      </c>
      <c r="F1" s="20" t="s">
        <v>287</v>
      </c>
    </row>
    <row r="2">
      <c r="A2" s="19" t="str">
        <f>IFERROR(__xludf.DUMMYFUNCTION("""COMPUTED_VALUE"""),"ID07351")</f>
        <v>ID07351</v>
      </c>
      <c r="B2" s="21">
        <f>IFERROR(__xludf.DUMMYFUNCTION("""COMPUTED_VALUE"""),44562.0)</f>
        <v>44562</v>
      </c>
      <c r="C2" s="19" t="str">
        <f>IFERROR(__xludf.DUMMYFUNCTION("""COMPUTED_VALUE"""),"Bars")</f>
        <v>Bars</v>
      </c>
      <c r="D2" s="19">
        <f>IFERROR(__xludf.DUMMYFUNCTION("""COMPUTED_VALUE"""),1.7699999999999998)</f>
        <v>1.77</v>
      </c>
      <c r="F2" s="19" t="str">
        <f>IFERROR(__xludf.DUMMYFUNCTION("QUERY(FoodSales!D2:D245,""select * where D = 'New York'"")"),"New York")</f>
        <v>New York</v>
      </c>
    </row>
    <row r="3">
      <c r="A3" s="19" t="str">
        <f>IFERROR(__xludf.DUMMYFUNCTION("""COMPUTED_VALUE"""),"ID07352")</f>
        <v>ID07352</v>
      </c>
      <c r="B3" s="21">
        <f>IFERROR(__xludf.DUMMYFUNCTION("""COMPUTED_VALUE"""),44565.0)</f>
        <v>44565</v>
      </c>
      <c r="C3" s="19" t="str">
        <f>IFERROR(__xludf.DUMMYFUNCTION("""COMPUTED_VALUE"""),"Crackers")</f>
        <v>Crackers</v>
      </c>
      <c r="D3" s="19">
        <f>IFERROR(__xludf.DUMMYFUNCTION("""COMPUTED_VALUE"""),3.4899999999999998)</f>
        <v>3.49</v>
      </c>
      <c r="F3" s="19" t="str">
        <f>IFERROR(__xludf.DUMMYFUNCTION("""COMPUTED_VALUE"""),"New York")</f>
        <v>New York</v>
      </c>
    </row>
    <row r="4">
      <c r="A4" s="19" t="str">
        <f>IFERROR(__xludf.DUMMYFUNCTION("""COMPUTED_VALUE"""),"ID07354")</f>
        <v>ID07354</v>
      </c>
      <c r="B4" s="21">
        <f>IFERROR(__xludf.DUMMYFUNCTION("""COMPUTED_VALUE"""),44571.0)</f>
        <v>44571</v>
      </c>
      <c r="C4" s="19" t="str">
        <f>IFERROR(__xludf.DUMMYFUNCTION("""COMPUTED_VALUE"""),"Cookies")</f>
        <v>Cookies</v>
      </c>
      <c r="D4" s="19">
        <f>IFERROR(__xludf.DUMMYFUNCTION("""COMPUTED_VALUE"""),1.87)</f>
        <v>1.87</v>
      </c>
      <c r="F4" s="19" t="str">
        <f>IFERROR(__xludf.DUMMYFUNCTION("""COMPUTED_VALUE"""),"New York")</f>
        <v>New York</v>
      </c>
    </row>
    <row r="5">
      <c r="A5" s="19" t="str">
        <f>IFERROR(__xludf.DUMMYFUNCTION("""COMPUTED_VALUE"""),"ID07355")</f>
        <v>ID07355</v>
      </c>
      <c r="B5" s="21">
        <f>IFERROR(__xludf.DUMMYFUNCTION("""COMPUTED_VALUE"""),44574.0)</f>
        <v>44574</v>
      </c>
      <c r="C5" s="19" t="str">
        <f>IFERROR(__xludf.DUMMYFUNCTION("""COMPUTED_VALUE"""),"Cookies")</f>
        <v>Cookies</v>
      </c>
      <c r="D5" s="19">
        <f>IFERROR(__xludf.DUMMYFUNCTION("""COMPUTED_VALUE"""),2.18)</f>
        <v>2.18</v>
      </c>
      <c r="F5" s="19" t="str">
        <f>IFERROR(__xludf.DUMMYFUNCTION("""COMPUTED_VALUE"""),"New York")</f>
        <v>New York</v>
      </c>
    </row>
    <row r="6">
      <c r="A6" s="19" t="str">
        <f>IFERROR(__xludf.DUMMYFUNCTION("""COMPUTED_VALUE"""),"ID07356")</f>
        <v>ID07356</v>
      </c>
      <c r="B6" s="21">
        <f>IFERROR(__xludf.DUMMYFUNCTION("""COMPUTED_VALUE"""),44577.0)</f>
        <v>44577</v>
      </c>
      <c r="C6" s="19" t="str">
        <f>IFERROR(__xludf.DUMMYFUNCTION("""COMPUTED_VALUE"""),"Bars")</f>
        <v>Bars</v>
      </c>
      <c r="D6" s="19">
        <f>IFERROR(__xludf.DUMMYFUNCTION("""COMPUTED_VALUE"""),1.77)</f>
        <v>1.77</v>
      </c>
      <c r="F6" s="19" t="str">
        <f>IFERROR(__xludf.DUMMYFUNCTION("""COMPUTED_VALUE"""),"New York")</f>
        <v>New York</v>
      </c>
    </row>
    <row r="7">
      <c r="A7" s="19" t="str">
        <f>IFERROR(__xludf.DUMMYFUNCTION("""COMPUTED_VALUE"""),"ID07357")</f>
        <v>ID07357</v>
      </c>
      <c r="B7" s="21">
        <f>IFERROR(__xludf.DUMMYFUNCTION("""COMPUTED_VALUE"""),44580.0)</f>
        <v>44580</v>
      </c>
      <c r="C7" s="19" t="str">
        <f>IFERROR(__xludf.DUMMYFUNCTION("""COMPUTED_VALUE"""),"Crackers")</f>
        <v>Crackers</v>
      </c>
      <c r="D7" s="19">
        <f>IFERROR(__xludf.DUMMYFUNCTION("""COMPUTED_VALUE"""),3.4899999999999998)</f>
        <v>3.49</v>
      </c>
      <c r="F7" s="19" t="str">
        <f>IFERROR(__xludf.DUMMYFUNCTION("""COMPUTED_VALUE"""),"New York")</f>
        <v>New York</v>
      </c>
    </row>
    <row r="8">
      <c r="A8" s="19" t="str">
        <f>IFERROR(__xludf.DUMMYFUNCTION("""COMPUTED_VALUE"""),"ID07359")</f>
        <v>ID07359</v>
      </c>
      <c r="B8" s="21">
        <f>IFERROR(__xludf.DUMMYFUNCTION("""COMPUTED_VALUE"""),44586.0)</f>
        <v>44586</v>
      </c>
      <c r="C8" s="19" t="str">
        <f>IFERROR(__xludf.DUMMYFUNCTION("""COMPUTED_VALUE"""),"Bars")</f>
        <v>Bars</v>
      </c>
      <c r="D8" s="19">
        <f>IFERROR(__xludf.DUMMYFUNCTION("""COMPUTED_VALUE"""),1.77)</f>
        <v>1.77</v>
      </c>
      <c r="F8" s="19" t="str">
        <f>IFERROR(__xludf.DUMMYFUNCTION("""COMPUTED_VALUE"""),"New York")</f>
        <v>New York</v>
      </c>
    </row>
    <row r="9">
      <c r="A9" s="19" t="str">
        <f>IFERROR(__xludf.DUMMYFUNCTION("""COMPUTED_VALUE"""),"ID07360")</f>
        <v>ID07360</v>
      </c>
      <c r="B9" s="21">
        <f>IFERROR(__xludf.DUMMYFUNCTION("""COMPUTED_VALUE"""),44589.0)</f>
        <v>44589</v>
      </c>
      <c r="C9" s="19" t="str">
        <f>IFERROR(__xludf.DUMMYFUNCTION("""COMPUTED_VALUE"""),"Snacks")</f>
        <v>Snacks</v>
      </c>
      <c r="D9" s="19">
        <f>IFERROR(__xludf.DUMMYFUNCTION("""COMPUTED_VALUE"""),1.35)</f>
        <v>1.35</v>
      </c>
      <c r="F9" s="19" t="str">
        <f>IFERROR(__xludf.DUMMYFUNCTION("""COMPUTED_VALUE"""),"New York")</f>
        <v>New York</v>
      </c>
    </row>
    <row r="10">
      <c r="A10" s="19" t="str">
        <f>IFERROR(__xludf.DUMMYFUNCTION("""COMPUTED_VALUE"""),"ID07361")</f>
        <v>ID07361</v>
      </c>
      <c r="B10" s="21">
        <f>IFERROR(__xludf.DUMMYFUNCTION("""COMPUTED_VALUE"""),44592.0)</f>
        <v>44592</v>
      </c>
      <c r="C10" s="19" t="str">
        <f>IFERROR(__xludf.DUMMYFUNCTION("""COMPUTED_VALUE"""),"Cookies")</f>
        <v>Cookies</v>
      </c>
      <c r="D10" s="19">
        <f>IFERROR(__xludf.DUMMYFUNCTION("""COMPUTED_VALUE"""),2.18)</f>
        <v>2.18</v>
      </c>
      <c r="F10" s="19" t="str">
        <f>IFERROR(__xludf.DUMMYFUNCTION("""COMPUTED_VALUE"""),"New York")</f>
        <v>New York</v>
      </c>
    </row>
    <row r="11">
      <c r="A11" s="19" t="str">
        <f>IFERROR(__xludf.DUMMYFUNCTION("""COMPUTED_VALUE"""),"ID07362")</f>
        <v>ID07362</v>
      </c>
      <c r="B11" s="21">
        <f>IFERROR(__xludf.DUMMYFUNCTION("""COMPUTED_VALUE"""),44595.0)</f>
        <v>44595</v>
      </c>
      <c r="C11" s="19" t="str">
        <f>IFERROR(__xludf.DUMMYFUNCTION("""COMPUTED_VALUE"""),"Cookies")</f>
        <v>Cookies</v>
      </c>
      <c r="D11" s="19">
        <f>IFERROR(__xludf.DUMMYFUNCTION("""COMPUTED_VALUE"""),1.8699999999999999)</f>
        <v>1.87</v>
      </c>
      <c r="F11" s="19" t="str">
        <f>IFERROR(__xludf.DUMMYFUNCTION("""COMPUTED_VALUE"""),"New York")</f>
        <v>New York</v>
      </c>
    </row>
    <row r="12">
      <c r="A12" s="19" t="str">
        <f>IFERROR(__xludf.DUMMYFUNCTION("""COMPUTED_VALUE"""),"ID07363")</f>
        <v>ID07363</v>
      </c>
      <c r="B12" s="21">
        <f>IFERROR(__xludf.DUMMYFUNCTION("""COMPUTED_VALUE"""),44598.0)</f>
        <v>44598</v>
      </c>
      <c r="C12" s="19" t="str">
        <f>IFERROR(__xludf.DUMMYFUNCTION("""COMPUTED_VALUE"""),"Crackers")</f>
        <v>Crackers</v>
      </c>
      <c r="D12" s="19">
        <f>IFERROR(__xludf.DUMMYFUNCTION("""COMPUTED_VALUE"""),3.4899999999999998)</f>
        <v>3.49</v>
      </c>
      <c r="F12" s="19" t="str">
        <f>IFERROR(__xludf.DUMMYFUNCTION("""COMPUTED_VALUE"""),"New York")</f>
        <v>New York</v>
      </c>
    </row>
    <row r="13">
      <c r="A13" s="19" t="str">
        <f>IFERROR(__xludf.DUMMYFUNCTION("""COMPUTED_VALUE"""),"ID07365")</f>
        <v>ID07365</v>
      </c>
      <c r="B13" s="21">
        <f>IFERROR(__xludf.DUMMYFUNCTION("""COMPUTED_VALUE"""),44604.0)</f>
        <v>44604</v>
      </c>
      <c r="C13" s="19" t="str">
        <f>IFERROR(__xludf.DUMMYFUNCTION("""COMPUTED_VALUE"""),"Bars")</f>
        <v>Bars</v>
      </c>
      <c r="D13" s="19">
        <f>IFERROR(__xludf.DUMMYFUNCTION("""COMPUTED_VALUE"""),1.77)</f>
        <v>1.77</v>
      </c>
      <c r="F13" s="19" t="str">
        <f>IFERROR(__xludf.DUMMYFUNCTION("""COMPUTED_VALUE"""),"New York")</f>
        <v>New York</v>
      </c>
    </row>
    <row r="14">
      <c r="A14" s="19" t="str">
        <f>IFERROR(__xludf.DUMMYFUNCTION("""COMPUTED_VALUE"""),"ID07366")</f>
        <v>ID07366</v>
      </c>
      <c r="B14" s="21">
        <f>IFERROR(__xludf.DUMMYFUNCTION("""COMPUTED_VALUE"""),44607.0)</f>
        <v>44607</v>
      </c>
      <c r="C14" s="19" t="str">
        <f>IFERROR(__xludf.DUMMYFUNCTION("""COMPUTED_VALUE"""),"Snacks")</f>
        <v>Snacks</v>
      </c>
      <c r="D14" s="19">
        <f>IFERROR(__xludf.DUMMYFUNCTION("""COMPUTED_VALUE"""),1.35)</f>
        <v>1.35</v>
      </c>
      <c r="F14" s="19" t="str">
        <f>IFERROR(__xludf.DUMMYFUNCTION("""COMPUTED_VALUE"""),"New York")</f>
        <v>New York</v>
      </c>
    </row>
    <row r="15">
      <c r="A15" s="19" t="str">
        <f>IFERROR(__xludf.DUMMYFUNCTION("""COMPUTED_VALUE"""),"ID07367")</f>
        <v>ID07367</v>
      </c>
      <c r="B15" s="21">
        <f>IFERROR(__xludf.DUMMYFUNCTION("""COMPUTED_VALUE"""),44610.0)</f>
        <v>44610</v>
      </c>
      <c r="C15" s="19" t="str">
        <f>IFERROR(__xludf.DUMMYFUNCTION("""COMPUTED_VALUE"""),"Cookies")</f>
        <v>Cookies</v>
      </c>
      <c r="D15" s="19">
        <f>IFERROR(__xludf.DUMMYFUNCTION("""COMPUTED_VALUE"""),2.1799999999999997)</f>
        <v>2.18</v>
      </c>
      <c r="F15" s="19" t="str">
        <f>IFERROR(__xludf.DUMMYFUNCTION("""COMPUTED_VALUE"""),"New York")</f>
        <v>New York</v>
      </c>
    </row>
    <row r="16">
      <c r="A16" s="19" t="str">
        <f>IFERROR(__xludf.DUMMYFUNCTION("""COMPUTED_VALUE"""),"ID07368")</f>
        <v>ID07368</v>
      </c>
      <c r="B16" s="21">
        <f>IFERROR(__xludf.DUMMYFUNCTION("""COMPUTED_VALUE"""),44613.0)</f>
        <v>44613</v>
      </c>
      <c r="C16" s="19" t="str">
        <f>IFERROR(__xludf.DUMMYFUNCTION("""COMPUTED_VALUE"""),"Cookies")</f>
        <v>Cookies</v>
      </c>
      <c r="D16" s="19">
        <f>IFERROR(__xludf.DUMMYFUNCTION("""COMPUTED_VALUE"""),2.84)</f>
        <v>2.84</v>
      </c>
      <c r="F16" s="19" t="str">
        <f>IFERROR(__xludf.DUMMYFUNCTION("""COMPUTED_VALUE"""),"New York")</f>
        <v>New York</v>
      </c>
    </row>
    <row r="17">
      <c r="A17" s="19" t="str">
        <f>IFERROR(__xludf.DUMMYFUNCTION("""COMPUTED_VALUE"""),"ID07371")</f>
        <v>ID07371</v>
      </c>
      <c r="B17" s="21">
        <f>IFERROR(__xludf.DUMMYFUNCTION("""COMPUTED_VALUE"""),44622.0)</f>
        <v>44622</v>
      </c>
      <c r="C17" s="19" t="str">
        <f>IFERROR(__xludf.DUMMYFUNCTION("""COMPUTED_VALUE"""),"Cookies")</f>
        <v>Cookies</v>
      </c>
      <c r="D17" s="19">
        <f>IFERROR(__xludf.DUMMYFUNCTION("""COMPUTED_VALUE"""),1.8699999999999999)</f>
        <v>1.87</v>
      </c>
      <c r="F17" s="19" t="str">
        <f>IFERROR(__xludf.DUMMYFUNCTION("""COMPUTED_VALUE"""),"New York")</f>
        <v>New York</v>
      </c>
    </row>
    <row r="18">
      <c r="A18" s="19" t="str">
        <f>IFERROR(__xludf.DUMMYFUNCTION("""COMPUTED_VALUE"""),"ID07373")</f>
        <v>ID07373</v>
      </c>
      <c r="B18" s="21">
        <f>IFERROR(__xludf.DUMMYFUNCTION("""COMPUTED_VALUE"""),44628.0)</f>
        <v>44628</v>
      </c>
      <c r="C18" s="19" t="str">
        <f>IFERROR(__xludf.DUMMYFUNCTION("""COMPUTED_VALUE"""),"Bars")</f>
        <v>Bars</v>
      </c>
      <c r="D18" s="19">
        <f>IFERROR(__xludf.DUMMYFUNCTION("""COMPUTED_VALUE"""),1.77)</f>
        <v>1.77</v>
      </c>
      <c r="F18" s="19" t="str">
        <f>IFERROR(__xludf.DUMMYFUNCTION("""COMPUTED_VALUE"""),"New York")</f>
        <v>New York</v>
      </c>
    </row>
    <row r="19">
      <c r="A19" s="19" t="str">
        <f>IFERROR(__xludf.DUMMYFUNCTION("""COMPUTED_VALUE"""),"ID07374")</f>
        <v>ID07374</v>
      </c>
      <c r="B19" s="21">
        <f>IFERROR(__xludf.DUMMYFUNCTION("""COMPUTED_VALUE"""),44631.0)</f>
        <v>44631</v>
      </c>
      <c r="C19" s="19" t="str">
        <f>IFERROR(__xludf.DUMMYFUNCTION("""COMPUTED_VALUE"""),"Crackers")</f>
        <v>Crackers</v>
      </c>
      <c r="D19" s="19">
        <f>IFERROR(__xludf.DUMMYFUNCTION("""COMPUTED_VALUE"""),3.4899999999999998)</f>
        <v>3.49</v>
      </c>
      <c r="F19" s="19" t="str">
        <f>IFERROR(__xludf.DUMMYFUNCTION("""COMPUTED_VALUE"""),"New York")</f>
        <v>New York</v>
      </c>
    </row>
    <row r="20">
      <c r="A20" s="19" t="str">
        <f>IFERROR(__xludf.DUMMYFUNCTION("""COMPUTED_VALUE"""),"ID07376")</f>
        <v>ID07376</v>
      </c>
      <c r="B20" s="21">
        <f>IFERROR(__xludf.DUMMYFUNCTION("""COMPUTED_VALUE"""),44637.0)</f>
        <v>44637</v>
      </c>
      <c r="C20" s="19" t="str">
        <f>IFERROR(__xludf.DUMMYFUNCTION("""COMPUTED_VALUE"""),"Bars")</f>
        <v>Bars</v>
      </c>
      <c r="D20" s="19">
        <f>IFERROR(__xludf.DUMMYFUNCTION("""COMPUTED_VALUE"""),1.7700000000000002)</f>
        <v>1.77</v>
      </c>
      <c r="F20" s="19" t="str">
        <f>IFERROR(__xludf.DUMMYFUNCTION("""COMPUTED_VALUE"""),"New York")</f>
        <v>New York</v>
      </c>
    </row>
    <row r="21">
      <c r="A21" s="19" t="str">
        <f>IFERROR(__xludf.DUMMYFUNCTION("""COMPUTED_VALUE"""),"ID07377")</f>
        <v>ID07377</v>
      </c>
      <c r="B21" s="21">
        <f>IFERROR(__xludf.DUMMYFUNCTION("""COMPUTED_VALUE"""),44640.0)</f>
        <v>44640</v>
      </c>
      <c r="C21" s="19" t="str">
        <f>IFERROR(__xludf.DUMMYFUNCTION("""COMPUTED_VALUE"""),"Snacks")</f>
        <v>Snacks</v>
      </c>
      <c r="D21" s="19">
        <f>IFERROR(__xludf.DUMMYFUNCTION("""COMPUTED_VALUE"""),1.68)</f>
        <v>1.68</v>
      </c>
      <c r="F21" s="19" t="str">
        <f>IFERROR(__xludf.DUMMYFUNCTION("""COMPUTED_VALUE"""),"New York")</f>
        <v>New York</v>
      </c>
    </row>
    <row r="22">
      <c r="A22" s="19" t="str">
        <f>IFERROR(__xludf.DUMMYFUNCTION("""COMPUTED_VALUE"""),"ID07379")</f>
        <v>ID07379</v>
      </c>
      <c r="B22" s="21">
        <f>IFERROR(__xludf.DUMMYFUNCTION("""COMPUTED_VALUE"""),44646.0)</f>
        <v>44646</v>
      </c>
      <c r="C22" s="19" t="str">
        <f>IFERROR(__xludf.DUMMYFUNCTION("""COMPUTED_VALUE"""),"Bars")</f>
        <v>Bars</v>
      </c>
      <c r="D22" s="19">
        <f>IFERROR(__xludf.DUMMYFUNCTION("""COMPUTED_VALUE"""),1.87)</f>
        <v>1.87</v>
      </c>
      <c r="F22" s="19" t="str">
        <f>IFERROR(__xludf.DUMMYFUNCTION("""COMPUTED_VALUE"""),"New York")</f>
        <v>New York</v>
      </c>
    </row>
    <row r="23">
      <c r="A23" s="19" t="str">
        <f>IFERROR(__xludf.DUMMYFUNCTION("""COMPUTED_VALUE"""),"ID07380")</f>
        <v>ID07380</v>
      </c>
      <c r="B23" s="21">
        <f>IFERROR(__xludf.DUMMYFUNCTION("""COMPUTED_VALUE"""),44649.0)</f>
        <v>44649</v>
      </c>
      <c r="C23" s="19" t="str">
        <f>IFERROR(__xludf.DUMMYFUNCTION("""COMPUTED_VALUE"""),"Cookies")</f>
        <v>Cookies</v>
      </c>
      <c r="D23" s="19">
        <f>IFERROR(__xludf.DUMMYFUNCTION("""COMPUTED_VALUE"""),2.84)</f>
        <v>2.84</v>
      </c>
      <c r="F23" s="19" t="str">
        <f>IFERROR(__xludf.DUMMYFUNCTION("""COMPUTED_VALUE"""),"New York")</f>
        <v>New York</v>
      </c>
    </row>
    <row r="24">
      <c r="A24" s="19" t="str">
        <f>IFERROR(__xludf.DUMMYFUNCTION("""COMPUTED_VALUE"""),"ID07383")</f>
        <v>ID07383</v>
      </c>
      <c r="B24" s="21">
        <f>IFERROR(__xludf.DUMMYFUNCTION("""COMPUTED_VALUE"""),44658.0)</f>
        <v>44658</v>
      </c>
      <c r="C24" s="19" t="str">
        <f>IFERROR(__xludf.DUMMYFUNCTION("""COMPUTED_VALUE"""),"Bars")</f>
        <v>Bars</v>
      </c>
      <c r="D24" s="19">
        <f>IFERROR(__xludf.DUMMYFUNCTION("""COMPUTED_VALUE"""),1.77)</f>
        <v>1.77</v>
      </c>
      <c r="F24" s="19" t="str">
        <f>IFERROR(__xludf.DUMMYFUNCTION("""COMPUTED_VALUE"""),"New York")</f>
        <v>New York</v>
      </c>
    </row>
    <row r="25">
      <c r="A25" s="19" t="str">
        <f>IFERROR(__xludf.DUMMYFUNCTION("""COMPUTED_VALUE"""),"ID07384")</f>
        <v>ID07384</v>
      </c>
      <c r="B25" s="21">
        <f>IFERROR(__xludf.DUMMYFUNCTION("""COMPUTED_VALUE"""),44661.0)</f>
        <v>44661</v>
      </c>
      <c r="C25" s="19" t="str">
        <f>IFERROR(__xludf.DUMMYFUNCTION("""COMPUTED_VALUE"""),"Crackers")</f>
        <v>Crackers</v>
      </c>
      <c r="D25" s="19">
        <f>IFERROR(__xludf.DUMMYFUNCTION("""COMPUTED_VALUE"""),3.4899999999999998)</f>
        <v>3.49</v>
      </c>
      <c r="F25" s="19" t="str">
        <f>IFERROR(__xludf.DUMMYFUNCTION("""COMPUTED_VALUE"""),"New York")</f>
        <v>New York</v>
      </c>
    </row>
    <row r="26">
      <c r="A26" s="19" t="str">
        <f>IFERROR(__xludf.DUMMYFUNCTION("""COMPUTED_VALUE"""),"ID07386")</f>
        <v>ID07386</v>
      </c>
      <c r="B26" s="21">
        <f>IFERROR(__xludf.DUMMYFUNCTION("""COMPUTED_VALUE"""),44667.0)</f>
        <v>44667</v>
      </c>
      <c r="C26" s="19" t="str">
        <f>IFERROR(__xludf.DUMMYFUNCTION("""COMPUTED_VALUE"""),"Bars")</f>
        <v>Bars</v>
      </c>
      <c r="D26" s="19">
        <f>IFERROR(__xludf.DUMMYFUNCTION("""COMPUTED_VALUE"""),1.7699999999999998)</f>
        <v>1.77</v>
      </c>
      <c r="F26" s="19" t="str">
        <f>IFERROR(__xludf.DUMMYFUNCTION("""COMPUTED_VALUE"""),"New York")</f>
        <v>New York</v>
      </c>
    </row>
    <row r="27">
      <c r="A27" s="19" t="str">
        <f>IFERROR(__xludf.DUMMYFUNCTION("""COMPUTED_VALUE"""),"ID07387")</f>
        <v>ID07387</v>
      </c>
      <c r="B27" s="21">
        <f>IFERROR(__xludf.DUMMYFUNCTION("""COMPUTED_VALUE"""),44670.0)</f>
        <v>44670</v>
      </c>
      <c r="C27" s="19" t="str">
        <f>IFERROR(__xludf.DUMMYFUNCTION("""COMPUTED_VALUE"""),"Snacks")</f>
        <v>Snacks</v>
      </c>
      <c r="D27" s="19">
        <f>IFERROR(__xludf.DUMMYFUNCTION("""COMPUTED_VALUE"""),1.68)</f>
        <v>1.68</v>
      </c>
      <c r="F27" s="19" t="str">
        <f>IFERROR(__xludf.DUMMYFUNCTION("""COMPUTED_VALUE"""),"New York")</f>
        <v>New York</v>
      </c>
    </row>
    <row r="28">
      <c r="A28" s="19" t="str">
        <f>IFERROR(__xludf.DUMMYFUNCTION("""COMPUTED_VALUE"""),"ID07389")</f>
        <v>ID07389</v>
      </c>
      <c r="B28" s="21">
        <f>IFERROR(__xludf.DUMMYFUNCTION("""COMPUTED_VALUE"""),44676.0)</f>
        <v>44676</v>
      </c>
      <c r="C28" s="19" t="str">
        <f>IFERROR(__xludf.DUMMYFUNCTION("""COMPUTED_VALUE"""),"Bars")</f>
        <v>Bars</v>
      </c>
      <c r="D28" s="19">
        <f>IFERROR(__xludf.DUMMYFUNCTION("""COMPUTED_VALUE"""),1.77)</f>
        <v>1.77</v>
      </c>
      <c r="F28" s="19" t="str">
        <f>IFERROR(__xludf.DUMMYFUNCTION("""COMPUTED_VALUE"""),"New York")</f>
        <v>New York</v>
      </c>
    </row>
    <row r="29">
      <c r="A29" s="19" t="str">
        <f>IFERROR(__xludf.DUMMYFUNCTION("""COMPUTED_VALUE"""),"ID07390")</f>
        <v>ID07390</v>
      </c>
      <c r="B29" s="21">
        <f>IFERROR(__xludf.DUMMYFUNCTION("""COMPUTED_VALUE"""),44679.0)</f>
        <v>44679</v>
      </c>
      <c r="C29" s="19" t="str">
        <f>IFERROR(__xludf.DUMMYFUNCTION("""COMPUTED_VALUE"""),"Snacks")</f>
        <v>Snacks</v>
      </c>
      <c r="D29" s="19">
        <f>IFERROR(__xludf.DUMMYFUNCTION("""COMPUTED_VALUE"""),1.68)</f>
        <v>1.68</v>
      </c>
      <c r="F29" s="19" t="str">
        <f>IFERROR(__xludf.DUMMYFUNCTION("""COMPUTED_VALUE"""),"New York")</f>
        <v>New York</v>
      </c>
    </row>
    <row r="30">
      <c r="A30" s="19" t="str">
        <f>IFERROR(__xludf.DUMMYFUNCTION("""COMPUTED_VALUE"""),"ID07392")</f>
        <v>ID07392</v>
      </c>
      <c r="B30" s="21">
        <f>IFERROR(__xludf.DUMMYFUNCTION("""COMPUTED_VALUE"""),44685.0)</f>
        <v>44685</v>
      </c>
      <c r="C30" s="19" t="str">
        <f>IFERROR(__xludf.DUMMYFUNCTION("""COMPUTED_VALUE"""),"Bars")</f>
        <v>Bars</v>
      </c>
      <c r="D30" s="19">
        <f>IFERROR(__xludf.DUMMYFUNCTION("""COMPUTED_VALUE"""),1.8699999999999999)</f>
        <v>1.87</v>
      </c>
      <c r="F30" s="19" t="str">
        <f>IFERROR(__xludf.DUMMYFUNCTION("""COMPUTED_VALUE"""),"New York")</f>
        <v>New York</v>
      </c>
    </row>
    <row r="31">
      <c r="A31" s="19" t="str">
        <f>IFERROR(__xludf.DUMMYFUNCTION("""COMPUTED_VALUE"""),"ID07393")</f>
        <v>ID07393</v>
      </c>
      <c r="B31" s="21">
        <f>IFERROR(__xludf.DUMMYFUNCTION("""COMPUTED_VALUE"""),44688.0)</f>
        <v>44688</v>
      </c>
      <c r="C31" s="19" t="str">
        <f>IFERROR(__xludf.DUMMYFUNCTION("""COMPUTED_VALUE"""),"Cookies")</f>
        <v>Cookies</v>
      </c>
      <c r="D31" s="19">
        <f>IFERROR(__xludf.DUMMYFUNCTION("""COMPUTED_VALUE"""),2.8400000000000003)</f>
        <v>2.84</v>
      </c>
      <c r="F31" s="19" t="str">
        <f>IFERROR(__xludf.DUMMYFUNCTION("""COMPUTED_VALUE"""),"New York")</f>
        <v>New York</v>
      </c>
    </row>
    <row r="32">
      <c r="A32" s="19" t="str">
        <f>IFERROR(__xludf.DUMMYFUNCTION("""COMPUTED_VALUE"""),"ID07396")</f>
        <v>ID07396</v>
      </c>
      <c r="B32" s="21">
        <f>IFERROR(__xludf.DUMMYFUNCTION("""COMPUTED_VALUE"""),44697.0)</f>
        <v>44697</v>
      </c>
      <c r="C32" s="19" t="str">
        <f>IFERROR(__xludf.DUMMYFUNCTION("""COMPUTED_VALUE"""),"Bars")</f>
        <v>Bars</v>
      </c>
      <c r="D32" s="19">
        <f>IFERROR(__xludf.DUMMYFUNCTION("""COMPUTED_VALUE"""),1.77)</f>
        <v>1.77</v>
      </c>
      <c r="F32" s="19" t="str">
        <f>IFERROR(__xludf.DUMMYFUNCTION("""COMPUTED_VALUE"""),"New York")</f>
        <v>New York</v>
      </c>
    </row>
    <row r="33">
      <c r="A33" s="19" t="str">
        <f>IFERROR(__xludf.DUMMYFUNCTION("""COMPUTED_VALUE"""),"ID07397")</f>
        <v>ID07397</v>
      </c>
      <c r="B33" s="21">
        <f>IFERROR(__xludf.DUMMYFUNCTION("""COMPUTED_VALUE"""),44700.0)</f>
        <v>44700</v>
      </c>
      <c r="C33" s="19" t="str">
        <f>IFERROR(__xludf.DUMMYFUNCTION("""COMPUTED_VALUE"""),"Snacks")</f>
        <v>Snacks</v>
      </c>
      <c r="D33" s="19">
        <f>IFERROR(__xludf.DUMMYFUNCTION("""COMPUTED_VALUE"""),1.68)</f>
        <v>1.68</v>
      </c>
      <c r="F33" s="19" t="str">
        <f>IFERROR(__xludf.DUMMYFUNCTION("""COMPUTED_VALUE"""),"New York")</f>
        <v>New York</v>
      </c>
    </row>
    <row r="34">
      <c r="A34" s="19" t="str">
        <f>IFERROR(__xludf.DUMMYFUNCTION("""COMPUTED_VALUE"""),"ID07399")</f>
        <v>ID07399</v>
      </c>
      <c r="B34" s="21">
        <f>IFERROR(__xludf.DUMMYFUNCTION("""COMPUTED_VALUE"""),44706.0)</f>
        <v>44706</v>
      </c>
      <c r="C34" s="19" t="str">
        <f>IFERROR(__xludf.DUMMYFUNCTION("""COMPUTED_VALUE"""),"Cookies")</f>
        <v>Cookies</v>
      </c>
      <c r="D34" s="19">
        <f>IFERROR(__xludf.DUMMYFUNCTION("""COMPUTED_VALUE"""),2.18)</f>
        <v>2.18</v>
      </c>
      <c r="F34" s="19" t="str">
        <f>IFERROR(__xludf.DUMMYFUNCTION("""COMPUTED_VALUE"""),"New York")</f>
        <v>New York</v>
      </c>
    </row>
    <row r="35">
      <c r="A35" s="19" t="str">
        <f>IFERROR(__xludf.DUMMYFUNCTION("""COMPUTED_VALUE"""),"ID07400")</f>
        <v>ID07400</v>
      </c>
      <c r="B35" s="21">
        <f>IFERROR(__xludf.DUMMYFUNCTION("""COMPUTED_VALUE"""),44709.0)</f>
        <v>44709</v>
      </c>
      <c r="C35" s="19" t="str">
        <f>IFERROR(__xludf.DUMMYFUNCTION("""COMPUTED_VALUE"""),"Bars")</f>
        <v>Bars</v>
      </c>
      <c r="D35" s="19">
        <f>IFERROR(__xludf.DUMMYFUNCTION("""COMPUTED_VALUE"""),1.77)</f>
        <v>1.77</v>
      </c>
      <c r="F35" s="19" t="str">
        <f>IFERROR(__xludf.DUMMYFUNCTION("""COMPUTED_VALUE"""),"New York")</f>
        <v>New York</v>
      </c>
    </row>
    <row r="36">
      <c r="A36" s="19" t="str">
        <f>IFERROR(__xludf.DUMMYFUNCTION("""COMPUTED_VALUE"""),"ID07401")</f>
        <v>ID07401</v>
      </c>
      <c r="B36" s="21">
        <f>IFERROR(__xludf.DUMMYFUNCTION("""COMPUTED_VALUE"""),44712.0)</f>
        <v>44712</v>
      </c>
      <c r="C36" s="19" t="str">
        <f>IFERROR(__xludf.DUMMYFUNCTION("""COMPUTED_VALUE"""),"Crackers")</f>
        <v>Crackers</v>
      </c>
      <c r="D36" s="19">
        <f>IFERROR(__xludf.DUMMYFUNCTION("""COMPUTED_VALUE"""),3.49)</f>
        <v>3.49</v>
      </c>
      <c r="F36" s="19" t="str">
        <f>IFERROR(__xludf.DUMMYFUNCTION("""COMPUTED_VALUE"""),"New York")</f>
        <v>New York</v>
      </c>
    </row>
    <row r="37">
      <c r="A37" s="19" t="str">
        <f>IFERROR(__xludf.DUMMYFUNCTION("""COMPUTED_VALUE"""),"ID07403")</f>
        <v>ID07403</v>
      </c>
      <c r="B37" s="21">
        <f>IFERROR(__xludf.DUMMYFUNCTION("""COMPUTED_VALUE"""),44718.0)</f>
        <v>44718</v>
      </c>
      <c r="C37" s="19" t="str">
        <f>IFERROR(__xludf.DUMMYFUNCTION("""COMPUTED_VALUE"""),"Cookies")</f>
        <v>Cookies</v>
      </c>
      <c r="D37" s="19">
        <f>IFERROR(__xludf.DUMMYFUNCTION("""COMPUTED_VALUE"""),1.87)</f>
        <v>1.87</v>
      </c>
      <c r="F37" s="19" t="str">
        <f>IFERROR(__xludf.DUMMYFUNCTION("""COMPUTED_VALUE"""),"New York")</f>
        <v>New York</v>
      </c>
    </row>
    <row r="38">
      <c r="A38" s="19" t="str">
        <f>IFERROR(__xludf.DUMMYFUNCTION("""COMPUTED_VALUE"""),"ID07406")</f>
        <v>ID07406</v>
      </c>
      <c r="B38" s="21">
        <f>IFERROR(__xludf.DUMMYFUNCTION("""COMPUTED_VALUE"""),44727.0)</f>
        <v>44727</v>
      </c>
      <c r="C38" s="19" t="str">
        <f>IFERROR(__xludf.DUMMYFUNCTION("""COMPUTED_VALUE"""),"Bars")</f>
        <v>Bars</v>
      </c>
      <c r="D38" s="19">
        <f>IFERROR(__xludf.DUMMYFUNCTION("""COMPUTED_VALUE"""),1.77)</f>
        <v>1.77</v>
      </c>
      <c r="F38" s="19" t="str">
        <f>IFERROR(__xludf.DUMMYFUNCTION("""COMPUTED_VALUE"""),"New York")</f>
        <v>New York</v>
      </c>
    </row>
    <row r="39">
      <c r="A39" s="19" t="str">
        <f>IFERROR(__xludf.DUMMYFUNCTION("""COMPUTED_VALUE"""),"ID07407")</f>
        <v>ID07407</v>
      </c>
      <c r="B39" s="21">
        <f>IFERROR(__xludf.DUMMYFUNCTION("""COMPUTED_VALUE"""),44730.0)</f>
        <v>44730</v>
      </c>
      <c r="C39" s="19" t="str">
        <f>IFERROR(__xludf.DUMMYFUNCTION("""COMPUTED_VALUE"""),"Crackers")</f>
        <v>Crackers</v>
      </c>
      <c r="D39" s="19">
        <f>IFERROR(__xludf.DUMMYFUNCTION("""COMPUTED_VALUE"""),3.49)</f>
        <v>3.49</v>
      </c>
      <c r="F39" s="19" t="str">
        <f>IFERROR(__xludf.DUMMYFUNCTION("""COMPUTED_VALUE"""),"New York")</f>
        <v>New York</v>
      </c>
    </row>
    <row r="40">
      <c r="A40" s="19" t="str">
        <f>IFERROR(__xludf.DUMMYFUNCTION("""COMPUTED_VALUE"""),"ID07410")</f>
        <v>ID07410</v>
      </c>
      <c r="B40" s="21">
        <f>IFERROR(__xludf.DUMMYFUNCTION("""COMPUTED_VALUE"""),44739.0)</f>
        <v>44739</v>
      </c>
      <c r="C40" s="19" t="str">
        <f>IFERROR(__xludf.DUMMYFUNCTION("""COMPUTED_VALUE"""),"Bars")</f>
        <v>Bars</v>
      </c>
      <c r="D40" s="19">
        <f>IFERROR(__xludf.DUMMYFUNCTION("""COMPUTED_VALUE"""),1.8699999999999999)</f>
        <v>1.87</v>
      </c>
      <c r="F40" s="19" t="str">
        <f>IFERROR(__xludf.DUMMYFUNCTION("""COMPUTED_VALUE"""),"New York")</f>
        <v>New York</v>
      </c>
    </row>
    <row r="41">
      <c r="A41" s="19" t="str">
        <f>IFERROR(__xludf.DUMMYFUNCTION("""COMPUTED_VALUE"""),"ID07411")</f>
        <v>ID07411</v>
      </c>
      <c r="B41" s="21">
        <f>IFERROR(__xludf.DUMMYFUNCTION("""COMPUTED_VALUE"""),44742.0)</f>
        <v>44742</v>
      </c>
      <c r="C41" s="19" t="str">
        <f>IFERROR(__xludf.DUMMYFUNCTION("""COMPUTED_VALUE"""),"Cookies")</f>
        <v>Cookies</v>
      </c>
      <c r="D41" s="19">
        <f>IFERROR(__xludf.DUMMYFUNCTION("""COMPUTED_VALUE"""),2.84)</f>
        <v>2.84</v>
      </c>
      <c r="F41" s="19" t="str">
        <f>IFERROR(__xludf.DUMMYFUNCTION("""COMPUTED_VALUE"""),"New York")</f>
        <v>New York</v>
      </c>
    </row>
    <row r="42">
      <c r="A42" s="19" t="str">
        <f>IFERROR(__xludf.DUMMYFUNCTION("""COMPUTED_VALUE"""),"ID07414")</f>
        <v>ID07414</v>
      </c>
      <c r="B42" s="21">
        <f>IFERROR(__xludf.DUMMYFUNCTION("""COMPUTED_VALUE"""),44751.0)</f>
        <v>44751</v>
      </c>
      <c r="C42" s="19" t="str">
        <f>IFERROR(__xludf.DUMMYFUNCTION("""COMPUTED_VALUE"""),"Bars")</f>
        <v>Bars</v>
      </c>
      <c r="D42" s="19">
        <f>IFERROR(__xludf.DUMMYFUNCTION("""COMPUTED_VALUE"""),1.77)</f>
        <v>1.77</v>
      </c>
      <c r="F42" s="19" t="str">
        <f>IFERROR(__xludf.DUMMYFUNCTION("""COMPUTED_VALUE"""),"New York")</f>
        <v>New York</v>
      </c>
    </row>
    <row r="43">
      <c r="A43" s="19" t="str">
        <f>IFERROR(__xludf.DUMMYFUNCTION("""COMPUTED_VALUE"""),"ID07415")</f>
        <v>ID07415</v>
      </c>
      <c r="B43" s="21">
        <f>IFERROR(__xludf.DUMMYFUNCTION("""COMPUTED_VALUE"""),44754.0)</f>
        <v>44754</v>
      </c>
      <c r="C43" s="19" t="str">
        <f>IFERROR(__xludf.DUMMYFUNCTION("""COMPUTED_VALUE"""),"Crackers")</f>
        <v>Crackers</v>
      </c>
      <c r="D43" s="19">
        <f>IFERROR(__xludf.DUMMYFUNCTION("""COMPUTED_VALUE"""),3.49)</f>
        <v>3.49</v>
      </c>
      <c r="F43" s="19" t="str">
        <f>IFERROR(__xludf.DUMMYFUNCTION("""COMPUTED_VALUE"""),"New York")</f>
        <v>New York</v>
      </c>
    </row>
    <row r="44">
      <c r="A44" s="19" t="str">
        <f>IFERROR(__xludf.DUMMYFUNCTION("""COMPUTED_VALUE"""),"ID07417")</f>
        <v>ID07417</v>
      </c>
      <c r="B44" s="21">
        <f>IFERROR(__xludf.DUMMYFUNCTION("""COMPUTED_VALUE"""),44760.0)</f>
        <v>44760</v>
      </c>
      <c r="C44" s="19" t="str">
        <f>IFERROR(__xludf.DUMMYFUNCTION("""COMPUTED_VALUE"""),"Bars")</f>
        <v>Bars</v>
      </c>
      <c r="D44" s="19">
        <f>IFERROR(__xludf.DUMMYFUNCTION("""COMPUTED_VALUE"""),1.8699999999999999)</f>
        <v>1.87</v>
      </c>
      <c r="F44" s="19" t="str">
        <f>IFERROR(__xludf.DUMMYFUNCTION("""COMPUTED_VALUE"""),"New York")</f>
        <v>New York</v>
      </c>
    </row>
    <row r="45">
      <c r="A45" s="19" t="str">
        <f>IFERROR(__xludf.DUMMYFUNCTION("""COMPUTED_VALUE"""),"ID07418")</f>
        <v>ID07418</v>
      </c>
      <c r="B45" s="21">
        <f>IFERROR(__xludf.DUMMYFUNCTION("""COMPUTED_VALUE"""),44763.0)</f>
        <v>44763</v>
      </c>
      <c r="C45" s="19" t="str">
        <f>IFERROR(__xludf.DUMMYFUNCTION("""COMPUTED_VALUE"""),"Cookies")</f>
        <v>Cookies</v>
      </c>
      <c r="D45" s="19">
        <f>IFERROR(__xludf.DUMMYFUNCTION("""COMPUTED_VALUE"""),2.84)</f>
        <v>2.84</v>
      </c>
      <c r="F45" s="19" t="str">
        <f>IFERROR(__xludf.DUMMYFUNCTION("""COMPUTED_VALUE"""),"New York")</f>
        <v>New York</v>
      </c>
    </row>
    <row r="46">
      <c r="A46" s="19" t="str">
        <f>IFERROR(__xludf.DUMMYFUNCTION("""COMPUTED_VALUE"""),"ID07421")</f>
        <v>ID07421</v>
      </c>
      <c r="B46" s="21">
        <f>IFERROR(__xludf.DUMMYFUNCTION("""COMPUTED_VALUE"""),44772.0)</f>
        <v>44772</v>
      </c>
      <c r="C46" s="19" t="str">
        <f>IFERROR(__xludf.DUMMYFUNCTION("""COMPUTED_VALUE"""),"Bars")</f>
        <v>Bars</v>
      </c>
      <c r="D46" s="19">
        <f>IFERROR(__xludf.DUMMYFUNCTION("""COMPUTED_VALUE"""),1.8699999999999999)</f>
        <v>1.87</v>
      </c>
      <c r="F46" s="19" t="str">
        <f>IFERROR(__xludf.DUMMYFUNCTION("""COMPUTED_VALUE"""),"New York")</f>
        <v>New York</v>
      </c>
    </row>
    <row r="47">
      <c r="A47" s="19" t="str">
        <f>IFERROR(__xludf.DUMMYFUNCTION("""COMPUTED_VALUE"""),"ID07422")</f>
        <v>ID07422</v>
      </c>
      <c r="B47" s="21">
        <f>IFERROR(__xludf.DUMMYFUNCTION("""COMPUTED_VALUE"""),44775.0)</f>
        <v>44775</v>
      </c>
      <c r="C47" s="19" t="str">
        <f>IFERROR(__xludf.DUMMYFUNCTION("""COMPUTED_VALUE"""),"Cookies")</f>
        <v>Cookies</v>
      </c>
      <c r="D47" s="19">
        <f>IFERROR(__xludf.DUMMYFUNCTION("""COMPUTED_VALUE"""),2.84)</f>
        <v>2.84</v>
      </c>
      <c r="F47" s="19" t="str">
        <f>IFERROR(__xludf.DUMMYFUNCTION("""COMPUTED_VALUE"""),"New York")</f>
        <v>New York</v>
      </c>
    </row>
    <row r="48">
      <c r="A48" s="19" t="str">
        <f>IFERROR(__xludf.DUMMYFUNCTION("""COMPUTED_VALUE"""),"ID07424")</f>
        <v>ID07424</v>
      </c>
      <c r="B48" s="21">
        <f>IFERROR(__xludf.DUMMYFUNCTION("""COMPUTED_VALUE"""),44781.0)</f>
        <v>44781</v>
      </c>
      <c r="C48" s="19" t="str">
        <f>IFERROR(__xludf.DUMMYFUNCTION("""COMPUTED_VALUE"""),"Bars")</f>
        <v>Bars</v>
      </c>
      <c r="D48" s="19">
        <f>IFERROR(__xludf.DUMMYFUNCTION("""COMPUTED_VALUE"""),1.7699999999999998)</f>
        <v>1.77</v>
      </c>
      <c r="F48" s="19" t="str">
        <f>IFERROR(__xludf.DUMMYFUNCTION("""COMPUTED_VALUE"""),"New York")</f>
        <v>New York</v>
      </c>
    </row>
    <row r="49">
      <c r="A49" s="19" t="str">
        <f>IFERROR(__xludf.DUMMYFUNCTION("""COMPUTED_VALUE"""),"ID07425")</f>
        <v>ID07425</v>
      </c>
      <c r="B49" s="21">
        <f>IFERROR(__xludf.DUMMYFUNCTION("""COMPUTED_VALUE"""),44784.0)</f>
        <v>44784</v>
      </c>
      <c r="C49" s="19" t="str">
        <f>IFERROR(__xludf.DUMMYFUNCTION("""COMPUTED_VALUE"""),"Crackers")</f>
        <v>Crackers</v>
      </c>
      <c r="D49" s="19">
        <f>IFERROR(__xludf.DUMMYFUNCTION("""COMPUTED_VALUE"""),3.49)</f>
        <v>3.49</v>
      </c>
      <c r="F49" s="19" t="str">
        <f>IFERROR(__xludf.DUMMYFUNCTION("""COMPUTED_VALUE"""),"New York")</f>
        <v>New York</v>
      </c>
    </row>
    <row r="50">
      <c r="A50" s="19" t="str">
        <f>IFERROR(__xludf.DUMMYFUNCTION("""COMPUTED_VALUE"""),"ID07427")</f>
        <v>ID07427</v>
      </c>
      <c r="B50" s="21">
        <f>IFERROR(__xludf.DUMMYFUNCTION("""COMPUTED_VALUE"""),44790.0)</f>
        <v>44790</v>
      </c>
      <c r="C50" s="19" t="str">
        <f>IFERROR(__xludf.DUMMYFUNCTION("""COMPUTED_VALUE"""),"Cookies")</f>
        <v>Cookies</v>
      </c>
      <c r="D50" s="19">
        <f>IFERROR(__xludf.DUMMYFUNCTION("""COMPUTED_VALUE"""),2.18)</f>
        <v>2.18</v>
      </c>
      <c r="F50" s="19" t="str">
        <f>IFERROR(__xludf.DUMMYFUNCTION("""COMPUTED_VALUE"""),"New York")</f>
        <v>New York</v>
      </c>
    </row>
    <row r="51">
      <c r="A51" s="19" t="str">
        <f>IFERROR(__xludf.DUMMYFUNCTION("""COMPUTED_VALUE"""),"ID07428")</f>
        <v>ID07428</v>
      </c>
      <c r="B51" s="21">
        <f>IFERROR(__xludf.DUMMYFUNCTION("""COMPUTED_VALUE"""),44793.0)</f>
        <v>44793</v>
      </c>
      <c r="C51" s="19" t="str">
        <f>IFERROR(__xludf.DUMMYFUNCTION("""COMPUTED_VALUE"""),"Bars")</f>
        <v>Bars</v>
      </c>
      <c r="D51" s="19">
        <f>IFERROR(__xludf.DUMMYFUNCTION("""COMPUTED_VALUE"""),1.77)</f>
        <v>1.77</v>
      </c>
      <c r="F51" s="19" t="str">
        <f>IFERROR(__xludf.DUMMYFUNCTION("""COMPUTED_VALUE"""),"New York")</f>
        <v>New York</v>
      </c>
    </row>
    <row r="52">
      <c r="A52" s="19" t="str">
        <f>IFERROR(__xludf.DUMMYFUNCTION("""COMPUTED_VALUE"""),"ID07429")</f>
        <v>ID07429</v>
      </c>
      <c r="B52" s="21">
        <f>IFERROR(__xludf.DUMMYFUNCTION("""COMPUTED_VALUE"""),44796.0)</f>
        <v>44796</v>
      </c>
      <c r="C52" s="19" t="str">
        <f>IFERROR(__xludf.DUMMYFUNCTION("""COMPUTED_VALUE"""),"Crackers")</f>
        <v>Crackers</v>
      </c>
      <c r="D52" s="19">
        <f>IFERROR(__xludf.DUMMYFUNCTION("""COMPUTED_VALUE"""),3.49)</f>
        <v>3.49</v>
      </c>
      <c r="F52" s="19" t="str">
        <f>IFERROR(__xludf.DUMMYFUNCTION("""COMPUTED_VALUE"""),"New York")</f>
        <v>New York</v>
      </c>
    </row>
    <row r="53">
      <c r="A53" s="19" t="str">
        <f>IFERROR(__xludf.DUMMYFUNCTION("""COMPUTED_VALUE"""),"ID07431")</f>
        <v>ID07431</v>
      </c>
      <c r="B53" s="21">
        <f>IFERROR(__xludf.DUMMYFUNCTION("""COMPUTED_VALUE"""),44802.0)</f>
        <v>44802</v>
      </c>
      <c r="C53" s="19" t="str">
        <f>IFERROR(__xludf.DUMMYFUNCTION("""COMPUTED_VALUE"""),"Bars")</f>
        <v>Bars</v>
      </c>
      <c r="D53" s="19">
        <f>IFERROR(__xludf.DUMMYFUNCTION("""COMPUTED_VALUE"""),1.87)</f>
        <v>1.87</v>
      </c>
      <c r="F53" s="19" t="str">
        <f>IFERROR(__xludf.DUMMYFUNCTION("""COMPUTED_VALUE"""),"New York")</f>
        <v>New York</v>
      </c>
    </row>
    <row r="54">
      <c r="A54" s="19" t="str">
        <f>IFERROR(__xludf.DUMMYFUNCTION("""COMPUTED_VALUE"""),"ID07432")</f>
        <v>ID07432</v>
      </c>
      <c r="B54" s="21">
        <f>IFERROR(__xludf.DUMMYFUNCTION("""COMPUTED_VALUE"""),44805.0)</f>
        <v>44805</v>
      </c>
      <c r="C54" s="19" t="str">
        <f>IFERROR(__xludf.DUMMYFUNCTION("""COMPUTED_VALUE"""),"Cookies")</f>
        <v>Cookies</v>
      </c>
      <c r="D54" s="19">
        <f>IFERROR(__xludf.DUMMYFUNCTION("""COMPUTED_VALUE"""),2.84)</f>
        <v>2.84</v>
      </c>
      <c r="F54" s="19" t="str">
        <f>IFERROR(__xludf.DUMMYFUNCTION("""COMPUTED_VALUE"""),"New York")</f>
        <v>New York</v>
      </c>
    </row>
    <row r="55">
      <c r="A55" s="19" t="str">
        <f>IFERROR(__xludf.DUMMYFUNCTION("""COMPUTED_VALUE"""),"ID07434")</f>
        <v>ID07434</v>
      </c>
      <c r="B55" s="21">
        <f>IFERROR(__xludf.DUMMYFUNCTION("""COMPUTED_VALUE"""),44811.0)</f>
        <v>44811</v>
      </c>
      <c r="C55" s="19" t="str">
        <f>IFERROR(__xludf.DUMMYFUNCTION("""COMPUTED_VALUE"""),"Cookies")</f>
        <v>Cookies</v>
      </c>
      <c r="D55" s="19">
        <f>IFERROR(__xludf.DUMMYFUNCTION("""COMPUTED_VALUE"""),2.18)</f>
        <v>2.18</v>
      </c>
      <c r="F55" s="19" t="str">
        <f>IFERROR(__xludf.DUMMYFUNCTION("""COMPUTED_VALUE"""),"New York")</f>
        <v>New York</v>
      </c>
    </row>
    <row r="56">
      <c r="A56" s="19" t="str">
        <f>IFERROR(__xludf.DUMMYFUNCTION("""COMPUTED_VALUE"""),"ID07435")</f>
        <v>ID07435</v>
      </c>
      <c r="B56" s="21">
        <f>IFERROR(__xludf.DUMMYFUNCTION("""COMPUTED_VALUE"""),44814.0)</f>
        <v>44814</v>
      </c>
      <c r="C56" s="19" t="str">
        <f>IFERROR(__xludf.DUMMYFUNCTION("""COMPUTED_VALUE"""),"Bars")</f>
        <v>Bars</v>
      </c>
      <c r="D56" s="19">
        <f>IFERROR(__xludf.DUMMYFUNCTION("""COMPUTED_VALUE"""),1.77)</f>
        <v>1.77</v>
      </c>
      <c r="F56" s="19" t="str">
        <f>IFERROR(__xludf.DUMMYFUNCTION("""COMPUTED_VALUE"""),"New York")</f>
        <v>New York</v>
      </c>
    </row>
    <row r="57">
      <c r="A57" s="19" t="str">
        <f>IFERROR(__xludf.DUMMYFUNCTION("""COMPUTED_VALUE"""),"ID07436")</f>
        <v>ID07436</v>
      </c>
      <c r="B57" s="21">
        <f>IFERROR(__xludf.DUMMYFUNCTION("""COMPUTED_VALUE"""),44817.0)</f>
        <v>44817</v>
      </c>
      <c r="C57" s="19" t="str">
        <f>IFERROR(__xludf.DUMMYFUNCTION("""COMPUTED_VALUE"""),"Snacks")</f>
        <v>Snacks</v>
      </c>
      <c r="D57" s="19">
        <f>IFERROR(__xludf.DUMMYFUNCTION("""COMPUTED_VALUE"""),3.15)</f>
        <v>3.15</v>
      </c>
      <c r="F57" s="19" t="str">
        <f>IFERROR(__xludf.DUMMYFUNCTION("""COMPUTED_VALUE"""),"New York")</f>
        <v>New York</v>
      </c>
    </row>
    <row r="58">
      <c r="A58" s="19" t="str">
        <f>IFERROR(__xludf.DUMMYFUNCTION("""COMPUTED_VALUE"""),"ID07438")</f>
        <v>ID07438</v>
      </c>
      <c r="B58" s="21">
        <f>IFERROR(__xludf.DUMMYFUNCTION("""COMPUTED_VALUE"""),44823.0)</f>
        <v>44823</v>
      </c>
      <c r="C58" s="19" t="str">
        <f>IFERROR(__xludf.DUMMYFUNCTION("""COMPUTED_VALUE"""),"Cookies")</f>
        <v>Cookies</v>
      </c>
      <c r="D58" s="19">
        <f>IFERROR(__xludf.DUMMYFUNCTION("""COMPUTED_VALUE"""),2.18)</f>
        <v>2.18</v>
      </c>
      <c r="F58" s="19" t="str">
        <f>IFERROR(__xludf.DUMMYFUNCTION("""COMPUTED_VALUE"""),"New York")</f>
        <v>New York</v>
      </c>
    </row>
    <row r="59">
      <c r="A59" s="19" t="str">
        <f>IFERROR(__xludf.DUMMYFUNCTION("""COMPUTED_VALUE"""),"ID07439")</f>
        <v>ID07439</v>
      </c>
      <c r="B59" s="21">
        <f>IFERROR(__xludf.DUMMYFUNCTION("""COMPUTED_VALUE"""),44826.0)</f>
        <v>44826</v>
      </c>
      <c r="C59" s="19" t="str">
        <f>IFERROR(__xludf.DUMMYFUNCTION("""COMPUTED_VALUE"""),"Cookies")</f>
        <v>Cookies</v>
      </c>
      <c r="D59" s="19">
        <f>IFERROR(__xludf.DUMMYFUNCTION("""COMPUTED_VALUE"""),1.8699999999999999)</f>
        <v>1.87</v>
      </c>
      <c r="F59" s="19" t="str">
        <f>IFERROR(__xludf.DUMMYFUNCTION("""COMPUTED_VALUE"""),"New York")</f>
        <v>New York</v>
      </c>
    </row>
    <row r="60">
      <c r="A60" s="19" t="str">
        <f>IFERROR(__xludf.DUMMYFUNCTION("""COMPUTED_VALUE"""),"ID07441")</f>
        <v>ID07441</v>
      </c>
      <c r="B60" s="21">
        <f>IFERROR(__xludf.DUMMYFUNCTION("""COMPUTED_VALUE"""),44832.0)</f>
        <v>44832</v>
      </c>
      <c r="C60" s="19" t="str">
        <f>IFERROR(__xludf.DUMMYFUNCTION("""COMPUTED_VALUE"""),"Cookies")</f>
        <v>Cookies</v>
      </c>
      <c r="D60" s="19">
        <f>IFERROR(__xludf.DUMMYFUNCTION("""COMPUTED_VALUE"""),2.18)</f>
        <v>2.18</v>
      </c>
      <c r="F60" s="19" t="str">
        <f>IFERROR(__xludf.DUMMYFUNCTION("""COMPUTED_VALUE"""),"New York")</f>
        <v>New York</v>
      </c>
    </row>
    <row r="61">
      <c r="A61" s="19" t="str">
        <f>IFERROR(__xludf.DUMMYFUNCTION("""COMPUTED_VALUE"""),"ID07442")</f>
        <v>ID07442</v>
      </c>
      <c r="B61" s="21">
        <f>IFERROR(__xludf.DUMMYFUNCTION("""COMPUTED_VALUE"""),44835.0)</f>
        <v>44835</v>
      </c>
      <c r="C61" s="19" t="str">
        <f>IFERROR(__xludf.DUMMYFUNCTION("""COMPUTED_VALUE"""),"Bars")</f>
        <v>Bars</v>
      </c>
      <c r="D61" s="19">
        <f>IFERROR(__xludf.DUMMYFUNCTION("""COMPUTED_VALUE"""),1.7699999999999998)</f>
        <v>1.77</v>
      </c>
      <c r="F61" s="19" t="str">
        <f>IFERROR(__xludf.DUMMYFUNCTION("""COMPUTED_VALUE"""),"New York")</f>
        <v>New York</v>
      </c>
    </row>
    <row r="62">
      <c r="A62" s="19" t="str">
        <f>IFERROR(__xludf.DUMMYFUNCTION("""COMPUTED_VALUE"""),"ID07443")</f>
        <v>ID07443</v>
      </c>
      <c r="B62" s="21">
        <f>IFERROR(__xludf.DUMMYFUNCTION("""COMPUTED_VALUE"""),44838.0)</f>
        <v>44838</v>
      </c>
      <c r="C62" s="19" t="str">
        <f>IFERROR(__xludf.DUMMYFUNCTION("""COMPUTED_VALUE"""),"Crackers")</f>
        <v>Crackers</v>
      </c>
      <c r="D62" s="19">
        <f>IFERROR(__xludf.DUMMYFUNCTION("""COMPUTED_VALUE"""),3.49)</f>
        <v>3.49</v>
      </c>
      <c r="F62" s="19" t="str">
        <f>IFERROR(__xludf.DUMMYFUNCTION("""COMPUTED_VALUE"""),"New York")</f>
        <v>New York</v>
      </c>
    </row>
    <row r="63">
      <c r="A63" s="19" t="str">
        <f>IFERROR(__xludf.DUMMYFUNCTION("""COMPUTED_VALUE"""),"ID07446")</f>
        <v>ID07446</v>
      </c>
      <c r="B63" s="21">
        <f>IFERROR(__xludf.DUMMYFUNCTION("""COMPUTED_VALUE"""),44847.0)</f>
        <v>44847</v>
      </c>
      <c r="C63" s="19" t="str">
        <f>IFERROR(__xludf.DUMMYFUNCTION("""COMPUTED_VALUE"""),"Cookies")</f>
        <v>Cookies</v>
      </c>
      <c r="D63" s="19">
        <f>IFERROR(__xludf.DUMMYFUNCTION("""COMPUTED_VALUE"""),2.18)</f>
        <v>2.18</v>
      </c>
      <c r="F63" s="19" t="str">
        <f>IFERROR(__xludf.DUMMYFUNCTION("""COMPUTED_VALUE"""),"New York")</f>
        <v>New York</v>
      </c>
    </row>
    <row r="64">
      <c r="A64" s="19" t="str">
        <f>IFERROR(__xludf.DUMMYFUNCTION("""COMPUTED_VALUE"""),"ID07447")</f>
        <v>ID07447</v>
      </c>
      <c r="B64" s="21">
        <f>IFERROR(__xludf.DUMMYFUNCTION("""COMPUTED_VALUE"""),44850.0)</f>
        <v>44850</v>
      </c>
      <c r="C64" s="19" t="str">
        <f>IFERROR(__xludf.DUMMYFUNCTION("""COMPUTED_VALUE"""),"Bars")</f>
        <v>Bars</v>
      </c>
      <c r="D64" s="19">
        <f>IFERROR(__xludf.DUMMYFUNCTION("""COMPUTED_VALUE"""),1.77)</f>
        <v>1.77</v>
      </c>
    </row>
    <row r="65">
      <c r="A65" s="19" t="str">
        <f>IFERROR(__xludf.DUMMYFUNCTION("""COMPUTED_VALUE"""),"ID07448")</f>
        <v>ID07448</v>
      </c>
      <c r="B65" s="21">
        <f>IFERROR(__xludf.DUMMYFUNCTION("""COMPUTED_VALUE"""),44853.0)</f>
        <v>44853</v>
      </c>
      <c r="C65" s="19" t="str">
        <f>IFERROR(__xludf.DUMMYFUNCTION("""COMPUTED_VALUE"""),"Crackers")</f>
        <v>Crackers</v>
      </c>
      <c r="D65" s="19">
        <f>IFERROR(__xludf.DUMMYFUNCTION("""COMPUTED_VALUE"""),3.49)</f>
        <v>3.49</v>
      </c>
    </row>
    <row r="66">
      <c r="A66" s="19" t="str">
        <f>IFERROR(__xludf.DUMMYFUNCTION("""COMPUTED_VALUE"""),"ID07450")</f>
        <v>ID07450</v>
      </c>
      <c r="B66" s="21">
        <f>IFERROR(__xludf.DUMMYFUNCTION("""COMPUTED_VALUE"""),44859.0)</f>
        <v>44859</v>
      </c>
      <c r="C66" s="19" t="str">
        <f>IFERROR(__xludf.DUMMYFUNCTION("""COMPUTED_VALUE"""),"Cookies")</f>
        <v>Cookies</v>
      </c>
      <c r="D66" s="19">
        <f>IFERROR(__xludf.DUMMYFUNCTION("""COMPUTED_VALUE"""),2.18)</f>
        <v>2.18</v>
      </c>
    </row>
    <row r="67">
      <c r="A67" s="19" t="str">
        <f>IFERROR(__xludf.DUMMYFUNCTION("""COMPUTED_VALUE"""),"ID07451")</f>
        <v>ID07451</v>
      </c>
      <c r="B67" s="21">
        <f>IFERROR(__xludf.DUMMYFUNCTION("""COMPUTED_VALUE"""),44862.0)</f>
        <v>44862</v>
      </c>
      <c r="C67" s="19" t="str">
        <f>IFERROR(__xludf.DUMMYFUNCTION("""COMPUTED_VALUE"""),"Cookies")</f>
        <v>Cookies</v>
      </c>
      <c r="D67" s="19">
        <f>IFERROR(__xludf.DUMMYFUNCTION("""COMPUTED_VALUE"""),1.8699999999999999)</f>
        <v>1.87</v>
      </c>
    </row>
    <row r="68">
      <c r="A68" s="19" t="str">
        <f>IFERROR(__xludf.DUMMYFUNCTION("""COMPUTED_VALUE"""),"ID07452")</f>
        <v>ID07452</v>
      </c>
      <c r="B68" s="21">
        <f>IFERROR(__xludf.DUMMYFUNCTION("""COMPUTED_VALUE"""),44865.0)</f>
        <v>44865</v>
      </c>
      <c r="C68" s="19" t="str">
        <f>IFERROR(__xludf.DUMMYFUNCTION("""COMPUTED_VALUE"""),"Crackers")</f>
        <v>Crackers</v>
      </c>
      <c r="D68" s="19">
        <f>IFERROR(__xludf.DUMMYFUNCTION("""COMPUTED_VALUE"""),3.4899999999999998)</f>
        <v>3.49</v>
      </c>
    </row>
    <row r="69">
      <c r="A69" s="19" t="str">
        <f>IFERROR(__xludf.DUMMYFUNCTION("""COMPUTED_VALUE"""),"ID07455")</f>
        <v>ID07455</v>
      </c>
      <c r="B69" s="21">
        <f>IFERROR(__xludf.DUMMYFUNCTION("""COMPUTED_VALUE"""),44874.0)</f>
        <v>44874</v>
      </c>
      <c r="C69" s="19" t="str">
        <f>IFERROR(__xludf.DUMMYFUNCTION("""COMPUTED_VALUE"""),"Bars")</f>
        <v>Bars</v>
      </c>
      <c r="D69" s="19">
        <f>IFERROR(__xludf.DUMMYFUNCTION("""COMPUTED_VALUE"""),1.77)</f>
        <v>1.77</v>
      </c>
    </row>
    <row r="70">
      <c r="A70" s="19" t="str">
        <f>IFERROR(__xludf.DUMMYFUNCTION("""COMPUTED_VALUE"""),"ID07458")</f>
        <v>ID07458</v>
      </c>
      <c r="B70" s="21">
        <f>IFERROR(__xludf.DUMMYFUNCTION("""COMPUTED_VALUE"""),44883.0)</f>
        <v>44883</v>
      </c>
      <c r="C70" s="19" t="str">
        <f>IFERROR(__xludf.DUMMYFUNCTION("""COMPUTED_VALUE"""),"Bars")</f>
        <v>Bars</v>
      </c>
      <c r="D70" s="19">
        <f>IFERROR(__xludf.DUMMYFUNCTION("""COMPUTED_VALUE"""),1.87)</f>
        <v>1.87</v>
      </c>
    </row>
    <row r="71">
      <c r="A71" s="19" t="str">
        <f>IFERROR(__xludf.DUMMYFUNCTION("""COMPUTED_VALUE"""),"ID07459")</f>
        <v>ID07459</v>
      </c>
      <c r="B71" s="21">
        <f>IFERROR(__xludf.DUMMYFUNCTION("""COMPUTED_VALUE"""),44886.0)</f>
        <v>44886</v>
      </c>
      <c r="C71" s="19" t="str">
        <f>IFERROR(__xludf.DUMMYFUNCTION("""COMPUTED_VALUE"""),"Cookies")</f>
        <v>Cookies</v>
      </c>
      <c r="D71" s="19">
        <f>IFERROR(__xludf.DUMMYFUNCTION("""COMPUTED_VALUE"""),2.8400000000000003)</f>
        <v>2.84</v>
      </c>
    </row>
    <row r="72">
      <c r="A72" s="19" t="str">
        <f>IFERROR(__xludf.DUMMYFUNCTION("""COMPUTED_VALUE"""),"ID07462")</f>
        <v>ID07462</v>
      </c>
      <c r="B72" s="21">
        <f>IFERROR(__xludf.DUMMYFUNCTION("""COMPUTED_VALUE"""),44895.0)</f>
        <v>44895</v>
      </c>
      <c r="C72" s="19" t="str">
        <f>IFERROR(__xludf.DUMMYFUNCTION("""COMPUTED_VALUE"""),"Bars")</f>
        <v>Bars</v>
      </c>
      <c r="D72" s="19">
        <f>IFERROR(__xludf.DUMMYFUNCTION("""COMPUTED_VALUE"""),1.77)</f>
        <v>1.77</v>
      </c>
    </row>
    <row r="73">
      <c r="A73" s="19" t="str">
        <f>IFERROR(__xludf.DUMMYFUNCTION("""COMPUTED_VALUE"""),"ID07465")</f>
        <v>ID07465</v>
      </c>
      <c r="B73" s="21">
        <f>IFERROR(__xludf.DUMMYFUNCTION("""COMPUTED_VALUE"""),44904.0)</f>
        <v>44904</v>
      </c>
      <c r="C73" s="19" t="str">
        <f>IFERROR(__xludf.DUMMYFUNCTION("""COMPUTED_VALUE"""),"Bars")</f>
        <v>Bars</v>
      </c>
      <c r="D73" s="19">
        <f>IFERROR(__xludf.DUMMYFUNCTION("""COMPUTED_VALUE"""),2.27)</f>
        <v>2.27</v>
      </c>
    </row>
    <row r="74">
      <c r="A74" s="19" t="str">
        <f>IFERROR(__xludf.DUMMYFUNCTION("""COMPUTED_VALUE"""),"ID07466")</f>
        <v>ID07466</v>
      </c>
      <c r="B74" s="21">
        <f>IFERROR(__xludf.DUMMYFUNCTION("""COMPUTED_VALUE"""),44907.0)</f>
        <v>44907</v>
      </c>
      <c r="C74" s="19" t="str">
        <f>IFERROR(__xludf.DUMMYFUNCTION("""COMPUTED_VALUE"""),"Cookies")</f>
        <v>Cookies</v>
      </c>
      <c r="D74" s="19">
        <f>IFERROR(__xludf.DUMMYFUNCTION("""COMPUTED_VALUE"""),1.8699999999999999)</f>
        <v>1.87</v>
      </c>
    </row>
    <row r="75">
      <c r="A75" s="19" t="str">
        <f>IFERROR(__xludf.DUMMYFUNCTION("""COMPUTED_VALUE"""),"ID07467")</f>
        <v>ID07467</v>
      </c>
      <c r="B75" s="21">
        <f>IFERROR(__xludf.DUMMYFUNCTION("""COMPUTED_VALUE"""),44910.0)</f>
        <v>44910</v>
      </c>
      <c r="C75" s="19" t="str">
        <f>IFERROR(__xludf.DUMMYFUNCTION("""COMPUTED_VALUE"""),"Crackers")</f>
        <v>Crackers</v>
      </c>
      <c r="D75" s="19">
        <f>IFERROR(__xludf.DUMMYFUNCTION("""COMPUTED_VALUE"""),3.49)</f>
        <v>3.49</v>
      </c>
    </row>
    <row r="76">
      <c r="A76" s="19" t="str">
        <f>IFERROR(__xludf.DUMMYFUNCTION("""COMPUTED_VALUE"""),"ID07470")</f>
        <v>ID07470</v>
      </c>
      <c r="B76" s="21">
        <f>IFERROR(__xludf.DUMMYFUNCTION("""COMPUTED_VALUE"""),44919.0)</f>
        <v>44919</v>
      </c>
      <c r="C76" s="19" t="str">
        <f>IFERROR(__xludf.DUMMYFUNCTION("""COMPUTED_VALUE"""),"Cookies")</f>
        <v>Cookies</v>
      </c>
      <c r="D76" s="19">
        <f>IFERROR(__xludf.DUMMYFUNCTION("""COMPUTED_VALUE"""),2.1799999999999997)</f>
        <v>2.18</v>
      </c>
    </row>
    <row r="77">
      <c r="A77" s="19" t="str">
        <f>IFERROR(__xludf.DUMMYFUNCTION("""COMPUTED_VALUE"""),"ID07471")</f>
        <v>ID07471</v>
      </c>
      <c r="B77" s="21">
        <f>IFERROR(__xludf.DUMMYFUNCTION("""COMPUTED_VALUE"""),44922.0)</f>
        <v>44922</v>
      </c>
      <c r="C77" s="19" t="str">
        <f>IFERROR(__xludf.DUMMYFUNCTION("""COMPUTED_VALUE"""),"Cookies")</f>
        <v>Cookies</v>
      </c>
      <c r="D77" s="19">
        <f>IFERROR(__xludf.DUMMYFUNCTION("""COMPUTED_VALUE"""),1.8699999999999999)</f>
        <v>1.87</v>
      </c>
    </row>
    <row r="78">
      <c r="A78" s="19" t="str">
        <f>IFERROR(__xludf.DUMMYFUNCTION("""COMPUTED_VALUE"""),"ID07473")</f>
        <v>ID07473</v>
      </c>
      <c r="B78" s="21">
        <f>IFERROR(__xludf.DUMMYFUNCTION("""COMPUTED_VALUE"""),44928.0)</f>
        <v>44928</v>
      </c>
      <c r="C78" s="19" t="str">
        <f>IFERROR(__xludf.DUMMYFUNCTION("""COMPUTED_VALUE"""),"Cookies")</f>
        <v>Cookies</v>
      </c>
      <c r="D78" s="19">
        <f>IFERROR(__xludf.DUMMYFUNCTION("""COMPUTED_VALUE"""),2.18)</f>
        <v>2.18</v>
      </c>
    </row>
    <row r="79">
      <c r="A79" s="19" t="str">
        <f>IFERROR(__xludf.DUMMYFUNCTION("""COMPUTED_VALUE"""),"ID07474")</f>
        <v>ID07474</v>
      </c>
      <c r="B79" s="21">
        <f>IFERROR(__xludf.DUMMYFUNCTION("""COMPUTED_VALUE"""),44931.0)</f>
        <v>44931</v>
      </c>
      <c r="C79" s="19" t="str">
        <f>IFERROR(__xludf.DUMMYFUNCTION("""COMPUTED_VALUE"""),"Bars")</f>
        <v>Bars</v>
      </c>
      <c r="D79" s="19">
        <f>IFERROR(__xludf.DUMMYFUNCTION("""COMPUTED_VALUE"""),1.77)</f>
        <v>1.77</v>
      </c>
    </row>
    <row r="80">
      <c r="A80" s="19" t="str">
        <f>IFERROR(__xludf.DUMMYFUNCTION("""COMPUTED_VALUE"""),"ID07475")</f>
        <v>ID07475</v>
      </c>
      <c r="B80" s="21">
        <f>IFERROR(__xludf.DUMMYFUNCTION("""COMPUTED_VALUE"""),44934.0)</f>
        <v>44934</v>
      </c>
      <c r="C80" s="19" t="str">
        <f>IFERROR(__xludf.DUMMYFUNCTION("""COMPUTED_VALUE"""),"Snacks")</f>
        <v>Snacks</v>
      </c>
      <c r="D80" s="19">
        <f>IFERROR(__xludf.DUMMYFUNCTION("""COMPUTED_VALUE"""),3.15)</f>
        <v>3.15</v>
      </c>
    </row>
    <row r="81">
      <c r="A81" s="19" t="str">
        <f>IFERROR(__xludf.DUMMYFUNCTION("""COMPUTED_VALUE"""),"ID07478")</f>
        <v>ID07478</v>
      </c>
      <c r="B81" s="21">
        <f>IFERROR(__xludf.DUMMYFUNCTION("""COMPUTED_VALUE"""),44943.0)</f>
        <v>44943</v>
      </c>
      <c r="C81" s="19" t="str">
        <f>IFERROR(__xludf.DUMMYFUNCTION("""COMPUTED_VALUE"""),"Bars")</f>
        <v>Bars</v>
      </c>
      <c r="D81" s="19">
        <f>IFERROR(__xludf.DUMMYFUNCTION("""COMPUTED_VALUE"""),1.77)</f>
        <v>1.77</v>
      </c>
    </row>
    <row r="82">
      <c r="A82" s="19" t="str">
        <f>IFERROR(__xludf.DUMMYFUNCTION("""COMPUTED_VALUE"""),"ID07479")</f>
        <v>ID07479</v>
      </c>
      <c r="B82" s="21">
        <f>IFERROR(__xludf.DUMMYFUNCTION("""COMPUTED_VALUE"""),44946.0)</f>
        <v>44946</v>
      </c>
      <c r="C82" s="19" t="str">
        <f>IFERROR(__xludf.DUMMYFUNCTION("""COMPUTED_VALUE"""),"Crackers")</f>
        <v>Crackers</v>
      </c>
      <c r="D82" s="19">
        <f>IFERROR(__xludf.DUMMYFUNCTION("""COMPUTED_VALUE"""),3.4899999999999998)</f>
        <v>3.49</v>
      </c>
    </row>
    <row r="83">
      <c r="A83" s="19" t="str">
        <f>IFERROR(__xludf.DUMMYFUNCTION("""COMPUTED_VALUE"""),"ID07481")</f>
        <v>ID07481</v>
      </c>
      <c r="B83" s="21">
        <f>IFERROR(__xludf.DUMMYFUNCTION("""COMPUTED_VALUE"""),44952.0)</f>
        <v>44952</v>
      </c>
      <c r="C83" s="19" t="str">
        <f>IFERROR(__xludf.DUMMYFUNCTION("""COMPUTED_VALUE"""),"Cookies")</f>
        <v>Cookies</v>
      </c>
      <c r="D83" s="19">
        <f>IFERROR(__xludf.DUMMYFUNCTION("""COMPUTED_VALUE"""),2.18)</f>
        <v>2.18</v>
      </c>
    </row>
    <row r="84">
      <c r="A84" s="19" t="str">
        <f>IFERROR(__xludf.DUMMYFUNCTION("""COMPUTED_VALUE"""),"ID07482")</f>
        <v>ID07482</v>
      </c>
      <c r="B84" s="21">
        <f>IFERROR(__xludf.DUMMYFUNCTION("""COMPUTED_VALUE"""),44955.0)</f>
        <v>44955</v>
      </c>
      <c r="C84" s="19" t="str">
        <f>IFERROR(__xludf.DUMMYFUNCTION("""COMPUTED_VALUE"""),"Bars")</f>
        <v>Bars</v>
      </c>
      <c r="D84" s="19">
        <f>IFERROR(__xludf.DUMMYFUNCTION("""COMPUTED_VALUE"""),1.77)</f>
        <v>1.77</v>
      </c>
    </row>
    <row r="85">
      <c r="A85" s="19" t="str">
        <f>IFERROR(__xludf.DUMMYFUNCTION("""COMPUTED_VALUE"""),"ID07483")</f>
        <v>ID07483</v>
      </c>
      <c r="B85" s="21">
        <f>IFERROR(__xludf.DUMMYFUNCTION("""COMPUTED_VALUE"""),44958.0)</f>
        <v>44958</v>
      </c>
      <c r="C85" s="19" t="str">
        <f>IFERROR(__xludf.DUMMYFUNCTION("""COMPUTED_VALUE"""),"Snacks")</f>
        <v>Snacks</v>
      </c>
      <c r="D85" s="19">
        <f>IFERROR(__xludf.DUMMYFUNCTION("""COMPUTED_VALUE"""),1.68)</f>
        <v>1.68</v>
      </c>
    </row>
    <row r="86">
      <c r="A86" s="19" t="str">
        <f>IFERROR(__xludf.DUMMYFUNCTION("""COMPUTED_VALUE"""),"ID07486")</f>
        <v>ID07486</v>
      </c>
      <c r="B86" s="21">
        <f>IFERROR(__xludf.DUMMYFUNCTION("""COMPUTED_VALUE"""),44967.0)</f>
        <v>44967</v>
      </c>
      <c r="C86" s="19" t="str">
        <f>IFERROR(__xludf.DUMMYFUNCTION("""COMPUTED_VALUE"""),"Bars")</f>
        <v>Bars</v>
      </c>
      <c r="D86" s="19">
        <f>IFERROR(__xludf.DUMMYFUNCTION("""COMPUTED_VALUE"""),1.77)</f>
        <v>1.77</v>
      </c>
    </row>
    <row r="87">
      <c r="A87" s="19" t="str">
        <f>IFERROR(__xludf.DUMMYFUNCTION("""COMPUTED_VALUE"""),"ID07487")</f>
        <v>ID07487</v>
      </c>
      <c r="B87" s="21">
        <f>IFERROR(__xludf.DUMMYFUNCTION("""COMPUTED_VALUE"""),44970.0)</f>
        <v>44970</v>
      </c>
      <c r="C87" s="19" t="str">
        <f>IFERROR(__xludf.DUMMYFUNCTION("""COMPUTED_VALUE"""),"Snacks")</f>
        <v>Snacks</v>
      </c>
      <c r="D87" s="19">
        <f>IFERROR(__xludf.DUMMYFUNCTION("""COMPUTED_VALUE"""),1.6800000000000002)</f>
        <v>1.68</v>
      </c>
    </row>
    <row r="88">
      <c r="A88" s="19" t="str">
        <f>IFERROR(__xludf.DUMMYFUNCTION("""COMPUTED_VALUE"""),"ID07489")</f>
        <v>ID07489</v>
      </c>
      <c r="B88" s="21">
        <f>IFERROR(__xludf.DUMMYFUNCTION("""COMPUTED_VALUE"""),44976.0)</f>
        <v>44976</v>
      </c>
      <c r="C88" s="19" t="str">
        <f>IFERROR(__xludf.DUMMYFUNCTION("""COMPUTED_VALUE"""),"Bars")</f>
        <v>Bars</v>
      </c>
      <c r="D88" s="19">
        <f>IFERROR(__xludf.DUMMYFUNCTION("""COMPUTED_VALUE"""),1.77)</f>
        <v>1.77</v>
      </c>
    </row>
    <row r="89">
      <c r="A89" s="19" t="str">
        <f>IFERROR(__xludf.DUMMYFUNCTION("""COMPUTED_VALUE"""),"ID07490")</f>
        <v>ID07490</v>
      </c>
      <c r="B89" s="21">
        <f>IFERROR(__xludf.DUMMYFUNCTION("""COMPUTED_VALUE"""),44979.0)</f>
        <v>44979</v>
      </c>
      <c r="C89" s="19" t="str">
        <f>IFERROR(__xludf.DUMMYFUNCTION("""COMPUTED_VALUE"""),"Snacks")</f>
        <v>Snacks</v>
      </c>
      <c r="D89" s="19">
        <f>IFERROR(__xludf.DUMMYFUNCTION("""COMPUTED_VALUE"""),3.1500000000000004)</f>
        <v>3.15</v>
      </c>
    </row>
    <row r="90">
      <c r="A90" s="19" t="str">
        <f>IFERROR(__xludf.DUMMYFUNCTION("""COMPUTED_VALUE"""),"ID07493")</f>
        <v>ID07493</v>
      </c>
      <c r="B90" s="21">
        <f>IFERROR(__xludf.DUMMYFUNCTION("""COMPUTED_VALUE"""),44987.0)</f>
        <v>44987</v>
      </c>
      <c r="C90" s="19" t="str">
        <f>IFERROR(__xludf.DUMMYFUNCTION("""COMPUTED_VALUE"""),"Bars")</f>
        <v>Bars</v>
      </c>
      <c r="D90" s="19">
        <f>IFERROR(__xludf.DUMMYFUNCTION("""COMPUTED_VALUE"""),1.8699999999999999)</f>
        <v>1.87</v>
      </c>
    </row>
    <row r="91">
      <c r="A91" s="19" t="str">
        <f>IFERROR(__xludf.DUMMYFUNCTION("""COMPUTED_VALUE"""),"ID07494")</f>
        <v>ID07494</v>
      </c>
      <c r="B91" s="21">
        <f>IFERROR(__xludf.DUMMYFUNCTION("""COMPUTED_VALUE"""),44990.0)</f>
        <v>44990</v>
      </c>
      <c r="C91" s="19" t="str">
        <f>IFERROR(__xludf.DUMMYFUNCTION("""COMPUTED_VALUE"""),"Cookies")</f>
        <v>Cookies</v>
      </c>
      <c r="D91" s="19">
        <f>IFERROR(__xludf.DUMMYFUNCTION("""COMPUTED_VALUE"""),2.8400000000000003)</f>
        <v>2.84</v>
      </c>
    </row>
    <row r="92">
      <c r="A92" s="19" t="str">
        <f>IFERROR(__xludf.DUMMYFUNCTION("""COMPUTED_VALUE"""),"ID07497")</f>
        <v>ID07497</v>
      </c>
      <c r="B92" s="21">
        <f>IFERROR(__xludf.DUMMYFUNCTION("""COMPUTED_VALUE"""),44999.0)</f>
        <v>44999</v>
      </c>
      <c r="C92" s="19" t="str">
        <f>IFERROR(__xludf.DUMMYFUNCTION("""COMPUTED_VALUE"""),"Bars")</f>
        <v>Bars</v>
      </c>
      <c r="D92" s="19">
        <f>IFERROR(__xludf.DUMMYFUNCTION("""COMPUTED_VALUE"""),1.7700000000000002)</f>
        <v>1.77</v>
      </c>
    </row>
    <row r="93">
      <c r="A93" s="19" t="str">
        <f>IFERROR(__xludf.DUMMYFUNCTION("""COMPUTED_VALUE"""),"ID07498")</f>
        <v>ID07498</v>
      </c>
      <c r="B93" s="21">
        <f>IFERROR(__xludf.DUMMYFUNCTION("""COMPUTED_VALUE"""),45002.0)</f>
        <v>45002</v>
      </c>
      <c r="C93" s="19" t="str">
        <f>IFERROR(__xludf.DUMMYFUNCTION("""COMPUTED_VALUE"""),"Snacks")</f>
        <v>Snacks</v>
      </c>
      <c r="D93" s="19">
        <f>IFERROR(__xludf.DUMMYFUNCTION("""COMPUTED_VALUE"""),1.68)</f>
        <v>1.68</v>
      </c>
    </row>
    <row r="94">
      <c r="A94" s="19" t="str">
        <f>IFERROR(__xludf.DUMMYFUNCTION("""COMPUTED_VALUE"""),"ID07501")</f>
        <v>ID07501</v>
      </c>
      <c r="B94" s="21">
        <f>IFERROR(__xludf.DUMMYFUNCTION("""COMPUTED_VALUE"""),45011.0)</f>
        <v>45011</v>
      </c>
      <c r="C94" s="19" t="str">
        <f>IFERROR(__xludf.DUMMYFUNCTION("""COMPUTED_VALUE"""),"Bars")</f>
        <v>Bars</v>
      </c>
      <c r="D94" s="19">
        <f>IFERROR(__xludf.DUMMYFUNCTION("""COMPUTED_VALUE"""),1.87)</f>
        <v>1.87</v>
      </c>
    </row>
    <row r="95">
      <c r="A95" s="19" t="str">
        <f>IFERROR(__xludf.DUMMYFUNCTION("""COMPUTED_VALUE"""),"ID07502")</f>
        <v>ID07502</v>
      </c>
      <c r="B95" s="21">
        <f>IFERROR(__xludf.DUMMYFUNCTION("""COMPUTED_VALUE"""),45014.0)</f>
        <v>45014</v>
      </c>
      <c r="C95" s="19" t="str">
        <f>IFERROR(__xludf.DUMMYFUNCTION("""COMPUTED_VALUE"""),"Cookies")</f>
        <v>Cookies</v>
      </c>
      <c r="D95" s="19">
        <f>IFERROR(__xludf.DUMMYFUNCTION("""COMPUTED_VALUE"""),2.84)</f>
        <v>2.84</v>
      </c>
    </row>
    <row r="96">
      <c r="A96" s="19" t="str">
        <f>IFERROR(__xludf.DUMMYFUNCTION("""COMPUTED_VALUE"""),"ID07504")</f>
        <v>ID07504</v>
      </c>
      <c r="B96" s="21">
        <f>IFERROR(__xludf.DUMMYFUNCTION("""COMPUTED_VALUE"""),45020.0)</f>
        <v>45020</v>
      </c>
      <c r="C96" s="19" t="str">
        <f>IFERROR(__xludf.DUMMYFUNCTION("""COMPUTED_VALUE"""),"Cookies")</f>
        <v>Cookies</v>
      </c>
      <c r="D96" s="19">
        <f>IFERROR(__xludf.DUMMYFUNCTION("""COMPUTED_VALUE"""),2.18)</f>
        <v>2.18</v>
      </c>
    </row>
    <row r="97">
      <c r="A97" s="19" t="str">
        <f>IFERROR(__xludf.DUMMYFUNCTION("""COMPUTED_VALUE"""),"ID07505")</f>
        <v>ID07505</v>
      </c>
      <c r="B97" s="21">
        <f>IFERROR(__xludf.DUMMYFUNCTION("""COMPUTED_VALUE"""),45023.0)</f>
        <v>45023</v>
      </c>
      <c r="C97" s="19" t="str">
        <f>IFERROR(__xludf.DUMMYFUNCTION("""COMPUTED_VALUE"""),"Cookies")</f>
        <v>Cookies</v>
      </c>
      <c r="D97" s="19">
        <f>IFERROR(__xludf.DUMMYFUNCTION("""COMPUTED_VALUE"""),2.84)</f>
        <v>2.84</v>
      </c>
    </row>
    <row r="98">
      <c r="A98" s="19" t="str">
        <f>IFERROR(__xludf.DUMMYFUNCTION("""COMPUTED_VALUE"""),"ID07508")</f>
        <v>ID07508</v>
      </c>
      <c r="B98" s="21">
        <f>IFERROR(__xludf.DUMMYFUNCTION("""COMPUTED_VALUE"""),45032.0)</f>
        <v>45032</v>
      </c>
      <c r="C98" s="19" t="str">
        <f>IFERROR(__xludf.DUMMYFUNCTION("""COMPUTED_VALUE"""),"Bars")</f>
        <v>Bars</v>
      </c>
      <c r="D98" s="19">
        <f>IFERROR(__xludf.DUMMYFUNCTION("""COMPUTED_VALUE"""),1.7699999999999998)</f>
        <v>1.77</v>
      </c>
    </row>
    <row r="99">
      <c r="A99" s="19" t="str">
        <f>IFERROR(__xludf.DUMMYFUNCTION("""COMPUTED_VALUE"""),"ID07509")</f>
        <v>ID07509</v>
      </c>
      <c r="B99" s="21">
        <f>IFERROR(__xludf.DUMMYFUNCTION("""COMPUTED_VALUE"""),45035.0)</f>
        <v>45035</v>
      </c>
      <c r="C99" s="19" t="str">
        <f>IFERROR(__xludf.DUMMYFUNCTION("""COMPUTED_VALUE"""),"Snacks")</f>
        <v>Snacks</v>
      </c>
      <c r="D99" s="19">
        <f>IFERROR(__xludf.DUMMYFUNCTION("""COMPUTED_VALUE"""),1.68)</f>
        <v>1.68</v>
      </c>
    </row>
    <row r="100">
      <c r="A100" s="19" t="str">
        <f>IFERROR(__xludf.DUMMYFUNCTION("""COMPUTED_VALUE"""),"ID07511")</f>
        <v>ID07511</v>
      </c>
      <c r="B100" s="21">
        <f>IFERROR(__xludf.DUMMYFUNCTION("""COMPUTED_VALUE"""),45041.0)</f>
        <v>45041</v>
      </c>
      <c r="C100" s="19" t="str">
        <f>IFERROR(__xludf.DUMMYFUNCTION("""COMPUTED_VALUE"""),"Bars")</f>
        <v>Bars</v>
      </c>
      <c r="D100" s="19">
        <f>IFERROR(__xludf.DUMMYFUNCTION("""COMPUTED_VALUE"""),1.87)</f>
        <v>1.87</v>
      </c>
    </row>
    <row r="101">
      <c r="A101" s="19" t="str">
        <f>IFERROR(__xludf.DUMMYFUNCTION("""COMPUTED_VALUE"""),"ID07512")</f>
        <v>ID07512</v>
      </c>
      <c r="B101" s="21">
        <f>IFERROR(__xludf.DUMMYFUNCTION("""COMPUTED_VALUE"""),45044.0)</f>
        <v>45044</v>
      </c>
      <c r="C101" s="19" t="str">
        <f>IFERROR(__xludf.DUMMYFUNCTION("""COMPUTED_VALUE"""),"Cookies")</f>
        <v>Cookies</v>
      </c>
      <c r="D101" s="19">
        <f>IFERROR(__xludf.DUMMYFUNCTION("""COMPUTED_VALUE"""),2.8400000000000003)</f>
        <v>2.84</v>
      </c>
    </row>
    <row r="102">
      <c r="A102" s="19" t="str">
        <f>IFERROR(__xludf.DUMMYFUNCTION("""COMPUTED_VALUE"""),"ID07515")</f>
        <v>ID07515</v>
      </c>
      <c r="B102" s="21">
        <f>IFERROR(__xludf.DUMMYFUNCTION("""COMPUTED_VALUE"""),45053.0)</f>
        <v>45053</v>
      </c>
      <c r="C102" s="19" t="str">
        <f>IFERROR(__xludf.DUMMYFUNCTION("""COMPUTED_VALUE"""),"Bars")</f>
        <v>Bars</v>
      </c>
      <c r="D102" s="19">
        <f>IFERROR(__xludf.DUMMYFUNCTION("""COMPUTED_VALUE"""),1.87)</f>
        <v>1.87</v>
      </c>
    </row>
    <row r="103">
      <c r="A103" s="19" t="str">
        <f>IFERROR(__xludf.DUMMYFUNCTION("""COMPUTED_VALUE"""),"ID07516")</f>
        <v>ID07516</v>
      </c>
      <c r="B103" s="21">
        <f>IFERROR(__xludf.DUMMYFUNCTION("""COMPUTED_VALUE"""),45056.0)</f>
        <v>45056</v>
      </c>
      <c r="C103" s="19" t="str">
        <f>IFERROR(__xludf.DUMMYFUNCTION("""COMPUTED_VALUE"""),"Cookies")</f>
        <v>Cookies</v>
      </c>
      <c r="D103" s="19">
        <f>IFERROR(__xludf.DUMMYFUNCTION("""COMPUTED_VALUE"""),2.84)</f>
        <v>2.84</v>
      </c>
    </row>
    <row r="104">
      <c r="A104" s="19" t="str">
        <f>IFERROR(__xludf.DUMMYFUNCTION("""COMPUTED_VALUE"""),"ID07518")</f>
        <v>ID07518</v>
      </c>
      <c r="B104" s="21">
        <f>IFERROR(__xludf.DUMMYFUNCTION("""COMPUTED_VALUE"""),45062.0)</f>
        <v>45062</v>
      </c>
      <c r="C104" s="19" t="str">
        <f>IFERROR(__xludf.DUMMYFUNCTION("""COMPUTED_VALUE"""),"Bars")</f>
        <v>Bars</v>
      </c>
      <c r="D104" s="19">
        <f>IFERROR(__xludf.DUMMYFUNCTION("""COMPUTED_VALUE"""),1.77)</f>
        <v>1.77</v>
      </c>
    </row>
    <row r="105">
      <c r="A105" s="19" t="str">
        <f>IFERROR(__xludf.DUMMYFUNCTION("""COMPUTED_VALUE"""),"ID07519")</f>
        <v>ID07519</v>
      </c>
      <c r="B105" s="21">
        <f>IFERROR(__xludf.DUMMYFUNCTION("""COMPUTED_VALUE"""),45065.0)</f>
        <v>45065</v>
      </c>
      <c r="C105" s="19" t="str">
        <f>IFERROR(__xludf.DUMMYFUNCTION("""COMPUTED_VALUE"""),"Snacks")</f>
        <v>Snacks</v>
      </c>
      <c r="D105" s="19">
        <f>IFERROR(__xludf.DUMMYFUNCTION("""COMPUTED_VALUE"""),3.15)</f>
        <v>3.15</v>
      </c>
    </row>
    <row r="106">
      <c r="A106" s="19" t="str">
        <f>IFERROR(__xludf.DUMMYFUNCTION("""COMPUTED_VALUE"""),"ID07521")</f>
        <v>ID07521</v>
      </c>
      <c r="B106" s="21">
        <f>IFERROR(__xludf.DUMMYFUNCTION("""COMPUTED_VALUE"""),45071.0)</f>
        <v>45071</v>
      </c>
      <c r="C106" s="19" t="str">
        <f>IFERROR(__xludf.DUMMYFUNCTION("""COMPUTED_VALUE"""),"Bars")</f>
        <v>Bars</v>
      </c>
      <c r="D106" s="19">
        <f>IFERROR(__xludf.DUMMYFUNCTION("""COMPUTED_VALUE"""),1.77)</f>
        <v>1.77</v>
      </c>
    </row>
    <row r="107">
      <c r="A107" s="19" t="str">
        <f>IFERROR(__xludf.DUMMYFUNCTION("""COMPUTED_VALUE"""),"ID07524")</f>
        <v>ID07524</v>
      </c>
      <c r="B107" s="21">
        <f>IFERROR(__xludf.DUMMYFUNCTION("""COMPUTED_VALUE"""),45080.0)</f>
        <v>45080</v>
      </c>
      <c r="C107" s="19" t="str">
        <f>IFERROR(__xludf.DUMMYFUNCTION("""COMPUTED_VALUE"""),"Bars")</f>
        <v>Bars</v>
      </c>
      <c r="D107" s="19">
        <f>IFERROR(__xludf.DUMMYFUNCTION("""COMPUTED_VALUE"""),1.87)</f>
        <v>1.87</v>
      </c>
    </row>
    <row r="108">
      <c r="A108" s="19" t="str">
        <f>IFERROR(__xludf.DUMMYFUNCTION("""COMPUTED_VALUE"""),"ID07525")</f>
        <v>ID07525</v>
      </c>
      <c r="B108" s="21">
        <f>IFERROR(__xludf.DUMMYFUNCTION("""COMPUTED_VALUE"""),45083.0)</f>
        <v>45083</v>
      </c>
      <c r="C108" s="19" t="str">
        <f>IFERROR(__xludf.DUMMYFUNCTION("""COMPUTED_VALUE"""),"Cookies")</f>
        <v>Cookies</v>
      </c>
      <c r="D108" s="19">
        <f>IFERROR(__xludf.DUMMYFUNCTION("""COMPUTED_VALUE"""),2.8400000000000003)</f>
        <v>2.84</v>
      </c>
    </row>
    <row r="109">
      <c r="A109" s="19" t="str">
        <f>IFERROR(__xludf.DUMMYFUNCTION("""COMPUTED_VALUE"""),"ID07526")</f>
        <v>ID07526</v>
      </c>
      <c r="B109" s="21">
        <f>IFERROR(__xludf.DUMMYFUNCTION("""COMPUTED_VALUE"""),45086.0)</f>
        <v>45086</v>
      </c>
      <c r="C109" s="19" t="str">
        <f>IFERROR(__xludf.DUMMYFUNCTION("""COMPUTED_VALUE"""),"Crackers")</f>
        <v>Crackers</v>
      </c>
      <c r="D109" s="19">
        <f>IFERROR(__xludf.DUMMYFUNCTION("""COMPUTED_VALUE"""),3.4899999999999998)</f>
        <v>3.49</v>
      </c>
    </row>
    <row r="110">
      <c r="A110" s="19" t="str">
        <f>IFERROR(__xludf.DUMMYFUNCTION("""COMPUTED_VALUE"""),"ID07528")</f>
        <v>ID07528</v>
      </c>
      <c r="B110" s="21">
        <f>IFERROR(__xludf.DUMMYFUNCTION("""COMPUTED_VALUE"""),45092.0)</f>
        <v>45092</v>
      </c>
      <c r="C110" s="19" t="str">
        <f>IFERROR(__xludf.DUMMYFUNCTION("""COMPUTED_VALUE"""),"Bars")</f>
        <v>Bars</v>
      </c>
      <c r="D110" s="19">
        <f>IFERROR(__xludf.DUMMYFUNCTION("""COMPUTED_VALUE"""),1.87)</f>
        <v>1.87</v>
      </c>
    </row>
    <row r="111">
      <c r="A111" s="19" t="str">
        <f>IFERROR(__xludf.DUMMYFUNCTION("""COMPUTED_VALUE"""),"ID07529")</f>
        <v>ID07529</v>
      </c>
      <c r="B111" s="21">
        <f>IFERROR(__xludf.DUMMYFUNCTION("""COMPUTED_VALUE"""),45095.0)</f>
        <v>45095</v>
      </c>
      <c r="C111" s="19" t="str">
        <f>IFERROR(__xludf.DUMMYFUNCTION("""COMPUTED_VALUE"""),"Cookies")</f>
        <v>Cookies</v>
      </c>
      <c r="D111" s="19">
        <f>IFERROR(__xludf.DUMMYFUNCTION("""COMPUTED_VALUE"""),2.84)</f>
        <v>2.84</v>
      </c>
    </row>
    <row r="112">
      <c r="A112" s="19" t="str">
        <f>IFERROR(__xludf.DUMMYFUNCTION("""COMPUTED_VALUE"""),"ID07531")</f>
        <v>ID07531</v>
      </c>
      <c r="B112" s="21">
        <f>IFERROR(__xludf.DUMMYFUNCTION("""COMPUTED_VALUE"""),45101.0)</f>
        <v>45101</v>
      </c>
      <c r="C112" s="19" t="str">
        <f>IFERROR(__xludf.DUMMYFUNCTION("""COMPUTED_VALUE"""),"Bars")</f>
        <v>Bars</v>
      </c>
      <c r="D112" s="19">
        <f>IFERROR(__xludf.DUMMYFUNCTION("""COMPUTED_VALUE"""),2.27)</f>
        <v>2.27</v>
      </c>
    </row>
    <row r="113">
      <c r="A113" s="19" t="str">
        <f>IFERROR(__xludf.DUMMYFUNCTION("""COMPUTED_VALUE"""),"ID07532")</f>
        <v>ID07532</v>
      </c>
      <c r="B113" s="21">
        <f>IFERROR(__xludf.DUMMYFUNCTION("""COMPUTED_VALUE"""),45104.0)</f>
        <v>45104</v>
      </c>
      <c r="C113" s="19" t="str">
        <f>IFERROR(__xludf.DUMMYFUNCTION("""COMPUTED_VALUE"""),"Cookies")</f>
        <v>Cookies</v>
      </c>
      <c r="D113" s="19">
        <f>IFERROR(__xludf.DUMMYFUNCTION("""COMPUTED_VALUE"""),1.87)</f>
        <v>1.87</v>
      </c>
    </row>
    <row r="114">
      <c r="A114" s="19" t="str">
        <f>IFERROR(__xludf.DUMMYFUNCTION("""COMPUTED_VALUE"""),"ID07533")</f>
        <v>ID07533</v>
      </c>
      <c r="B114" s="21">
        <f>IFERROR(__xludf.DUMMYFUNCTION("""COMPUTED_VALUE"""),45107.0)</f>
        <v>45107</v>
      </c>
      <c r="C114" s="19" t="str">
        <f>IFERROR(__xludf.DUMMYFUNCTION("""COMPUTED_VALUE"""),"Crackers")</f>
        <v>Crackers</v>
      </c>
      <c r="D114" s="19">
        <f>IFERROR(__xludf.DUMMYFUNCTION("""COMPUTED_VALUE"""),3.4899999999999998)</f>
        <v>3.49</v>
      </c>
    </row>
    <row r="115">
      <c r="A115" s="19" t="str">
        <f>IFERROR(__xludf.DUMMYFUNCTION("""COMPUTED_VALUE"""),"ID07536")</f>
        <v>ID07536</v>
      </c>
      <c r="B115" s="21">
        <f>IFERROR(__xludf.DUMMYFUNCTION("""COMPUTED_VALUE"""),45116.0)</f>
        <v>45116</v>
      </c>
      <c r="C115" s="19" t="str">
        <f>IFERROR(__xludf.DUMMYFUNCTION("""COMPUTED_VALUE"""),"Cookies")</f>
        <v>Cookies</v>
      </c>
      <c r="D115" s="19">
        <f>IFERROR(__xludf.DUMMYFUNCTION("""COMPUTED_VALUE"""),2.1799999999999997)</f>
        <v>2.18</v>
      </c>
    </row>
    <row r="116">
      <c r="A116" s="19" t="str">
        <f>IFERROR(__xludf.DUMMYFUNCTION("""COMPUTED_VALUE"""),"ID07537")</f>
        <v>ID07537</v>
      </c>
      <c r="B116" s="21">
        <f>IFERROR(__xludf.DUMMYFUNCTION("""COMPUTED_VALUE"""),45119.0)</f>
        <v>45119</v>
      </c>
      <c r="C116" s="19" t="str">
        <f>IFERROR(__xludf.DUMMYFUNCTION("""COMPUTED_VALUE"""),"Cookies")</f>
        <v>Cookies</v>
      </c>
      <c r="D116" s="19">
        <f>IFERROR(__xludf.DUMMYFUNCTION("""COMPUTED_VALUE"""),1.8699999999999999)</f>
        <v>1.87</v>
      </c>
    </row>
    <row r="117">
      <c r="A117" s="19" t="str">
        <f>IFERROR(__xludf.DUMMYFUNCTION("""COMPUTED_VALUE"""),"ID07539")</f>
        <v>ID07539</v>
      </c>
      <c r="B117" s="21">
        <f>IFERROR(__xludf.DUMMYFUNCTION("""COMPUTED_VALUE"""),45125.0)</f>
        <v>45125</v>
      </c>
      <c r="C117" s="19" t="str">
        <f>IFERROR(__xludf.DUMMYFUNCTION("""COMPUTED_VALUE"""),"Bars")</f>
        <v>Bars</v>
      </c>
      <c r="D117" s="19">
        <f>IFERROR(__xludf.DUMMYFUNCTION("""COMPUTED_VALUE"""),2.27)</f>
        <v>2.27</v>
      </c>
    </row>
    <row r="118">
      <c r="A118" s="19" t="str">
        <f>IFERROR(__xludf.DUMMYFUNCTION("""COMPUTED_VALUE"""),"ID07540")</f>
        <v>ID07540</v>
      </c>
      <c r="B118" s="21">
        <f>IFERROR(__xludf.DUMMYFUNCTION("""COMPUTED_VALUE"""),45128.0)</f>
        <v>45128</v>
      </c>
      <c r="C118" s="19" t="str">
        <f>IFERROR(__xludf.DUMMYFUNCTION("""COMPUTED_VALUE"""),"Cookies")</f>
        <v>Cookies</v>
      </c>
      <c r="D118" s="19">
        <f>IFERROR(__xludf.DUMMYFUNCTION("""COMPUTED_VALUE"""),1.87)</f>
        <v>1.87</v>
      </c>
    </row>
    <row r="119">
      <c r="A119" s="19" t="str">
        <f>IFERROR(__xludf.DUMMYFUNCTION("""COMPUTED_VALUE"""),"ID07541")</f>
        <v>ID07541</v>
      </c>
      <c r="B119" s="21">
        <f>IFERROR(__xludf.DUMMYFUNCTION("""COMPUTED_VALUE"""),45131.0)</f>
        <v>45131</v>
      </c>
      <c r="C119" s="19" t="str">
        <f>IFERROR(__xludf.DUMMYFUNCTION("""COMPUTED_VALUE"""),"Crackers")</f>
        <v>Crackers</v>
      </c>
      <c r="D119" s="19">
        <f>IFERROR(__xludf.DUMMYFUNCTION("""COMPUTED_VALUE"""),3.4899999999999998)</f>
        <v>3.49</v>
      </c>
    </row>
    <row r="120">
      <c r="A120" s="19" t="str">
        <f>IFERROR(__xludf.DUMMYFUNCTION("""COMPUTED_VALUE"""),"ID07544")</f>
        <v>ID07544</v>
      </c>
      <c r="B120" s="21">
        <f>IFERROR(__xludf.DUMMYFUNCTION("""COMPUTED_VALUE"""),45140.0)</f>
        <v>45140</v>
      </c>
      <c r="C120" s="19" t="str">
        <f>IFERROR(__xludf.DUMMYFUNCTION("""COMPUTED_VALUE"""),"Bars")</f>
        <v>Bars</v>
      </c>
      <c r="D120" s="19">
        <f>IFERROR(__xludf.DUMMYFUNCTION("""COMPUTED_VALUE"""),1.77)</f>
        <v>1.77</v>
      </c>
    </row>
    <row r="121">
      <c r="A121" s="19" t="str">
        <f>IFERROR(__xludf.DUMMYFUNCTION("""COMPUTED_VALUE"""),"ID07547")</f>
        <v>ID07547</v>
      </c>
      <c r="B121" s="21">
        <f>IFERROR(__xludf.DUMMYFUNCTION("""COMPUTED_VALUE"""),45149.0)</f>
        <v>45149</v>
      </c>
      <c r="C121" s="19" t="str">
        <f>IFERROR(__xludf.DUMMYFUNCTION("""COMPUTED_VALUE"""),"Bars")</f>
        <v>Bars</v>
      </c>
      <c r="D121" s="19">
        <f>IFERROR(__xludf.DUMMYFUNCTION("""COMPUTED_VALUE"""),1.7699999999999998)</f>
        <v>1.77</v>
      </c>
    </row>
    <row r="122">
      <c r="A122" s="19" t="str">
        <f>IFERROR(__xludf.DUMMYFUNCTION("""COMPUTED_VALUE"""),"ID07548")</f>
        <v>ID07548</v>
      </c>
      <c r="B122" s="21">
        <f>IFERROR(__xludf.DUMMYFUNCTION("""COMPUTED_VALUE"""),45152.0)</f>
        <v>45152</v>
      </c>
      <c r="C122" s="19" t="str">
        <f>IFERROR(__xludf.DUMMYFUNCTION("""COMPUTED_VALUE"""),"Snacks")</f>
        <v>Snacks</v>
      </c>
      <c r="D122" s="19">
        <f>IFERROR(__xludf.DUMMYFUNCTION("""COMPUTED_VALUE"""),3.15)</f>
        <v>3.15</v>
      </c>
    </row>
    <row r="123">
      <c r="A123" s="19" t="str">
        <f>IFERROR(__xludf.DUMMYFUNCTION("""COMPUTED_VALUE"""),"ID07550")</f>
        <v>ID07550</v>
      </c>
      <c r="B123" s="21">
        <f>IFERROR(__xludf.DUMMYFUNCTION("""COMPUTED_VALUE"""),45158.0)</f>
        <v>45158</v>
      </c>
      <c r="C123" s="19" t="str">
        <f>IFERROR(__xludf.DUMMYFUNCTION("""COMPUTED_VALUE"""),"Bars")</f>
        <v>Bars</v>
      </c>
      <c r="D123" s="19">
        <f>IFERROR(__xludf.DUMMYFUNCTION("""COMPUTED_VALUE"""),1.87)</f>
        <v>1.87</v>
      </c>
    </row>
    <row r="124">
      <c r="A124" s="19" t="str">
        <f>IFERROR(__xludf.DUMMYFUNCTION("""COMPUTED_VALUE"""),"ID07551")</f>
        <v>ID07551</v>
      </c>
      <c r="B124" s="21">
        <f>IFERROR(__xludf.DUMMYFUNCTION("""COMPUTED_VALUE"""),45161.0)</f>
        <v>45161</v>
      </c>
      <c r="C124" s="19" t="str">
        <f>IFERROR(__xludf.DUMMYFUNCTION("""COMPUTED_VALUE"""),"Cookies")</f>
        <v>Cookies</v>
      </c>
      <c r="D124" s="19">
        <f>IFERROR(__xludf.DUMMYFUNCTION("""COMPUTED_VALUE"""),2.84)</f>
        <v>2.84</v>
      </c>
    </row>
    <row r="125">
      <c r="A125" s="19" t="str">
        <f>IFERROR(__xludf.DUMMYFUNCTION("""COMPUTED_VALUE"""),"ID07553")</f>
        <v>ID07553</v>
      </c>
      <c r="B125" s="21">
        <f>IFERROR(__xludf.DUMMYFUNCTION("""COMPUTED_VALUE"""),45167.0)</f>
        <v>45167</v>
      </c>
      <c r="C125" s="19" t="str">
        <f>IFERROR(__xludf.DUMMYFUNCTION("""COMPUTED_VALUE"""),"Cookies")</f>
        <v>Cookies</v>
      </c>
      <c r="D125" s="19">
        <f>IFERROR(__xludf.DUMMYFUNCTION("""COMPUTED_VALUE"""),2.18)</f>
        <v>2.18</v>
      </c>
    </row>
    <row r="126">
      <c r="A126" s="19" t="str">
        <f>IFERROR(__xludf.DUMMYFUNCTION("""COMPUTED_VALUE"""),"ID07554")</f>
        <v>ID07554</v>
      </c>
      <c r="B126" s="21">
        <f>IFERROR(__xludf.DUMMYFUNCTION("""COMPUTED_VALUE"""),45170.0)</f>
        <v>45170</v>
      </c>
      <c r="C126" s="19" t="str">
        <f>IFERROR(__xludf.DUMMYFUNCTION("""COMPUTED_VALUE"""),"Bars")</f>
        <v>Bars</v>
      </c>
      <c r="D126" s="19">
        <f>IFERROR(__xludf.DUMMYFUNCTION("""COMPUTED_VALUE"""),1.77)</f>
        <v>1.77</v>
      </c>
    </row>
    <row r="127">
      <c r="A127" s="19" t="str">
        <f>IFERROR(__xludf.DUMMYFUNCTION("""COMPUTED_VALUE"""),"ID07555")</f>
        <v>ID07555</v>
      </c>
      <c r="B127" s="21">
        <f>IFERROR(__xludf.DUMMYFUNCTION("""COMPUTED_VALUE"""),45173.0)</f>
        <v>45173</v>
      </c>
      <c r="C127" s="19" t="str">
        <f>IFERROR(__xludf.DUMMYFUNCTION("""COMPUTED_VALUE"""),"Snacks")</f>
        <v>Snacks</v>
      </c>
      <c r="D127" s="19">
        <f>IFERROR(__xludf.DUMMYFUNCTION("""COMPUTED_VALUE"""),3.1500000000000004)</f>
        <v>3.15</v>
      </c>
    </row>
    <row r="128">
      <c r="A128" s="19" t="str">
        <f>IFERROR(__xludf.DUMMYFUNCTION("""COMPUTED_VALUE"""),"ID07558")</f>
        <v>ID07558</v>
      </c>
      <c r="B128" s="21">
        <f>IFERROR(__xludf.DUMMYFUNCTION("""COMPUTED_VALUE"""),45182.0)</f>
        <v>45182</v>
      </c>
      <c r="C128" s="19" t="str">
        <f>IFERROR(__xludf.DUMMYFUNCTION("""COMPUTED_VALUE"""),"Bars")</f>
        <v>Bars</v>
      </c>
      <c r="D128" s="19">
        <f>IFERROR(__xludf.DUMMYFUNCTION("""COMPUTED_VALUE"""),1.77)</f>
        <v>1.77</v>
      </c>
    </row>
    <row r="129">
      <c r="A129" s="19" t="str">
        <f>IFERROR(__xludf.DUMMYFUNCTION("""COMPUTED_VALUE"""),"ID07559")</f>
        <v>ID07559</v>
      </c>
      <c r="B129" s="21">
        <f>IFERROR(__xludf.DUMMYFUNCTION("""COMPUTED_VALUE"""),45185.0)</f>
        <v>45185</v>
      </c>
      <c r="C129" s="19" t="str">
        <f>IFERROR(__xludf.DUMMYFUNCTION("""COMPUTED_VALUE"""),"Snacks")</f>
        <v>Snacks</v>
      </c>
      <c r="D129" s="19">
        <f>IFERROR(__xludf.DUMMYFUNCTION("""COMPUTED_VALUE"""),1.6800000000000002)</f>
        <v>1.68</v>
      </c>
    </row>
    <row r="130">
      <c r="A130" s="19" t="str">
        <f>IFERROR(__xludf.DUMMYFUNCTION("""COMPUTED_VALUE"""),"ID07561")</f>
        <v>ID07561</v>
      </c>
      <c r="B130" s="21">
        <f>IFERROR(__xludf.DUMMYFUNCTION("""COMPUTED_VALUE"""),45191.0)</f>
        <v>45191</v>
      </c>
      <c r="C130" s="19" t="str">
        <f>IFERROR(__xludf.DUMMYFUNCTION("""COMPUTED_VALUE"""),"Cookies")</f>
        <v>Cookies</v>
      </c>
      <c r="D130" s="19">
        <f>IFERROR(__xludf.DUMMYFUNCTION("""COMPUTED_VALUE"""),2.18)</f>
        <v>2.18</v>
      </c>
    </row>
    <row r="131">
      <c r="A131" s="19" t="str">
        <f>IFERROR(__xludf.DUMMYFUNCTION("""COMPUTED_VALUE"""),"ID07562")</f>
        <v>ID07562</v>
      </c>
      <c r="B131" s="21">
        <f>IFERROR(__xludf.DUMMYFUNCTION("""COMPUTED_VALUE"""),45194.0)</f>
        <v>45194</v>
      </c>
      <c r="C131" s="19" t="str">
        <f>IFERROR(__xludf.DUMMYFUNCTION("""COMPUTED_VALUE"""),"Bars")</f>
        <v>Bars</v>
      </c>
      <c r="D131" s="19">
        <f>IFERROR(__xludf.DUMMYFUNCTION("""COMPUTED_VALUE"""),1.77)</f>
        <v>1.77</v>
      </c>
    </row>
    <row r="132">
      <c r="A132" s="19" t="str">
        <f>IFERROR(__xludf.DUMMYFUNCTION("""COMPUTED_VALUE"""),"ID07563")</f>
        <v>ID07563</v>
      </c>
      <c r="B132" s="21">
        <f>IFERROR(__xludf.DUMMYFUNCTION("""COMPUTED_VALUE"""),45197.0)</f>
        <v>45197</v>
      </c>
      <c r="C132" s="19" t="str">
        <f>IFERROR(__xludf.DUMMYFUNCTION("""COMPUTED_VALUE"""),"Snacks")</f>
        <v>Snacks</v>
      </c>
      <c r="D132" s="19">
        <f>IFERROR(__xludf.DUMMYFUNCTION("""COMPUTED_VALUE"""),3.1500000000000004)</f>
        <v>3.15</v>
      </c>
    </row>
    <row r="133">
      <c r="A133" s="19" t="str">
        <f>IFERROR(__xludf.DUMMYFUNCTION("""COMPUTED_VALUE"""),"ID07566")</f>
        <v>ID07566</v>
      </c>
      <c r="B133" s="21">
        <f>IFERROR(__xludf.DUMMYFUNCTION("""COMPUTED_VALUE"""),45206.0)</f>
        <v>45206</v>
      </c>
      <c r="C133" s="19" t="str">
        <f>IFERROR(__xludf.DUMMYFUNCTION("""COMPUTED_VALUE"""),"Cookies")</f>
        <v>Cookies</v>
      </c>
      <c r="D133" s="19">
        <f>IFERROR(__xludf.DUMMYFUNCTION("""COMPUTED_VALUE"""),2.18)</f>
        <v>2.18</v>
      </c>
    </row>
    <row r="134">
      <c r="A134" s="19" t="str">
        <f>IFERROR(__xludf.DUMMYFUNCTION("""COMPUTED_VALUE"""),"ID07567")</f>
        <v>ID07567</v>
      </c>
      <c r="B134" s="21">
        <f>IFERROR(__xludf.DUMMYFUNCTION("""COMPUTED_VALUE"""),45209.0)</f>
        <v>45209</v>
      </c>
      <c r="C134" s="19" t="str">
        <f>IFERROR(__xludf.DUMMYFUNCTION("""COMPUTED_VALUE"""),"Cookies")</f>
        <v>Cookies</v>
      </c>
      <c r="D134" s="19">
        <f>IFERROR(__xludf.DUMMYFUNCTION("""COMPUTED_VALUE"""),1.8699999999999999)</f>
        <v>1.87</v>
      </c>
    </row>
    <row r="135">
      <c r="A135" s="19" t="str">
        <f>IFERROR(__xludf.DUMMYFUNCTION("""COMPUTED_VALUE"""),"ID07569")</f>
        <v>ID07569</v>
      </c>
      <c r="B135" s="21">
        <f>IFERROR(__xludf.DUMMYFUNCTION("""COMPUTED_VALUE"""),45215.0)</f>
        <v>45215</v>
      </c>
      <c r="C135" s="19" t="str">
        <f>IFERROR(__xludf.DUMMYFUNCTION("""COMPUTED_VALUE"""),"Cookies")</f>
        <v>Cookies</v>
      </c>
      <c r="D135" s="19">
        <f>IFERROR(__xludf.DUMMYFUNCTION("""COMPUTED_VALUE"""),2.18)</f>
        <v>2.18</v>
      </c>
    </row>
    <row r="136">
      <c r="A136" s="19" t="str">
        <f>IFERROR(__xludf.DUMMYFUNCTION("""COMPUTED_VALUE"""),"ID07570")</f>
        <v>ID07570</v>
      </c>
      <c r="B136" s="21">
        <f>IFERROR(__xludf.DUMMYFUNCTION("""COMPUTED_VALUE"""),45218.0)</f>
        <v>45218</v>
      </c>
      <c r="C136" s="19" t="str">
        <f>IFERROR(__xludf.DUMMYFUNCTION("""COMPUTED_VALUE"""),"Bars")</f>
        <v>Bars</v>
      </c>
      <c r="D136" s="19">
        <f>IFERROR(__xludf.DUMMYFUNCTION("""COMPUTED_VALUE"""),1.77)</f>
        <v>1.77</v>
      </c>
    </row>
    <row r="137">
      <c r="A137" s="19" t="str">
        <f>IFERROR(__xludf.DUMMYFUNCTION("""COMPUTED_VALUE"""),"ID07571")</f>
        <v>ID07571</v>
      </c>
      <c r="B137" s="21">
        <f>IFERROR(__xludf.DUMMYFUNCTION("""COMPUTED_VALUE"""),45221.0)</f>
        <v>45221</v>
      </c>
      <c r="C137" s="19" t="str">
        <f>IFERROR(__xludf.DUMMYFUNCTION("""COMPUTED_VALUE"""),"Crackers")</f>
        <v>Crackers</v>
      </c>
      <c r="D137" s="19">
        <f>IFERROR(__xludf.DUMMYFUNCTION("""COMPUTED_VALUE"""),3.49)</f>
        <v>3.49</v>
      </c>
    </row>
    <row r="138">
      <c r="A138" s="19" t="str">
        <f>IFERROR(__xludf.DUMMYFUNCTION("""COMPUTED_VALUE"""),"ID07573")</f>
        <v>ID07573</v>
      </c>
      <c r="B138" s="21">
        <f>IFERROR(__xludf.DUMMYFUNCTION("""COMPUTED_VALUE"""),45227.0)</f>
        <v>45227</v>
      </c>
      <c r="C138" s="19" t="str">
        <f>IFERROR(__xludf.DUMMYFUNCTION("""COMPUTED_VALUE"""),"Bars")</f>
        <v>Bars</v>
      </c>
      <c r="D138" s="19">
        <f>IFERROR(__xludf.DUMMYFUNCTION("""COMPUTED_VALUE"""),1.87)</f>
        <v>1.87</v>
      </c>
    </row>
    <row r="139">
      <c r="A139" s="19" t="str">
        <f>IFERROR(__xludf.DUMMYFUNCTION("""COMPUTED_VALUE"""),"ID07574")</f>
        <v>ID07574</v>
      </c>
      <c r="B139" s="21">
        <f>IFERROR(__xludf.DUMMYFUNCTION("""COMPUTED_VALUE"""),45230.0)</f>
        <v>45230</v>
      </c>
      <c r="C139" s="19" t="str">
        <f>IFERROR(__xludf.DUMMYFUNCTION("""COMPUTED_VALUE"""),"Snacks")</f>
        <v>Snacks</v>
      </c>
      <c r="D139" s="19">
        <f>IFERROR(__xludf.DUMMYFUNCTION("""COMPUTED_VALUE"""),1.68)</f>
        <v>1.68</v>
      </c>
    </row>
    <row r="140">
      <c r="A140" s="19" t="str">
        <f>IFERROR(__xludf.DUMMYFUNCTION("""COMPUTED_VALUE"""),"ID07576")</f>
        <v>ID07576</v>
      </c>
      <c r="B140" s="21">
        <f>IFERROR(__xludf.DUMMYFUNCTION("""COMPUTED_VALUE"""),45236.0)</f>
        <v>45236</v>
      </c>
      <c r="C140" s="19" t="str">
        <f>IFERROR(__xludf.DUMMYFUNCTION("""COMPUTED_VALUE"""),"Bars")</f>
        <v>Bars</v>
      </c>
      <c r="D140" s="19">
        <f>IFERROR(__xludf.DUMMYFUNCTION("""COMPUTED_VALUE"""),1.87)</f>
        <v>1.87</v>
      </c>
    </row>
    <row r="141">
      <c r="A141" s="19" t="str">
        <f>IFERROR(__xludf.DUMMYFUNCTION("""COMPUTED_VALUE"""),"ID07577")</f>
        <v>ID07577</v>
      </c>
      <c r="B141" s="21">
        <f>IFERROR(__xludf.DUMMYFUNCTION("""COMPUTED_VALUE"""),45239.0)</f>
        <v>45239</v>
      </c>
      <c r="C141" s="19" t="str">
        <f>IFERROR(__xludf.DUMMYFUNCTION("""COMPUTED_VALUE"""),"Cookies")</f>
        <v>Cookies</v>
      </c>
      <c r="D141" s="19">
        <f>IFERROR(__xludf.DUMMYFUNCTION("""COMPUTED_VALUE"""),2.8400000000000003)</f>
        <v>2.84</v>
      </c>
    </row>
    <row r="142">
      <c r="A142" s="19" t="str">
        <f>IFERROR(__xludf.DUMMYFUNCTION("""COMPUTED_VALUE"""),"ID07579")</f>
        <v>ID07579</v>
      </c>
      <c r="B142" s="21">
        <f>IFERROR(__xludf.DUMMYFUNCTION("""COMPUTED_VALUE"""),45245.0)</f>
        <v>45245</v>
      </c>
      <c r="C142" s="19" t="str">
        <f>IFERROR(__xludf.DUMMYFUNCTION("""COMPUTED_VALUE"""),"Cookies")</f>
        <v>Cookies</v>
      </c>
      <c r="D142" s="19">
        <f>IFERROR(__xludf.DUMMYFUNCTION("""COMPUTED_VALUE"""),2.1799999999999997)</f>
        <v>2.18</v>
      </c>
    </row>
    <row r="143">
      <c r="A143" s="19" t="str">
        <f>IFERROR(__xludf.DUMMYFUNCTION("""COMPUTED_VALUE"""),"ID07580")</f>
        <v>ID07580</v>
      </c>
      <c r="B143" s="21">
        <f>IFERROR(__xludf.DUMMYFUNCTION("""COMPUTED_VALUE"""),45248.0)</f>
        <v>45248</v>
      </c>
      <c r="C143" s="19" t="str">
        <f>IFERROR(__xludf.DUMMYFUNCTION("""COMPUTED_VALUE"""),"Cookies")</f>
        <v>Cookies</v>
      </c>
      <c r="D143" s="19">
        <f>IFERROR(__xludf.DUMMYFUNCTION("""COMPUTED_VALUE"""),1.8699999999999999)</f>
        <v>1.87</v>
      </c>
    </row>
    <row r="144">
      <c r="A144" s="19" t="str">
        <f>IFERROR(__xludf.DUMMYFUNCTION("""COMPUTED_VALUE"""),"ID07582")</f>
        <v>ID07582</v>
      </c>
      <c r="B144" s="21">
        <f>IFERROR(__xludf.DUMMYFUNCTION("""COMPUTED_VALUE"""),45254.0)</f>
        <v>45254</v>
      </c>
      <c r="C144" s="19" t="str">
        <f>IFERROR(__xludf.DUMMYFUNCTION("""COMPUTED_VALUE"""),"Cookies")</f>
        <v>Cookies</v>
      </c>
      <c r="D144" s="19">
        <f>IFERROR(__xludf.DUMMYFUNCTION("""COMPUTED_VALUE"""),2.1799999999999997)</f>
        <v>2.18</v>
      </c>
    </row>
    <row r="145">
      <c r="A145" s="19" t="str">
        <f>IFERROR(__xludf.DUMMYFUNCTION("""COMPUTED_VALUE"""),"ID07583")</f>
        <v>ID07583</v>
      </c>
      <c r="B145" s="21">
        <f>IFERROR(__xludf.DUMMYFUNCTION("""COMPUTED_VALUE"""),45257.0)</f>
        <v>45257</v>
      </c>
      <c r="C145" s="19" t="str">
        <f>IFERROR(__xludf.DUMMYFUNCTION("""COMPUTED_VALUE"""),"Cookies")</f>
        <v>Cookies</v>
      </c>
      <c r="D145" s="19">
        <f>IFERROR(__xludf.DUMMYFUNCTION("""COMPUTED_VALUE"""),1.8699999999999999)</f>
        <v>1.87</v>
      </c>
    </row>
    <row r="146">
      <c r="A146" s="19" t="str">
        <f>IFERROR(__xludf.DUMMYFUNCTION("""COMPUTED_VALUE"""),"ID07584")</f>
        <v>ID07584</v>
      </c>
      <c r="B146" s="21">
        <f>IFERROR(__xludf.DUMMYFUNCTION("""COMPUTED_VALUE"""),45260.0)</f>
        <v>45260</v>
      </c>
      <c r="C146" s="19" t="str">
        <f>IFERROR(__xludf.DUMMYFUNCTION("""COMPUTED_VALUE"""),"Crackers")</f>
        <v>Crackers</v>
      </c>
      <c r="D146" s="19">
        <f>IFERROR(__xludf.DUMMYFUNCTION("""COMPUTED_VALUE"""),3.4899999999999998)</f>
        <v>3.49</v>
      </c>
    </row>
    <row r="147">
      <c r="A147" s="19" t="str">
        <f>IFERROR(__xludf.DUMMYFUNCTION("""COMPUTED_VALUE"""),"ID07587")</f>
        <v>ID07587</v>
      </c>
      <c r="B147" s="21">
        <f>IFERROR(__xludf.DUMMYFUNCTION("""COMPUTED_VALUE"""),45269.0)</f>
        <v>45269</v>
      </c>
      <c r="C147" s="19" t="str">
        <f>IFERROR(__xludf.DUMMYFUNCTION("""COMPUTED_VALUE"""),"Bars")</f>
        <v>Bars</v>
      </c>
      <c r="D147" s="19">
        <f>IFERROR(__xludf.DUMMYFUNCTION("""COMPUTED_VALUE"""),1.7700000000000002)</f>
        <v>1.77</v>
      </c>
    </row>
    <row r="148">
      <c r="A148" s="19" t="str">
        <f>IFERROR(__xludf.DUMMYFUNCTION("""COMPUTED_VALUE"""),"ID07588")</f>
        <v>ID07588</v>
      </c>
      <c r="B148" s="21">
        <f>IFERROR(__xludf.DUMMYFUNCTION("""COMPUTED_VALUE"""),45272.0)</f>
        <v>45272</v>
      </c>
      <c r="C148" s="19" t="str">
        <f>IFERROR(__xludf.DUMMYFUNCTION("""COMPUTED_VALUE"""),"Crackers")</f>
        <v>Crackers</v>
      </c>
      <c r="D148" s="19">
        <f>IFERROR(__xludf.DUMMYFUNCTION("""COMPUTED_VALUE"""),3.49)</f>
        <v>3.49</v>
      </c>
    </row>
    <row r="149">
      <c r="A149" s="19" t="str">
        <f>IFERROR(__xludf.DUMMYFUNCTION("""COMPUTED_VALUE"""),"ID07590")</f>
        <v>ID07590</v>
      </c>
      <c r="B149" s="21">
        <f>IFERROR(__xludf.DUMMYFUNCTION("""COMPUTED_VALUE"""),45278.0)</f>
        <v>45278</v>
      </c>
      <c r="C149" s="19" t="str">
        <f>IFERROR(__xludf.DUMMYFUNCTION("""COMPUTED_VALUE"""),"Cookies")</f>
        <v>Cookies</v>
      </c>
      <c r="D149" s="19">
        <f>IFERROR(__xludf.DUMMYFUNCTION("""COMPUTED_VALUE"""),2.18)</f>
        <v>2.18</v>
      </c>
    </row>
    <row r="150">
      <c r="A150" s="19" t="str">
        <f>IFERROR(__xludf.DUMMYFUNCTION("""COMPUTED_VALUE"""),"ID07591")</f>
        <v>ID07591</v>
      </c>
      <c r="B150" s="21">
        <f>IFERROR(__xludf.DUMMYFUNCTION("""COMPUTED_VALUE"""),45281.0)</f>
        <v>45281</v>
      </c>
      <c r="C150" s="19" t="str">
        <f>IFERROR(__xludf.DUMMYFUNCTION("""COMPUTED_VALUE"""),"Cookies")</f>
        <v>Cookies</v>
      </c>
      <c r="D150" s="19">
        <f>IFERROR(__xludf.DUMMYFUNCTION("""COMPUTED_VALUE"""),1.8699999999999999)</f>
        <v>1.87</v>
      </c>
    </row>
    <row r="151">
      <c r="A151" s="19" t="str">
        <f>IFERROR(__xludf.DUMMYFUNCTION("""COMPUTED_VALUE"""),"ID07592")</f>
        <v>ID07592</v>
      </c>
      <c r="B151" s="21">
        <f>IFERROR(__xludf.DUMMYFUNCTION("""COMPUTED_VALUE"""),45284.0)</f>
        <v>45284</v>
      </c>
      <c r="C151" s="19" t="str">
        <f>IFERROR(__xludf.DUMMYFUNCTION("""COMPUTED_VALUE"""),"Crackers")</f>
        <v>Crackers</v>
      </c>
      <c r="D151" s="19">
        <f>IFERROR(__xludf.DUMMYFUNCTION("""COMPUTED_VALUE"""),3.49)</f>
        <v>3.49</v>
      </c>
    </row>
    <row r="152">
      <c r="A152" s="19" t="str">
        <f>IFERROR(__xludf.DUMMYFUNCTION("""COMPUTED_VALUE"""),"ID07353")</f>
        <v>ID07353</v>
      </c>
      <c r="B152" s="21">
        <f>IFERROR(__xludf.DUMMYFUNCTION("""COMPUTED_VALUE"""),44568.0)</f>
        <v>44568</v>
      </c>
      <c r="C152" s="19" t="str">
        <f>IFERROR(__xludf.DUMMYFUNCTION("""COMPUTED_VALUE"""),"Cookies")</f>
        <v>Cookies</v>
      </c>
      <c r="D152" s="19">
        <f>IFERROR(__xludf.DUMMYFUNCTION("""COMPUTED_VALUE"""),1.8699999999999999)</f>
        <v>1.87</v>
      </c>
    </row>
    <row r="153">
      <c r="A153" s="19" t="str">
        <f>IFERROR(__xludf.DUMMYFUNCTION("""COMPUTED_VALUE"""),"ID07358")</f>
        <v>ID07358</v>
      </c>
      <c r="B153" s="21">
        <f>IFERROR(__xludf.DUMMYFUNCTION("""COMPUTED_VALUE"""),44583.0)</f>
        <v>44583</v>
      </c>
      <c r="C153" s="19" t="str">
        <f>IFERROR(__xludf.DUMMYFUNCTION("""COMPUTED_VALUE"""),"Bars")</f>
        <v>Bars</v>
      </c>
      <c r="D153" s="19">
        <f>IFERROR(__xludf.DUMMYFUNCTION("""COMPUTED_VALUE"""),1.77)</f>
        <v>1.77</v>
      </c>
    </row>
    <row r="154">
      <c r="A154" s="19" t="str">
        <f>IFERROR(__xludf.DUMMYFUNCTION("""COMPUTED_VALUE"""),"ID07364")</f>
        <v>ID07364</v>
      </c>
      <c r="B154" s="21">
        <f>IFERROR(__xludf.DUMMYFUNCTION("""COMPUTED_VALUE"""),44601.0)</f>
        <v>44601</v>
      </c>
      <c r="C154" s="19" t="str">
        <f>IFERROR(__xludf.DUMMYFUNCTION("""COMPUTED_VALUE"""),"Bars")</f>
        <v>Bars</v>
      </c>
      <c r="D154" s="19">
        <f>IFERROR(__xludf.DUMMYFUNCTION("""COMPUTED_VALUE"""),1.7699999999999998)</f>
        <v>1.77</v>
      </c>
    </row>
    <row r="155">
      <c r="A155" s="19" t="str">
        <f>IFERROR(__xludf.DUMMYFUNCTION("""COMPUTED_VALUE"""),"ID07369")</f>
        <v>ID07369</v>
      </c>
      <c r="B155" s="21">
        <f>IFERROR(__xludf.DUMMYFUNCTION("""COMPUTED_VALUE"""),44616.0)</f>
        <v>44616</v>
      </c>
      <c r="C155" s="19" t="str">
        <f>IFERROR(__xludf.DUMMYFUNCTION("""COMPUTED_VALUE"""),"Bars")</f>
        <v>Bars</v>
      </c>
      <c r="D155" s="19">
        <f>IFERROR(__xludf.DUMMYFUNCTION("""COMPUTED_VALUE"""),1.87)</f>
        <v>1.87</v>
      </c>
    </row>
    <row r="156">
      <c r="A156" s="19" t="str">
        <f>IFERROR(__xludf.DUMMYFUNCTION("""COMPUTED_VALUE"""),"ID07370")</f>
        <v>ID07370</v>
      </c>
      <c r="B156" s="21">
        <f>IFERROR(__xludf.DUMMYFUNCTION("""COMPUTED_VALUE"""),44619.0)</f>
        <v>44619</v>
      </c>
      <c r="C156" s="19" t="str">
        <f>IFERROR(__xludf.DUMMYFUNCTION("""COMPUTED_VALUE"""),"Cookies")</f>
        <v>Cookies</v>
      </c>
      <c r="D156" s="19">
        <f>IFERROR(__xludf.DUMMYFUNCTION("""COMPUTED_VALUE"""),2.84)</f>
        <v>2.84</v>
      </c>
    </row>
    <row r="157">
      <c r="A157" s="19" t="str">
        <f>IFERROR(__xludf.DUMMYFUNCTION("""COMPUTED_VALUE"""),"ID07372")</f>
        <v>ID07372</v>
      </c>
      <c r="B157" s="21">
        <f>IFERROR(__xludf.DUMMYFUNCTION("""COMPUTED_VALUE"""),44625.0)</f>
        <v>44625</v>
      </c>
      <c r="C157" s="19" t="str">
        <f>IFERROR(__xludf.DUMMYFUNCTION("""COMPUTED_VALUE"""),"Cookies")</f>
        <v>Cookies</v>
      </c>
      <c r="D157" s="19">
        <f>IFERROR(__xludf.DUMMYFUNCTION("""COMPUTED_VALUE"""),2.8400000000000003)</f>
        <v>2.84</v>
      </c>
    </row>
    <row r="158">
      <c r="A158" s="19" t="str">
        <f>IFERROR(__xludf.DUMMYFUNCTION("""COMPUTED_VALUE"""),"ID07375")</f>
        <v>ID07375</v>
      </c>
      <c r="B158" s="21">
        <f>IFERROR(__xludf.DUMMYFUNCTION("""COMPUTED_VALUE"""),44634.0)</f>
        <v>44634</v>
      </c>
      <c r="C158" s="19" t="str">
        <f>IFERROR(__xludf.DUMMYFUNCTION("""COMPUTED_VALUE"""),"Cookies")</f>
        <v>Cookies</v>
      </c>
      <c r="D158" s="19">
        <f>IFERROR(__xludf.DUMMYFUNCTION("""COMPUTED_VALUE"""),1.8699999999999999)</f>
        <v>1.87</v>
      </c>
    </row>
    <row r="159">
      <c r="A159" s="19" t="str">
        <f>IFERROR(__xludf.DUMMYFUNCTION("""COMPUTED_VALUE"""),"ID07378")</f>
        <v>ID07378</v>
      </c>
      <c r="B159" s="21">
        <f>IFERROR(__xludf.DUMMYFUNCTION("""COMPUTED_VALUE"""),44643.0)</f>
        <v>44643</v>
      </c>
      <c r="C159" s="19" t="str">
        <f>IFERROR(__xludf.DUMMYFUNCTION("""COMPUTED_VALUE"""),"Cookies")</f>
        <v>Cookies</v>
      </c>
      <c r="D159" s="19">
        <f>IFERROR(__xludf.DUMMYFUNCTION("""COMPUTED_VALUE"""),1.87)</f>
        <v>1.87</v>
      </c>
    </row>
    <row r="160">
      <c r="A160" s="19" t="str">
        <f>IFERROR(__xludf.DUMMYFUNCTION("""COMPUTED_VALUE"""),"ID07381")</f>
        <v>ID07381</v>
      </c>
      <c r="B160" s="21">
        <f>IFERROR(__xludf.DUMMYFUNCTION("""COMPUTED_VALUE"""),44652.0)</f>
        <v>44652</v>
      </c>
      <c r="C160" s="19" t="str">
        <f>IFERROR(__xludf.DUMMYFUNCTION("""COMPUTED_VALUE"""),"Bars")</f>
        <v>Bars</v>
      </c>
      <c r="D160" s="19">
        <f>IFERROR(__xludf.DUMMYFUNCTION("""COMPUTED_VALUE"""),1.77)</f>
        <v>1.77</v>
      </c>
    </row>
    <row r="161">
      <c r="A161" s="19" t="str">
        <f>IFERROR(__xludf.DUMMYFUNCTION("""COMPUTED_VALUE"""),"ID07382")</f>
        <v>ID07382</v>
      </c>
      <c r="B161" s="21">
        <f>IFERROR(__xludf.DUMMYFUNCTION("""COMPUTED_VALUE"""),44655.0)</f>
        <v>44655</v>
      </c>
      <c r="C161" s="19" t="str">
        <f>IFERROR(__xludf.DUMMYFUNCTION("""COMPUTED_VALUE"""),"Snacks")</f>
        <v>Snacks</v>
      </c>
      <c r="D161" s="19">
        <f>IFERROR(__xludf.DUMMYFUNCTION("""COMPUTED_VALUE"""),1.68)</f>
        <v>1.68</v>
      </c>
    </row>
    <row r="162">
      <c r="A162" s="19" t="str">
        <f>IFERROR(__xludf.DUMMYFUNCTION("""COMPUTED_VALUE"""),"ID07385")</f>
        <v>ID07385</v>
      </c>
      <c r="B162" s="21">
        <f>IFERROR(__xludf.DUMMYFUNCTION("""COMPUTED_VALUE"""),44664.0)</f>
        <v>44664</v>
      </c>
      <c r="C162" s="19" t="str">
        <f>IFERROR(__xludf.DUMMYFUNCTION("""COMPUTED_VALUE"""),"Snacks")</f>
        <v>Snacks</v>
      </c>
      <c r="D162" s="19">
        <f>IFERROR(__xludf.DUMMYFUNCTION("""COMPUTED_VALUE"""),1.68)</f>
        <v>1.68</v>
      </c>
    </row>
    <row r="163">
      <c r="A163" s="19" t="str">
        <f>IFERROR(__xludf.DUMMYFUNCTION("""COMPUTED_VALUE"""),"ID07388")</f>
        <v>ID07388</v>
      </c>
      <c r="B163" s="21">
        <f>IFERROR(__xludf.DUMMYFUNCTION("""COMPUTED_VALUE"""),44673.0)</f>
        <v>44673</v>
      </c>
      <c r="C163" s="19" t="str">
        <f>IFERROR(__xludf.DUMMYFUNCTION("""COMPUTED_VALUE"""),"Bars")</f>
        <v>Bars</v>
      </c>
      <c r="D163" s="19">
        <f>IFERROR(__xludf.DUMMYFUNCTION("""COMPUTED_VALUE"""),1.77)</f>
        <v>1.77</v>
      </c>
    </row>
    <row r="164">
      <c r="A164" s="19" t="str">
        <f>IFERROR(__xludf.DUMMYFUNCTION("""COMPUTED_VALUE"""),"ID07391")</f>
        <v>ID07391</v>
      </c>
      <c r="B164" s="21">
        <f>IFERROR(__xludf.DUMMYFUNCTION("""COMPUTED_VALUE"""),44682.0)</f>
        <v>44682</v>
      </c>
      <c r="C164" s="19" t="str">
        <f>IFERROR(__xludf.DUMMYFUNCTION("""COMPUTED_VALUE"""),"Cookies")</f>
        <v>Cookies</v>
      </c>
      <c r="D164" s="19">
        <f>IFERROR(__xludf.DUMMYFUNCTION("""COMPUTED_VALUE"""),1.87)</f>
        <v>1.87</v>
      </c>
    </row>
    <row r="165">
      <c r="A165" s="19" t="str">
        <f>IFERROR(__xludf.DUMMYFUNCTION("""COMPUTED_VALUE"""),"ID07394")</f>
        <v>ID07394</v>
      </c>
      <c r="B165" s="21">
        <f>IFERROR(__xludf.DUMMYFUNCTION("""COMPUTED_VALUE"""),44691.0)</f>
        <v>44691</v>
      </c>
      <c r="C165" s="19" t="str">
        <f>IFERROR(__xludf.DUMMYFUNCTION("""COMPUTED_VALUE"""),"Bars")</f>
        <v>Bars</v>
      </c>
      <c r="D165" s="19">
        <f>IFERROR(__xludf.DUMMYFUNCTION("""COMPUTED_VALUE"""),1.77)</f>
        <v>1.77</v>
      </c>
    </row>
    <row r="166">
      <c r="A166" s="19" t="str">
        <f>IFERROR(__xludf.DUMMYFUNCTION("""COMPUTED_VALUE"""),"ID07395")</f>
        <v>ID07395</v>
      </c>
      <c r="B166" s="21">
        <f>IFERROR(__xludf.DUMMYFUNCTION("""COMPUTED_VALUE"""),44694.0)</f>
        <v>44694</v>
      </c>
      <c r="C166" s="19" t="str">
        <f>IFERROR(__xludf.DUMMYFUNCTION("""COMPUTED_VALUE"""),"Crackers")</f>
        <v>Crackers</v>
      </c>
      <c r="D166" s="19">
        <f>IFERROR(__xludf.DUMMYFUNCTION("""COMPUTED_VALUE"""),3.49)</f>
        <v>3.49</v>
      </c>
    </row>
    <row r="167">
      <c r="A167" s="19" t="str">
        <f>IFERROR(__xludf.DUMMYFUNCTION("""COMPUTED_VALUE"""),"ID07398")</f>
        <v>ID07398</v>
      </c>
      <c r="B167" s="21">
        <f>IFERROR(__xludf.DUMMYFUNCTION("""COMPUTED_VALUE"""),44703.0)</f>
        <v>44703</v>
      </c>
      <c r="C167" s="19" t="str">
        <f>IFERROR(__xludf.DUMMYFUNCTION("""COMPUTED_VALUE"""),"Cookies")</f>
        <v>Cookies</v>
      </c>
      <c r="D167" s="19">
        <f>IFERROR(__xludf.DUMMYFUNCTION("""COMPUTED_VALUE"""),1.8699999999999999)</f>
        <v>1.87</v>
      </c>
    </row>
    <row r="168">
      <c r="A168" s="19" t="str">
        <f>IFERROR(__xludf.DUMMYFUNCTION("""COMPUTED_VALUE"""),"ID07402")</f>
        <v>ID07402</v>
      </c>
      <c r="B168" s="21">
        <f>IFERROR(__xludf.DUMMYFUNCTION("""COMPUTED_VALUE"""),44715.0)</f>
        <v>44715</v>
      </c>
      <c r="C168" s="19" t="str">
        <f>IFERROR(__xludf.DUMMYFUNCTION("""COMPUTED_VALUE"""),"Cookies")</f>
        <v>Cookies</v>
      </c>
      <c r="D168" s="19">
        <f>IFERROR(__xludf.DUMMYFUNCTION("""COMPUTED_VALUE"""),2.84)</f>
        <v>2.84</v>
      </c>
    </row>
    <row r="169">
      <c r="A169" s="19" t="str">
        <f>IFERROR(__xludf.DUMMYFUNCTION("""COMPUTED_VALUE"""),"ID07404")</f>
        <v>ID07404</v>
      </c>
      <c r="B169" s="21">
        <f>IFERROR(__xludf.DUMMYFUNCTION("""COMPUTED_VALUE"""),44721.0)</f>
        <v>44721</v>
      </c>
      <c r="C169" s="19" t="str">
        <f>IFERROR(__xludf.DUMMYFUNCTION("""COMPUTED_VALUE"""),"Bars")</f>
        <v>Bars</v>
      </c>
      <c r="D169" s="19">
        <f>IFERROR(__xludf.DUMMYFUNCTION("""COMPUTED_VALUE"""),1.77)</f>
        <v>1.77</v>
      </c>
    </row>
    <row r="170">
      <c r="A170" s="19" t="str">
        <f>IFERROR(__xludf.DUMMYFUNCTION("""COMPUTED_VALUE"""),"ID07405")</f>
        <v>ID07405</v>
      </c>
      <c r="B170" s="21">
        <f>IFERROR(__xludf.DUMMYFUNCTION("""COMPUTED_VALUE"""),44724.0)</f>
        <v>44724</v>
      </c>
      <c r="C170" s="19" t="str">
        <f>IFERROR(__xludf.DUMMYFUNCTION("""COMPUTED_VALUE"""),"Crackers")</f>
        <v>Crackers</v>
      </c>
      <c r="D170" s="19">
        <f>IFERROR(__xludf.DUMMYFUNCTION("""COMPUTED_VALUE"""),3.4899999999999998)</f>
        <v>3.49</v>
      </c>
    </row>
    <row r="171">
      <c r="A171" s="19" t="str">
        <f>IFERROR(__xludf.DUMMYFUNCTION("""COMPUTED_VALUE"""),"ID07408")</f>
        <v>ID07408</v>
      </c>
      <c r="B171" s="21">
        <f>IFERROR(__xludf.DUMMYFUNCTION("""COMPUTED_VALUE"""),44733.0)</f>
        <v>44733</v>
      </c>
      <c r="C171" s="19" t="str">
        <f>IFERROR(__xludf.DUMMYFUNCTION("""COMPUTED_VALUE"""),"Bars")</f>
        <v>Bars</v>
      </c>
      <c r="D171" s="19">
        <f>IFERROR(__xludf.DUMMYFUNCTION("""COMPUTED_VALUE"""),1.77)</f>
        <v>1.77</v>
      </c>
    </row>
    <row r="172">
      <c r="A172" s="19" t="str">
        <f>IFERROR(__xludf.DUMMYFUNCTION("""COMPUTED_VALUE"""),"ID07409")</f>
        <v>ID07409</v>
      </c>
      <c r="B172" s="21">
        <f>IFERROR(__xludf.DUMMYFUNCTION("""COMPUTED_VALUE"""),44736.0)</f>
        <v>44736</v>
      </c>
      <c r="C172" s="19" t="str">
        <f>IFERROR(__xludf.DUMMYFUNCTION("""COMPUTED_VALUE"""),"Snacks")</f>
        <v>Snacks</v>
      </c>
      <c r="D172" s="19">
        <f>IFERROR(__xludf.DUMMYFUNCTION("""COMPUTED_VALUE"""),1.68)</f>
        <v>1.68</v>
      </c>
    </row>
    <row r="173">
      <c r="A173" s="19" t="str">
        <f>IFERROR(__xludf.DUMMYFUNCTION("""COMPUTED_VALUE"""),"ID07412")</f>
        <v>ID07412</v>
      </c>
      <c r="B173" s="21">
        <f>IFERROR(__xludf.DUMMYFUNCTION("""COMPUTED_VALUE"""),44745.0)</f>
        <v>44745</v>
      </c>
      <c r="C173" s="19" t="str">
        <f>IFERROR(__xludf.DUMMYFUNCTION("""COMPUTED_VALUE"""),"Bars")</f>
        <v>Bars</v>
      </c>
      <c r="D173" s="19">
        <f>IFERROR(__xludf.DUMMYFUNCTION("""COMPUTED_VALUE"""),1.77)</f>
        <v>1.77</v>
      </c>
    </row>
    <row r="174">
      <c r="A174" s="19" t="str">
        <f>IFERROR(__xludf.DUMMYFUNCTION("""COMPUTED_VALUE"""),"ID07413")</f>
        <v>ID07413</v>
      </c>
      <c r="B174" s="21">
        <f>IFERROR(__xludf.DUMMYFUNCTION("""COMPUTED_VALUE"""),44748.0)</f>
        <v>44748</v>
      </c>
      <c r="C174" s="19" t="str">
        <f>IFERROR(__xludf.DUMMYFUNCTION("""COMPUTED_VALUE"""),"Crackers")</f>
        <v>Crackers</v>
      </c>
      <c r="D174" s="19">
        <f>IFERROR(__xludf.DUMMYFUNCTION("""COMPUTED_VALUE"""),3.4899999999999998)</f>
        <v>3.49</v>
      </c>
    </row>
    <row r="175">
      <c r="A175" s="19" t="str">
        <f>IFERROR(__xludf.DUMMYFUNCTION("""COMPUTED_VALUE"""),"ID07416")</f>
        <v>ID07416</v>
      </c>
      <c r="B175" s="21">
        <f>IFERROR(__xludf.DUMMYFUNCTION("""COMPUTED_VALUE"""),44757.0)</f>
        <v>44757</v>
      </c>
      <c r="C175" s="19" t="str">
        <f>IFERROR(__xludf.DUMMYFUNCTION("""COMPUTED_VALUE"""),"Cookies")</f>
        <v>Cookies</v>
      </c>
      <c r="D175" s="19">
        <f>IFERROR(__xludf.DUMMYFUNCTION("""COMPUTED_VALUE"""),1.87)</f>
        <v>1.87</v>
      </c>
    </row>
    <row r="176">
      <c r="A176" s="19" t="str">
        <f>IFERROR(__xludf.DUMMYFUNCTION("""COMPUTED_VALUE"""),"ID07419")</f>
        <v>ID07419</v>
      </c>
      <c r="B176" s="21">
        <f>IFERROR(__xludf.DUMMYFUNCTION("""COMPUTED_VALUE"""),44766.0)</f>
        <v>44766</v>
      </c>
      <c r="C176" s="19" t="str">
        <f>IFERROR(__xludf.DUMMYFUNCTION("""COMPUTED_VALUE"""),"Bars")</f>
        <v>Bars</v>
      </c>
      <c r="D176" s="19">
        <f>IFERROR(__xludf.DUMMYFUNCTION("""COMPUTED_VALUE"""),1.87)</f>
        <v>1.87</v>
      </c>
    </row>
    <row r="177">
      <c r="A177" s="19" t="str">
        <f>IFERROR(__xludf.DUMMYFUNCTION("""COMPUTED_VALUE"""),"ID07420")</f>
        <v>ID07420</v>
      </c>
      <c r="B177" s="21">
        <f>IFERROR(__xludf.DUMMYFUNCTION("""COMPUTED_VALUE"""),44769.0)</f>
        <v>44769</v>
      </c>
      <c r="C177" s="19" t="str">
        <f>IFERROR(__xludf.DUMMYFUNCTION("""COMPUTED_VALUE"""),"Snacks")</f>
        <v>Snacks</v>
      </c>
      <c r="D177" s="19">
        <f>IFERROR(__xludf.DUMMYFUNCTION("""COMPUTED_VALUE"""),1.68)</f>
        <v>1.68</v>
      </c>
    </row>
    <row r="178">
      <c r="A178" s="19" t="str">
        <f>IFERROR(__xludf.DUMMYFUNCTION("""COMPUTED_VALUE"""),"ID07423")</f>
        <v>ID07423</v>
      </c>
      <c r="B178" s="21">
        <f>IFERROR(__xludf.DUMMYFUNCTION("""COMPUTED_VALUE"""),44778.0)</f>
        <v>44778</v>
      </c>
      <c r="C178" s="19" t="str">
        <f>IFERROR(__xludf.DUMMYFUNCTION("""COMPUTED_VALUE"""),"Cookies")</f>
        <v>Cookies</v>
      </c>
      <c r="D178" s="19">
        <f>IFERROR(__xludf.DUMMYFUNCTION("""COMPUTED_VALUE"""),1.87)</f>
        <v>1.87</v>
      </c>
    </row>
    <row r="179">
      <c r="A179" s="19" t="str">
        <f>IFERROR(__xludf.DUMMYFUNCTION("""COMPUTED_VALUE"""),"ID07426")</f>
        <v>ID07426</v>
      </c>
      <c r="B179" s="21">
        <f>IFERROR(__xludf.DUMMYFUNCTION("""COMPUTED_VALUE"""),44787.0)</f>
        <v>44787</v>
      </c>
      <c r="C179" s="19" t="str">
        <f>IFERROR(__xludf.DUMMYFUNCTION("""COMPUTED_VALUE"""),"Cookies")</f>
        <v>Cookies</v>
      </c>
      <c r="D179" s="19">
        <f>IFERROR(__xludf.DUMMYFUNCTION("""COMPUTED_VALUE"""),1.87)</f>
        <v>1.87</v>
      </c>
    </row>
    <row r="180">
      <c r="A180" s="19" t="str">
        <f>IFERROR(__xludf.DUMMYFUNCTION("""COMPUTED_VALUE"""),"ID07430")</f>
        <v>ID07430</v>
      </c>
      <c r="B180" s="21">
        <f>IFERROR(__xludf.DUMMYFUNCTION("""COMPUTED_VALUE"""),44799.0)</f>
        <v>44799</v>
      </c>
      <c r="C180" s="19" t="str">
        <f>IFERROR(__xludf.DUMMYFUNCTION("""COMPUTED_VALUE"""),"Cookies")</f>
        <v>Cookies</v>
      </c>
      <c r="D180" s="19">
        <f>IFERROR(__xludf.DUMMYFUNCTION("""COMPUTED_VALUE"""),1.8699999999999999)</f>
        <v>1.87</v>
      </c>
    </row>
    <row r="181">
      <c r="A181" s="19" t="str">
        <f>IFERROR(__xludf.DUMMYFUNCTION("""COMPUTED_VALUE"""),"ID07433")</f>
        <v>ID07433</v>
      </c>
      <c r="B181" s="21">
        <f>IFERROR(__xludf.DUMMYFUNCTION("""COMPUTED_VALUE"""),44808.0)</f>
        <v>44808</v>
      </c>
      <c r="C181" s="19" t="str">
        <f>IFERROR(__xludf.DUMMYFUNCTION("""COMPUTED_VALUE"""),"Bars")</f>
        <v>Bars</v>
      </c>
      <c r="D181" s="19">
        <f>IFERROR(__xludf.DUMMYFUNCTION("""COMPUTED_VALUE"""),1.77)</f>
        <v>1.77</v>
      </c>
    </row>
    <row r="182">
      <c r="A182" s="19" t="str">
        <f>IFERROR(__xludf.DUMMYFUNCTION("""COMPUTED_VALUE"""),"ID07437")</f>
        <v>ID07437</v>
      </c>
      <c r="B182" s="21">
        <f>IFERROR(__xludf.DUMMYFUNCTION("""COMPUTED_VALUE"""),44820.0)</f>
        <v>44820</v>
      </c>
      <c r="C182" s="19" t="str">
        <f>IFERROR(__xludf.DUMMYFUNCTION("""COMPUTED_VALUE"""),"Bars")</f>
        <v>Bars</v>
      </c>
      <c r="D182" s="19">
        <f>IFERROR(__xludf.DUMMYFUNCTION("""COMPUTED_VALUE"""),1.77)</f>
        <v>1.77</v>
      </c>
    </row>
    <row r="183">
      <c r="A183" s="19" t="str">
        <f>IFERROR(__xludf.DUMMYFUNCTION("""COMPUTED_VALUE"""),"ID07440")</f>
        <v>ID07440</v>
      </c>
      <c r="B183" s="21">
        <f>IFERROR(__xludf.DUMMYFUNCTION("""COMPUTED_VALUE"""),44829.0)</f>
        <v>44829</v>
      </c>
      <c r="C183" s="19" t="str">
        <f>IFERROR(__xludf.DUMMYFUNCTION("""COMPUTED_VALUE"""),"Bars")</f>
        <v>Bars</v>
      </c>
      <c r="D183" s="19">
        <f>IFERROR(__xludf.DUMMYFUNCTION("""COMPUTED_VALUE"""),1.87)</f>
        <v>1.87</v>
      </c>
    </row>
    <row r="184">
      <c r="A184" s="19" t="str">
        <f>IFERROR(__xludf.DUMMYFUNCTION("""COMPUTED_VALUE"""),"ID07444")</f>
        <v>ID07444</v>
      </c>
      <c r="B184" s="21">
        <f>IFERROR(__xludf.DUMMYFUNCTION("""COMPUTED_VALUE"""),44841.0)</f>
        <v>44841</v>
      </c>
      <c r="C184" s="19" t="str">
        <f>IFERROR(__xludf.DUMMYFUNCTION("""COMPUTED_VALUE"""),"Bars")</f>
        <v>Bars</v>
      </c>
      <c r="D184" s="19">
        <f>IFERROR(__xludf.DUMMYFUNCTION("""COMPUTED_VALUE"""),1.77)</f>
        <v>1.77</v>
      </c>
    </row>
    <row r="185">
      <c r="A185" s="19" t="str">
        <f>IFERROR(__xludf.DUMMYFUNCTION("""COMPUTED_VALUE"""),"ID07445")</f>
        <v>ID07445</v>
      </c>
      <c r="B185" s="21">
        <f>IFERROR(__xludf.DUMMYFUNCTION("""COMPUTED_VALUE"""),44844.0)</f>
        <v>44844</v>
      </c>
      <c r="C185" s="19" t="str">
        <f>IFERROR(__xludf.DUMMYFUNCTION("""COMPUTED_VALUE"""),"Snacks")</f>
        <v>Snacks</v>
      </c>
      <c r="D185" s="19">
        <f>IFERROR(__xludf.DUMMYFUNCTION("""COMPUTED_VALUE"""),1.6800000000000002)</f>
        <v>1.68</v>
      </c>
    </row>
    <row r="186">
      <c r="A186" s="19" t="str">
        <f>IFERROR(__xludf.DUMMYFUNCTION("""COMPUTED_VALUE"""),"ID07449")</f>
        <v>ID07449</v>
      </c>
      <c r="B186" s="21">
        <f>IFERROR(__xludf.DUMMYFUNCTION("""COMPUTED_VALUE"""),44856.0)</f>
        <v>44856</v>
      </c>
      <c r="C186" s="19" t="str">
        <f>IFERROR(__xludf.DUMMYFUNCTION("""COMPUTED_VALUE"""),"Bars")</f>
        <v>Bars</v>
      </c>
      <c r="D186" s="19">
        <f>IFERROR(__xludf.DUMMYFUNCTION("""COMPUTED_VALUE"""),1.77)</f>
        <v>1.77</v>
      </c>
    </row>
    <row r="187">
      <c r="A187" s="19" t="str">
        <f>IFERROR(__xludf.DUMMYFUNCTION("""COMPUTED_VALUE"""),"ID07453")</f>
        <v>ID07453</v>
      </c>
      <c r="B187" s="21">
        <f>IFERROR(__xludf.DUMMYFUNCTION("""COMPUTED_VALUE"""),44868.0)</f>
        <v>44868</v>
      </c>
      <c r="C187" s="19" t="str">
        <f>IFERROR(__xludf.DUMMYFUNCTION("""COMPUTED_VALUE"""),"Bars")</f>
        <v>Bars</v>
      </c>
      <c r="D187" s="19">
        <f>IFERROR(__xludf.DUMMYFUNCTION("""COMPUTED_VALUE"""),1.77)</f>
        <v>1.77</v>
      </c>
    </row>
    <row r="188">
      <c r="A188" s="19" t="str">
        <f>IFERROR(__xludf.DUMMYFUNCTION("""COMPUTED_VALUE"""),"ID07454")</f>
        <v>ID07454</v>
      </c>
      <c r="B188" s="21">
        <f>IFERROR(__xludf.DUMMYFUNCTION("""COMPUTED_VALUE"""),44871.0)</f>
        <v>44871</v>
      </c>
      <c r="C188" s="19" t="str">
        <f>IFERROR(__xludf.DUMMYFUNCTION("""COMPUTED_VALUE"""),"Snacks")</f>
        <v>Snacks</v>
      </c>
      <c r="D188" s="19">
        <f>IFERROR(__xludf.DUMMYFUNCTION("""COMPUTED_VALUE"""),1.68)</f>
        <v>1.68</v>
      </c>
    </row>
    <row r="189">
      <c r="A189" s="19" t="str">
        <f>IFERROR(__xludf.DUMMYFUNCTION("""COMPUTED_VALUE"""),"ID07456")</f>
        <v>ID07456</v>
      </c>
      <c r="B189" s="21">
        <f>IFERROR(__xludf.DUMMYFUNCTION("""COMPUTED_VALUE"""),44877.0)</f>
        <v>44877</v>
      </c>
      <c r="C189" s="19" t="str">
        <f>IFERROR(__xludf.DUMMYFUNCTION("""COMPUTED_VALUE"""),"Cookies")</f>
        <v>Cookies</v>
      </c>
      <c r="D189" s="19">
        <f>IFERROR(__xludf.DUMMYFUNCTION("""COMPUTED_VALUE"""),2.1799999999999997)</f>
        <v>2.18</v>
      </c>
    </row>
    <row r="190">
      <c r="A190" s="19" t="str">
        <f>IFERROR(__xludf.DUMMYFUNCTION("""COMPUTED_VALUE"""),"ID07457")</f>
        <v>ID07457</v>
      </c>
      <c r="B190" s="21">
        <f>IFERROR(__xludf.DUMMYFUNCTION("""COMPUTED_VALUE"""),44880.0)</f>
        <v>44880</v>
      </c>
      <c r="C190" s="19" t="str">
        <f>IFERROR(__xludf.DUMMYFUNCTION("""COMPUTED_VALUE"""),"Cookies")</f>
        <v>Cookies</v>
      </c>
      <c r="D190" s="19">
        <f>IFERROR(__xludf.DUMMYFUNCTION("""COMPUTED_VALUE"""),2.84)</f>
        <v>2.84</v>
      </c>
    </row>
    <row r="191">
      <c r="A191" s="19" t="str">
        <f>IFERROR(__xludf.DUMMYFUNCTION("""COMPUTED_VALUE"""),"ID07460")</f>
        <v>ID07460</v>
      </c>
      <c r="B191" s="21">
        <f>IFERROR(__xludf.DUMMYFUNCTION("""COMPUTED_VALUE"""),44889.0)</f>
        <v>44889</v>
      </c>
      <c r="C191" s="19" t="str">
        <f>IFERROR(__xludf.DUMMYFUNCTION("""COMPUTED_VALUE"""),"Bars")</f>
        <v>Bars</v>
      </c>
      <c r="D191" s="19">
        <f>IFERROR(__xludf.DUMMYFUNCTION("""COMPUTED_VALUE"""),1.77)</f>
        <v>1.77</v>
      </c>
    </row>
    <row r="192">
      <c r="A192" s="19" t="str">
        <f>IFERROR(__xludf.DUMMYFUNCTION("""COMPUTED_VALUE"""),"ID07461")</f>
        <v>ID07461</v>
      </c>
      <c r="B192" s="21">
        <f>IFERROR(__xludf.DUMMYFUNCTION("""COMPUTED_VALUE"""),44892.0)</f>
        <v>44892</v>
      </c>
      <c r="C192" s="19" t="str">
        <f>IFERROR(__xludf.DUMMYFUNCTION("""COMPUTED_VALUE"""),"Snacks")</f>
        <v>Snacks</v>
      </c>
      <c r="D192" s="19">
        <f>IFERROR(__xludf.DUMMYFUNCTION("""COMPUTED_VALUE"""),1.68)</f>
        <v>1.68</v>
      </c>
    </row>
    <row r="193">
      <c r="A193" s="19" t="str">
        <f>IFERROR(__xludf.DUMMYFUNCTION("""COMPUTED_VALUE"""),"ID07463")</f>
        <v>ID07463</v>
      </c>
      <c r="B193" s="21">
        <f>IFERROR(__xludf.DUMMYFUNCTION("""COMPUTED_VALUE"""),44898.0)</f>
        <v>44898</v>
      </c>
      <c r="C193" s="19" t="str">
        <f>IFERROR(__xludf.DUMMYFUNCTION("""COMPUTED_VALUE"""),"Cookies")</f>
        <v>Cookies</v>
      </c>
      <c r="D193" s="19">
        <f>IFERROR(__xludf.DUMMYFUNCTION("""COMPUTED_VALUE"""),2.1799999999999997)</f>
        <v>2.18</v>
      </c>
    </row>
    <row r="194">
      <c r="A194" s="19" t="str">
        <f>IFERROR(__xludf.DUMMYFUNCTION("""COMPUTED_VALUE"""),"ID07464")</f>
        <v>ID07464</v>
      </c>
      <c r="B194" s="21">
        <f>IFERROR(__xludf.DUMMYFUNCTION("""COMPUTED_VALUE"""),44901.0)</f>
        <v>44901</v>
      </c>
      <c r="C194" s="19" t="str">
        <f>IFERROR(__xludf.DUMMYFUNCTION("""COMPUTED_VALUE"""),"Cookies")</f>
        <v>Cookies</v>
      </c>
      <c r="D194" s="19">
        <f>IFERROR(__xludf.DUMMYFUNCTION("""COMPUTED_VALUE"""),2.84)</f>
        <v>2.84</v>
      </c>
    </row>
    <row r="195">
      <c r="A195" s="19" t="str">
        <f>IFERROR(__xludf.DUMMYFUNCTION("""COMPUTED_VALUE"""),"ID07468")</f>
        <v>ID07468</v>
      </c>
      <c r="B195" s="21">
        <f>IFERROR(__xludf.DUMMYFUNCTION("""COMPUTED_VALUE"""),44913.0)</f>
        <v>44913</v>
      </c>
      <c r="C195" s="19" t="str">
        <f>IFERROR(__xludf.DUMMYFUNCTION("""COMPUTED_VALUE"""),"Bars")</f>
        <v>Bars</v>
      </c>
      <c r="D195" s="19">
        <f>IFERROR(__xludf.DUMMYFUNCTION("""COMPUTED_VALUE"""),1.7699999999999998)</f>
        <v>1.77</v>
      </c>
    </row>
    <row r="196">
      <c r="A196" s="19" t="str">
        <f>IFERROR(__xludf.DUMMYFUNCTION("""COMPUTED_VALUE"""),"ID07469")</f>
        <v>ID07469</v>
      </c>
      <c r="B196" s="21">
        <f>IFERROR(__xludf.DUMMYFUNCTION("""COMPUTED_VALUE"""),44916.0)</f>
        <v>44916</v>
      </c>
      <c r="C196" s="19" t="str">
        <f>IFERROR(__xludf.DUMMYFUNCTION("""COMPUTED_VALUE"""),"Snacks")</f>
        <v>Snacks</v>
      </c>
      <c r="D196" s="19">
        <f>IFERROR(__xludf.DUMMYFUNCTION("""COMPUTED_VALUE"""),1.68)</f>
        <v>1.68</v>
      </c>
    </row>
    <row r="197">
      <c r="A197" s="19" t="str">
        <f>IFERROR(__xludf.DUMMYFUNCTION("""COMPUTED_VALUE"""),"ID07472")</f>
        <v>ID07472</v>
      </c>
      <c r="B197" s="21">
        <f>IFERROR(__xludf.DUMMYFUNCTION("""COMPUTED_VALUE"""),44925.0)</f>
        <v>44925</v>
      </c>
      <c r="C197" s="19" t="str">
        <f>IFERROR(__xludf.DUMMYFUNCTION("""COMPUTED_VALUE"""),"Cookies")</f>
        <v>Cookies</v>
      </c>
      <c r="D197" s="19">
        <f>IFERROR(__xludf.DUMMYFUNCTION("""COMPUTED_VALUE"""),2.18)</f>
        <v>2.18</v>
      </c>
    </row>
    <row r="198">
      <c r="A198" s="19" t="str">
        <f>IFERROR(__xludf.DUMMYFUNCTION("""COMPUTED_VALUE"""),"ID07476")</f>
        <v>ID07476</v>
      </c>
      <c r="B198" s="21">
        <f>IFERROR(__xludf.DUMMYFUNCTION("""COMPUTED_VALUE"""),44937.0)</f>
        <v>44937</v>
      </c>
      <c r="C198" s="19" t="str">
        <f>IFERROR(__xludf.DUMMYFUNCTION("""COMPUTED_VALUE"""),"Bars")</f>
        <v>Bars</v>
      </c>
      <c r="D198" s="19">
        <f>IFERROR(__xludf.DUMMYFUNCTION("""COMPUTED_VALUE"""),1.87)</f>
        <v>1.87</v>
      </c>
    </row>
    <row r="199">
      <c r="A199" s="19" t="str">
        <f>IFERROR(__xludf.DUMMYFUNCTION("""COMPUTED_VALUE"""),"ID07477")</f>
        <v>ID07477</v>
      </c>
      <c r="B199" s="21">
        <f>IFERROR(__xludf.DUMMYFUNCTION("""COMPUTED_VALUE"""),44940.0)</f>
        <v>44940</v>
      </c>
      <c r="C199" s="19" t="str">
        <f>IFERROR(__xludf.DUMMYFUNCTION("""COMPUTED_VALUE"""),"Cookies")</f>
        <v>Cookies</v>
      </c>
      <c r="D199" s="19">
        <f>IFERROR(__xludf.DUMMYFUNCTION("""COMPUTED_VALUE"""),2.84)</f>
        <v>2.84</v>
      </c>
    </row>
    <row r="200">
      <c r="A200" s="19" t="str">
        <f>IFERROR(__xludf.DUMMYFUNCTION("""COMPUTED_VALUE"""),"ID07480")</f>
        <v>ID07480</v>
      </c>
      <c r="B200" s="21">
        <f>IFERROR(__xludf.DUMMYFUNCTION("""COMPUTED_VALUE"""),44949.0)</f>
        <v>44949</v>
      </c>
      <c r="C200" s="19" t="str">
        <f>IFERROR(__xludf.DUMMYFUNCTION("""COMPUTED_VALUE"""),"Bars")</f>
        <v>Bars</v>
      </c>
      <c r="D200" s="19">
        <f>IFERROR(__xludf.DUMMYFUNCTION("""COMPUTED_VALUE"""),1.77)</f>
        <v>1.77</v>
      </c>
    </row>
    <row r="201">
      <c r="A201" s="19" t="str">
        <f>IFERROR(__xludf.DUMMYFUNCTION("""COMPUTED_VALUE"""),"ID07484")</f>
        <v>ID07484</v>
      </c>
      <c r="B201" s="21">
        <f>IFERROR(__xludf.DUMMYFUNCTION("""COMPUTED_VALUE"""),44961.0)</f>
        <v>44961</v>
      </c>
      <c r="C201" s="19" t="str">
        <f>IFERROR(__xludf.DUMMYFUNCTION("""COMPUTED_VALUE"""),"Cookies")</f>
        <v>Cookies</v>
      </c>
      <c r="D201" s="19">
        <f>IFERROR(__xludf.DUMMYFUNCTION("""COMPUTED_VALUE"""),2.18)</f>
        <v>2.18</v>
      </c>
    </row>
    <row r="202">
      <c r="A202" s="19" t="str">
        <f>IFERROR(__xludf.DUMMYFUNCTION("""COMPUTED_VALUE"""),"ID07485")</f>
        <v>ID07485</v>
      </c>
      <c r="B202" s="21">
        <f>IFERROR(__xludf.DUMMYFUNCTION("""COMPUTED_VALUE"""),44964.0)</f>
        <v>44964</v>
      </c>
      <c r="C202" s="19" t="str">
        <f>IFERROR(__xludf.DUMMYFUNCTION("""COMPUTED_VALUE"""),"Cookies")</f>
        <v>Cookies</v>
      </c>
      <c r="D202" s="19">
        <f>IFERROR(__xludf.DUMMYFUNCTION("""COMPUTED_VALUE"""),1.8699999999999999)</f>
        <v>1.87</v>
      </c>
    </row>
    <row r="203">
      <c r="A203" s="19" t="str">
        <f>IFERROR(__xludf.DUMMYFUNCTION("""COMPUTED_VALUE"""),"ID07488")</f>
        <v>ID07488</v>
      </c>
      <c r="B203" s="21">
        <f>IFERROR(__xludf.DUMMYFUNCTION("""COMPUTED_VALUE"""),44973.0)</f>
        <v>44973</v>
      </c>
      <c r="C203" s="19" t="str">
        <f>IFERROR(__xludf.DUMMYFUNCTION("""COMPUTED_VALUE"""),"Cookies")</f>
        <v>Cookies</v>
      </c>
      <c r="D203" s="19">
        <f>IFERROR(__xludf.DUMMYFUNCTION("""COMPUTED_VALUE"""),2.84)</f>
        <v>2.84</v>
      </c>
    </row>
    <row r="204">
      <c r="A204" s="19" t="str">
        <f>IFERROR(__xludf.DUMMYFUNCTION("""COMPUTED_VALUE"""),"ID07491")</f>
        <v>ID07491</v>
      </c>
      <c r="B204" s="21">
        <f>IFERROR(__xludf.DUMMYFUNCTION("""COMPUTED_VALUE"""),44982.0)</f>
        <v>44982</v>
      </c>
      <c r="C204" s="19" t="str">
        <f>IFERROR(__xludf.DUMMYFUNCTION("""COMPUTED_VALUE"""),"Cookies")</f>
        <v>Cookies</v>
      </c>
      <c r="D204" s="19">
        <f>IFERROR(__xludf.DUMMYFUNCTION("""COMPUTED_VALUE"""),2.18)</f>
        <v>2.18</v>
      </c>
    </row>
    <row r="205">
      <c r="A205" s="19" t="str">
        <f>IFERROR(__xludf.DUMMYFUNCTION("""COMPUTED_VALUE"""),"ID07492")</f>
        <v>ID07492</v>
      </c>
      <c r="B205" s="21">
        <f>IFERROR(__xludf.DUMMYFUNCTION("""COMPUTED_VALUE"""),44985.0)</f>
        <v>44985</v>
      </c>
      <c r="C205" s="19" t="str">
        <f>IFERROR(__xludf.DUMMYFUNCTION("""COMPUTED_VALUE"""),"Cookies")</f>
        <v>Cookies</v>
      </c>
      <c r="D205" s="19">
        <f>IFERROR(__xludf.DUMMYFUNCTION("""COMPUTED_VALUE"""),1.8699999999999999)</f>
        <v>1.87</v>
      </c>
    </row>
    <row r="206">
      <c r="A206" s="19" t="str">
        <f>IFERROR(__xludf.DUMMYFUNCTION("""COMPUTED_VALUE"""),"ID07495")</f>
        <v>ID07495</v>
      </c>
      <c r="B206" s="21">
        <f>IFERROR(__xludf.DUMMYFUNCTION("""COMPUTED_VALUE"""),44993.0)</f>
        <v>44993</v>
      </c>
      <c r="C206" s="19" t="str">
        <f>IFERROR(__xludf.DUMMYFUNCTION("""COMPUTED_VALUE"""),"Bars")</f>
        <v>Bars</v>
      </c>
      <c r="D206" s="19">
        <f>IFERROR(__xludf.DUMMYFUNCTION("""COMPUTED_VALUE"""),1.8699999999999999)</f>
        <v>1.87</v>
      </c>
    </row>
    <row r="207">
      <c r="A207" s="19" t="str">
        <f>IFERROR(__xludf.DUMMYFUNCTION("""COMPUTED_VALUE"""),"ID07496")</f>
        <v>ID07496</v>
      </c>
      <c r="B207" s="21">
        <f>IFERROR(__xludf.DUMMYFUNCTION("""COMPUTED_VALUE"""),44996.0)</f>
        <v>44996</v>
      </c>
      <c r="C207" s="19" t="str">
        <f>IFERROR(__xludf.DUMMYFUNCTION("""COMPUTED_VALUE"""),"Snacks")</f>
        <v>Snacks</v>
      </c>
      <c r="D207" s="19">
        <f>IFERROR(__xludf.DUMMYFUNCTION("""COMPUTED_VALUE"""),1.68)</f>
        <v>1.68</v>
      </c>
    </row>
    <row r="208">
      <c r="A208" s="19" t="str">
        <f>IFERROR(__xludf.DUMMYFUNCTION("""COMPUTED_VALUE"""),"ID07499")</f>
        <v>ID07499</v>
      </c>
      <c r="B208" s="21">
        <f>IFERROR(__xludf.DUMMYFUNCTION("""COMPUTED_VALUE"""),45005.0)</f>
        <v>45005</v>
      </c>
      <c r="C208" s="19" t="str">
        <f>IFERROR(__xludf.DUMMYFUNCTION("""COMPUTED_VALUE"""),"Bars")</f>
        <v>Bars</v>
      </c>
      <c r="D208" s="19">
        <f>IFERROR(__xludf.DUMMYFUNCTION("""COMPUTED_VALUE"""),1.77)</f>
        <v>1.77</v>
      </c>
    </row>
    <row r="209">
      <c r="A209" s="19" t="str">
        <f>IFERROR(__xludf.DUMMYFUNCTION("""COMPUTED_VALUE"""),"ID07500")</f>
        <v>ID07500</v>
      </c>
      <c r="B209" s="21">
        <f>IFERROR(__xludf.DUMMYFUNCTION("""COMPUTED_VALUE"""),45008.0)</f>
        <v>45008</v>
      </c>
      <c r="C209" s="19" t="str">
        <f>IFERROR(__xludf.DUMMYFUNCTION("""COMPUTED_VALUE"""),"Snacks")</f>
        <v>Snacks</v>
      </c>
      <c r="D209" s="19">
        <f>IFERROR(__xludf.DUMMYFUNCTION("""COMPUTED_VALUE"""),1.68)</f>
        <v>1.68</v>
      </c>
    </row>
    <row r="210">
      <c r="A210" s="19" t="str">
        <f>IFERROR(__xludf.DUMMYFUNCTION("""COMPUTED_VALUE"""),"ID07503")</f>
        <v>ID07503</v>
      </c>
      <c r="B210" s="21">
        <f>IFERROR(__xludf.DUMMYFUNCTION("""COMPUTED_VALUE"""),45017.0)</f>
        <v>45017</v>
      </c>
      <c r="C210" s="19" t="str">
        <f>IFERROR(__xludf.DUMMYFUNCTION("""COMPUTED_VALUE"""),"Bars")</f>
        <v>Bars</v>
      </c>
      <c r="D210" s="19">
        <f>IFERROR(__xludf.DUMMYFUNCTION("""COMPUTED_VALUE"""),1.77)</f>
        <v>1.77</v>
      </c>
    </row>
    <row r="211">
      <c r="A211" s="19" t="str">
        <f>IFERROR(__xludf.DUMMYFUNCTION("""COMPUTED_VALUE"""),"ID07506")</f>
        <v>ID07506</v>
      </c>
      <c r="B211" s="21">
        <f>IFERROR(__xludf.DUMMYFUNCTION("""COMPUTED_VALUE"""),45026.0)</f>
        <v>45026</v>
      </c>
      <c r="C211" s="19" t="str">
        <f>IFERROR(__xludf.DUMMYFUNCTION("""COMPUTED_VALUE"""),"Bars")</f>
        <v>Bars</v>
      </c>
      <c r="D211" s="19">
        <f>IFERROR(__xludf.DUMMYFUNCTION("""COMPUTED_VALUE"""),1.77)</f>
        <v>1.77</v>
      </c>
    </row>
    <row r="212">
      <c r="A212" s="19" t="str">
        <f>IFERROR(__xludf.DUMMYFUNCTION("""COMPUTED_VALUE"""),"ID07507")</f>
        <v>ID07507</v>
      </c>
      <c r="B212" s="21">
        <f>IFERROR(__xludf.DUMMYFUNCTION("""COMPUTED_VALUE"""),45029.0)</f>
        <v>45029</v>
      </c>
      <c r="C212" s="19" t="str">
        <f>IFERROR(__xludf.DUMMYFUNCTION("""COMPUTED_VALUE"""),"Crackers")</f>
        <v>Crackers</v>
      </c>
      <c r="D212" s="19">
        <f>IFERROR(__xludf.DUMMYFUNCTION("""COMPUTED_VALUE"""),3.49)</f>
        <v>3.49</v>
      </c>
    </row>
    <row r="213">
      <c r="A213" s="19" t="str">
        <f>IFERROR(__xludf.DUMMYFUNCTION("""COMPUTED_VALUE"""),"ID07510")</f>
        <v>ID07510</v>
      </c>
      <c r="B213" s="21">
        <f>IFERROR(__xludf.DUMMYFUNCTION("""COMPUTED_VALUE"""),45038.0)</f>
        <v>45038</v>
      </c>
      <c r="C213" s="19" t="str">
        <f>IFERROR(__xludf.DUMMYFUNCTION("""COMPUTED_VALUE"""),"Cookies")</f>
        <v>Cookies</v>
      </c>
      <c r="D213" s="19">
        <f>IFERROR(__xludf.DUMMYFUNCTION("""COMPUTED_VALUE"""),1.87)</f>
        <v>1.87</v>
      </c>
    </row>
    <row r="214">
      <c r="A214" s="19" t="str">
        <f>IFERROR(__xludf.DUMMYFUNCTION("""COMPUTED_VALUE"""),"ID07513")</f>
        <v>ID07513</v>
      </c>
      <c r="B214" s="21">
        <f>IFERROR(__xludf.DUMMYFUNCTION("""COMPUTED_VALUE"""),45047.0)</f>
        <v>45047</v>
      </c>
      <c r="C214" s="19" t="str">
        <f>IFERROR(__xludf.DUMMYFUNCTION("""COMPUTED_VALUE"""),"Cookies")</f>
        <v>Cookies</v>
      </c>
      <c r="D214" s="19">
        <f>IFERROR(__xludf.DUMMYFUNCTION("""COMPUTED_VALUE"""),2.18)</f>
        <v>2.18</v>
      </c>
    </row>
    <row r="215">
      <c r="A215" s="19" t="str">
        <f>IFERROR(__xludf.DUMMYFUNCTION("""COMPUTED_VALUE"""),"ID07514")</f>
        <v>ID07514</v>
      </c>
      <c r="B215" s="21">
        <f>IFERROR(__xludf.DUMMYFUNCTION("""COMPUTED_VALUE"""),45050.0)</f>
        <v>45050</v>
      </c>
      <c r="C215" s="19" t="str">
        <f>IFERROR(__xludf.DUMMYFUNCTION("""COMPUTED_VALUE"""),"Cookies")</f>
        <v>Cookies</v>
      </c>
      <c r="D215" s="19">
        <f>IFERROR(__xludf.DUMMYFUNCTION("""COMPUTED_VALUE"""),1.8699999999999999)</f>
        <v>1.87</v>
      </c>
    </row>
    <row r="216">
      <c r="A216" s="19" t="str">
        <f>IFERROR(__xludf.DUMMYFUNCTION("""COMPUTED_VALUE"""),"ID07517")</f>
        <v>ID07517</v>
      </c>
      <c r="B216" s="21">
        <f>IFERROR(__xludf.DUMMYFUNCTION("""COMPUTED_VALUE"""),45059.0)</f>
        <v>45059</v>
      </c>
      <c r="C216" s="19" t="str">
        <f>IFERROR(__xludf.DUMMYFUNCTION("""COMPUTED_VALUE"""),"Cookies")</f>
        <v>Cookies</v>
      </c>
      <c r="D216" s="19">
        <f>IFERROR(__xludf.DUMMYFUNCTION("""COMPUTED_VALUE"""),1.87)</f>
        <v>1.87</v>
      </c>
    </row>
    <row r="217">
      <c r="A217" s="19" t="str">
        <f>IFERROR(__xludf.DUMMYFUNCTION("""COMPUTED_VALUE"""),"ID07520")</f>
        <v>ID07520</v>
      </c>
      <c r="B217" s="21">
        <f>IFERROR(__xludf.DUMMYFUNCTION("""COMPUTED_VALUE"""),45068.0)</f>
        <v>45068</v>
      </c>
      <c r="C217" s="19" t="str">
        <f>IFERROR(__xludf.DUMMYFUNCTION("""COMPUTED_VALUE"""),"Cookies")</f>
        <v>Cookies</v>
      </c>
      <c r="D217" s="19">
        <f>IFERROR(__xludf.DUMMYFUNCTION("""COMPUTED_VALUE"""),1.8699999999999999)</f>
        <v>1.87</v>
      </c>
    </row>
    <row r="218">
      <c r="A218" s="19" t="str">
        <f>IFERROR(__xludf.DUMMYFUNCTION("""COMPUTED_VALUE"""),"ID07522")</f>
        <v>ID07522</v>
      </c>
      <c r="B218" s="21">
        <f>IFERROR(__xludf.DUMMYFUNCTION("""COMPUTED_VALUE"""),45074.0)</f>
        <v>45074</v>
      </c>
      <c r="C218" s="19" t="str">
        <f>IFERROR(__xludf.DUMMYFUNCTION("""COMPUTED_VALUE"""),"Cookies")</f>
        <v>Cookies</v>
      </c>
      <c r="D218" s="19">
        <f>IFERROR(__xludf.DUMMYFUNCTION("""COMPUTED_VALUE"""),2.18)</f>
        <v>2.18</v>
      </c>
    </row>
    <row r="219">
      <c r="A219" s="19" t="str">
        <f>IFERROR(__xludf.DUMMYFUNCTION("""COMPUTED_VALUE"""),"ID07523")</f>
        <v>ID07523</v>
      </c>
      <c r="B219" s="21">
        <f>IFERROR(__xludf.DUMMYFUNCTION("""COMPUTED_VALUE"""),45077.0)</f>
        <v>45077</v>
      </c>
      <c r="C219" s="19" t="str">
        <f>IFERROR(__xludf.DUMMYFUNCTION("""COMPUTED_VALUE"""),"Cookies")</f>
        <v>Cookies</v>
      </c>
      <c r="D219" s="19">
        <f>IFERROR(__xludf.DUMMYFUNCTION("""COMPUTED_VALUE"""),2.84)</f>
        <v>2.84</v>
      </c>
    </row>
    <row r="220">
      <c r="A220" s="19" t="str">
        <f>IFERROR(__xludf.DUMMYFUNCTION("""COMPUTED_VALUE"""),"ID07527")</f>
        <v>ID07527</v>
      </c>
      <c r="B220" s="21">
        <f>IFERROR(__xludf.DUMMYFUNCTION("""COMPUTED_VALUE"""),45089.0)</f>
        <v>45089</v>
      </c>
      <c r="C220" s="19" t="str">
        <f>IFERROR(__xludf.DUMMYFUNCTION("""COMPUTED_VALUE"""),"Bars")</f>
        <v>Bars</v>
      </c>
      <c r="D220" s="19">
        <f>IFERROR(__xludf.DUMMYFUNCTION("""COMPUTED_VALUE"""),1.77)</f>
        <v>1.77</v>
      </c>
    </row>
    <row r="221">
      <c r="A221" s="19" t="str">
        <f>IFERROR(__xludf.DUMMYFUNCTION("""COMPUTED_VALUE"""),"ID07530")</f>
        <v>ID07530</v>
      </c>
      <c r="B221" s="21">
        <f>IFERROR(__xludf.DUMMYFUNCTION("""COMPUTED_VALUE"""),45098.0)</f>
        <v>45098</v>
      </c>
      <c r="C221" s="19" t="str">
        <f>IFERROR(__xludf.DUMMYFUNCTION("""COMPUTED_VALUE"""),"Bars")</f>
        <v>Bars</v>
      </c>
      <c r="D221" s="19">
        <f>IFERROR(__xludf.DUMMYFUNCTION("""COMPUTED_VALUE"""),1.7699999999999998)</f>
        <v>1.77</v>
      </c>
    </row>
    <row r="222">
      <c r="A222" s="19" t="str">
        <f>IFERROR(__xludf.DUMMYFUNCTION("""COMPUTED_VALUE"""),"ID07534")</f>
        <v>ID07534</v>
      </c>
      <c r="B222" s="21">
        <f>IFERROR(__xludf.DUMMYFUNCTION("""COMPUTED_VALUE"""),45110.0)</f>
        <v>45110</v>
      </c>
      <c r="C222" s="19" t="str">
        <f>IFERROR(__xludf.DUMMYFUNCTION("""COMPUTED_VALUE"""),"Bars")</f>
        <v>Bars</v>
      </c>
      <c r="D222" s="19">
        <f>IFERROR(__xludf.DUMMYFUNCTION("""COMPUTED_VALUE"""),1.8699999999999999)</f>
        <v>1.87</v>
      </c>
    </row>
    <row r="223">
      <c r="A223" s="19" t="str">
        <f>IFERROR(__xludf.DUMMYFUNCTION("""COMPUTED_VALUE"""),"ID07535")</f>
        <v>ID07535</v>
      </c>
      <c r="B223" s="21">
        <f>IFERROR(__xludf.DUMMYFUNCTION("""COMPUTED_VALUE"""),45113.0)</f>
        <v>45113</v>
      </c>
      <c r="C223" s="19" t="str">
        <f>IFERROR(__xludf.DUMMYFUNCTION("""COMPUTED_VALUE"""),"Cookies")</f>
        <v>Cookies</v>
      </c>
      <c r="D223" s="19">
        <f>IFERROR(__xludf.DUMMYFUNCTION("""COMPUTED_VALUE"""),2.8400000000000003)</f>
        <v>2.84</v>
      </c>
    </row>
    <row r="224">
      <c r="A224" s="19" t="str">
        <f>IFERROR(__xludf.DUMMYFUNCTION("""COMPUTED_VALUE"""),"ID07538")</f>
        <v>ID07538</v>
      </c>
      <c r="B224" s="21">
        <f>IFERROR(__xludf.DUMMYFUNCTION("""COMPUTED_VALUE"""),45122.0)</f>
        <v>45122</v>
      </c>
      <c r="C224" s="19" t="str">
        <f>IFERROR(__xludf.DUMMYFUNCTION("""COMPUTED_VALUE"""),"Bars")</f>
        <v>Bars</v>
      </c>
      <c r="D224" s="19">
        <f>IFERROR(__xludf.DUMMYFUNCTION("""COMPUTED_VALUE"""),1.8699999999999999)</f>
        <v>1.87</v>
      </c>
    </row>
    <row r="225">
      <c r="A225" s="19" t="str">
        <f>IFERROR(__xludf.DUMMYFUNCTION("""COMPUTED_VALUE"""),"ID07542")</f>
        <v>ID07542</v>
      </c>
      <c r="B225" s="21">
        <f>IFERROR(__xludf.DUMMYFUNCTION("""COMPUTED_VALUE"""),45134.0)</f>
        <v>45134</v>
      </c>
      <c r="C225" s="19" t="str">
        <f>IFERROR(__xludf.DUMMYFUNCTION("""COMPUTED_VALUE"""),"Cookies")</f>
        <v>Cookies</v>
      </c>
      <c r="D225" s="19">
        <f>IFERROR(__xludf.DUMMYFUNCTION("""COMPUTED_VALUE"""),2.18)</f>
        <v>2.18</v>
      </c>
    </row>
    <row r="226">
      <c r="A226" s="19" t="str">
        <f>IFERROR(__xludf.DUMMYFUNCTION("""COMPUTED_VALUE"""),"ID07543")</f>
        <v>ID07543</v>
      </c>
      <c r="B226" s="21">
        <f>IFERROR(__xludf.DUMMYFUNCTION("""COMPUTED_VALUE"""),45137.0)</f>
        <v>45137</v>
      </c>
      <c r="C226" s="19" t="str">
        <f>IFERROR(__xludf.DUMMYFUNCTION("""COMPUTED_VALUE"""),"Cookies")</f>
        <v>Cookies</v>
      </c>
      <c r="D226" s="19">
        <f>IFERROR(__xludf.DUMMYFUNCTION("""COMPUTED_VALUE"""),1.87)</f>
        <v>1.87</v>
      </c>
    </row>
    <row r="227">
      <c r="A227" s="19" t="str">
        <f>IFERROR(__xludf.DUMMYFUNCTION("""COMPUTED_VALUE"""),"ID07545")</f>
        <v>ID07545</v>
      </c>
      <c r="B227" s="21">
        <f>IFERROR(__xludf.DUMMYFUNCTION("""COMPUTED_VALUE"""),45143.0)</f>
        <v>45143</v>
      </c>
      <c r="C227" s="19" t="str">
        <f>IFERROR(__xludf.DUMMYFUNCTION("""COMPUTED_VALUE"""),"Cookies")</f>
        <v>Cookies</v>
      </c>
      <c r="D227" s="19">
        <f>IFERROR(__xludf.DUMMYFUNCTION("""COMPUTED_VALUE"""),2.1799999999999997)</f>
        <v>2.18</v>
      </c>
    </row>
    <row r="228">
      <c r="A228" s="19" t="str">
        <f>IFERROR(__xludf.DUMMYFUNCTION("""COMPUTED_VALUE"""),"ID07546")</f>
        <v>ID07546</v>
      </c>
      <c r="B228" s="21">
        <f>IFERROR(__xludf.DUMMYFUNCTION("""COMPUTED_VALUE"""),45146.0)</f>
        <v>45146</v>
      </c>
      <c r="C228" s="19" t="str">
        <f>IFERROR(__xludf.DUMMYFUNCTION("""COMPUTED_VALUE"""),"Cookies")</f>
        <v>Cookies</v>
      </c>
      <c r="D228" s="19">
        <f>IFERROR(__xludf.DUMMYFUNCTION("""COMPUTED_VALUE"""),2.84)</f>
        <v>2.84</v>
      </c>
    </row>
    <row r="229">
      <c r="A229" s="19" t="str">
        <f>IFERROR(__xludf.DUMMYFUNCTION("""COMPUTED_VALUE"""),"ID07549")</f>
        <v>ID07549</v>
      </c>
      <c r="B229" s="21">
        <f>IFERROR(__xludf.DUMMYFUNCTION("""COMPUTED_VALUE"""),45155.0)</f>
        <v>45155</v>
      </c>
      <c r="C229" s="19" t="str">
        <f>IFERROR(__xludf.DUMMYFUNCTION("""COMPUTED_VALUE"""),"Bars")</f>
        <v>Bars</v>
      </c>
      <c r="D229" s="19">
        <f>IFERROR(__xludf.DUMMYFUNCTION("""COMPUTED_VALUE"""),1.77)</f>
        <v>1.77</v>
      </c>
    </row>
    <row r="230">
      <c r="A230" s="19" t="str">
        <f>IFERROR(__xludf.DUMMYFUNCTION("""COMPUTED_VALUE"""),"ID07552")</f>
        <v>ID07552</v>
      </c>
      <c r="B230" s="21">
        <f>IFERROR(__xludf.DUMMYFUNCTION("""COMPUTED_VALUE"""),45164.0)</f>
        <v>45164</v>
      </c>
      <c r="C230" s="19" t="str">
        <f>IFERROR(__xludf.DUMMYFUNCTION("""COMPUTED_VALUE"""),"Bars")</f>
        <v>Bars</v>
      </c>
      <c r="D230" s="19">
        <f>IFERROR(__xludf.DUMMYFUNCTION("""COMPUTED_VALUE"""),1.7699999999999998)</f>
        <v>1.77</v>
      </c>
    </row>
    <row r="231">
      <c r="A231" s="19" t="str">
        <f>IFERROR(__xludf.DUMMYFUNCTION("""COMPUTED_VALUE"""),"ID07556")</f>
        <v>ID07556</v>
      </c>
      <c r="B231" s="21">
        <f>IFERROR(__xludf.DUMMYFUNCTION("""COMPUTED_VALUE"""),45176.0)</f>
        <v>45176</v>
      </c>
      <c r="C231" s="19" t="str">
        <f>IFERROR(__xludf.DUMMYFUNCTION("""COMPUTED_VALUE"""),"Bars")</f>
        <v>Bars</v>
      </c>
      <c r="D231" s="19">
        <f>IFERROR(__xludf.DUMMYFUNCTION("""COMPUTED_VALUE"""),1.87)</f>
        <v>1.87</v>
      </c>
    </row>
    <row r="232">
      <c r="A232" s="19" t="str">
        <f>IFERROR(__xludf.DUMMYFUNCTION("""COMPUTED_VALUE"""),"ID07557")</f>
        <v>ID07557</v>
      </c>
      <c r="B232" s="21">
        <f>IFERROR(__xludf.DUMMYFUNCTION("""COMPUTED_VALUE"""),45179.0)</f>
        <v>45179</v>
      </c>
      <c r="C232" s="19" t="str">
        <f>IFERROR(__xludf.DUMMYFUNCTION("""COMPUTED_VALUE"""),"Cookies")</f>
        <v>Cookies</v>
      </c>
      <c r="D232" s="19">
        <f>IFERROR(__xludf.DUMMYFUNCTION("""COMPUTED_VALUE"""),2.8400000000000003)</f>
        <v>2.84</v>
      </c>
    </row>
    <row r="233">
      <c r="A233" s="19" t="str">
        <f>IFERROR(__xludf.DUMMYFUNCTION("""COMPUTED_VALUE"""),"ID07560")</f>
        <v>ID07560</v>
      </c>
      <c r="B233" s="21">
        <f>IFERROR(__xludf.DUMMYFUNCTION("""COMPUTED_VALUE"""),45188.0)</f>
        <v>45188</v>
      </c>
      <c r="C233" s="19" t="str">
        <f>IFERROR(__xludf.DUMMYFUNCTION("""COMPUTED_VALUE"""),"Bars")</f>
        <v>Bars</v>
      </c>
      <c r="D233" s="19">
        <f>IFERROR(__xludf.DUMMYFUNCTION("""COMPUTED_VALUE"""),1.77)</f>
        <v>1.77</v>
      </c>
    </row>
    <row r="234">
      <c r="A234" s="19" t="str">
        <f>IFERROR(__xludf.DUMMYFUNCTION("""COMPUTED_VALUE"""),"ID07564")</f>
        <v>ID07564</v>
      </c>
      <c r="B234" s="21">
        <f>IFERROR(__xludf.DUMMYFUNCTION("""COMPUTED_VALUE"""),45200.0)</f>
        <v>45200</v>
      </c>
      <c r="C234" s="19" t="str">
        <f>IFERROR(__xludf.DUMMYFUNCTION("""COMPUTED_VALUE"""),"Bars")</f>
        <v>Bars</v>
      </c>
      <c r="D234" s="19">
        <f>IFERROR(__xludf.DUMMYFUNCTION("""COMPUTED_VALUE"""),1.8699999999999999)</f>
        <v>1.87</v>
      </c>
    </row>
    <row r="235">
      <c r="A235" s="19" t="str">
        <f>IFERROR(__xludf.DUMMYFUNCTION("""COMPUTED_VALUE"""),"ID07565")</f>
        <v>ID07565</v>
      </c>
      <c r="B235" s="21">
        <f>IFERROR(__xludf.DUMMYFUNCTION("""COMPUTED_VALUE"""),45203.0)</f>
        <v>45203</v>
      </c>
      <c r="C235" s="19" t="str">
        <f>IFERROR(__xludf.DUMMYFUNCTION("""COMPUTED_VALUE"""),"Cookies")</f>
        <v>Cookies</v>
      </c>
      <c r="D235" s="19">
        <f>IFERROR(__xludf.DUMMYFUNCTION("""COMPUTED_VALUE"""),2.84)</f>
        <v>2.84</v>
      </c>
    </row>
    <row r="236">
      <c r="A236" s="19" t="str">
        <f>IFERROR(__xludf.DUMMYFUNCTION("""COMPUTED_VALUE"""),"ID07568")</f>
        <v>ID07568</v>
      </c>
      <c r="B236" s="21">
        <f>IFERROR(__xludf.DUMMYFUNCTION("""COMPUTED_VALUE"""),45212.0)</f>
        <v>45212</v>
      </c>
      <c r="C236" s="19" t="str">
        <f>IFERROR(__xludf.DUMMYFUNCTION("""COMPUTED_VALUE"""),"Bars")</f>
        <v>Bars</v>
      </c>
      <c r="D236" s="19">
        <f>IFERROR(__xludf.DUMMYFUNCTION("""COMPUTED_VALUE"""),1.77)</f>
        <v>1.77</v>
      </c>
    </row>
    <row r="237">
      <c r="A237" s="19" t="str">
        <f>IFERROR(__xludf.DUMMYFUNCTION("""COMPUTED_VALUE"""),"ID07572")</f>
        <v>ID07572</v>
      </c>
      <c r="B237" s="21">
        <f>IFERROR(__xludf.DUMMYFUNCTION("""COMPUTED_VALUE"""),45224.0)</f>
        <v>45224</v>
      </c>
      <c r="C237" s="19" t="str">
        <f>IFERROR(__xludf.DUMMYFUNCTION("""COMPUTED_VALUE"""),"Bars")</f>
        <v>Bars</v>
      </c>
      <c r="D237" s="19">
        <f>IFERROR(__xludf.DUMMYFUNCTION("""COMPUTED_VALUE"""),1.77)</f>
        <v>1.77</v>
      </c>
    </row>
    <row r="238">
      <c r="A238" s="19" t="str">
        <f>IFERROR(__xludf.DUMMYFUNCTION("""COMPUTED_VALUE"""),"ID07575")</f>
        <v>ID07575</v>
      </c>
      <c r="B238" s="21">
        <f>IFERROR(__xludf.DUMMYFUNCTION("""COMPUTED_VALUE"""),45233.0)</f>
        <v>45233</v>
      </c>
      <c r="C238" s="19" t="str">
        <f>IFERROR(__xludf.DUMMYFUNCTION("""COMPUTED_VALUE"""),"Cookies")</f>
        <v>Cookies</v>
      </c>
      <c r="D238" s="19">
        <f>IFERROR(__xludf.DUMMYFUNCTION("""COMPUTED_VALUE"""),1.87)</f>
        <v>1.87</v>
      </c>
    </row>
    <row r="239">
      <c r="A239" s="19" t="str">
        <f>IFERROR(__xludf.DUMMYFUNCTION("""COMPUTED_VALUE"""),"ID07578")</f>
        <v>ID07578</v>
      </c>
      <c r="B239" s="21">
        <f>IFERROR(__xludf.DUMMYFUNCTION("""COMPUTED_VALUE"""),45242.0)</f>
        <v>45242</v>
      </c>
      <c r="C239" s="19" t="str">
        <f>IFERROR(__xludf.DUMMYFUNCTION("""COMPUTED_VALUE"""),"Bars")</f>
        <v>Bars</v>
      </c>
      <c r="D239" s="19">
        <f>IFERROR(__xludf.DUMMYFUNCTION("""COMPUTED_VALUE"""),1.77)</f>
        <v>1.77</v>
      </c>
    </row>
    <row r="240">
      <c r="A240" s="19" t="str">
        <f>IFERROR(__xludf.DUMMYFUNCTION("""COMPUTED_VALUE"""),"ID07581")</f>
        <v>ID07581</v>
      </c>
      <c r="B240" s="21">
        <f>IFERROR(__xludf.DUMMYFUNCTION("""COMPUTED_VALUE"""),45251.0)</f>
        <v>45251</v>
      </c>
      <c r="C240" s="19" t="str">
        <f>IFERROR(__xludf.DUMMYFUNCTION("""COMPUTED_VALUE"""),"Bars")</f>
        <v>Bars</v>
      </c>
      <c r="D240" s="19">
        <f>IFERROR(__xludf.DUMMYFUNCTION("""COMPUTED_VALUE"""),1.77)</f>
        <v>1.77</v>
      </c>
    </row>
    <row r="241">
      <c r="A241" s="19" t="str">
        <f>IFERROR(__xludf.DUMMYFUNCTION("""COMPUTED_VALUE"""),"ID07585")</f>
        <v>ID07585</v>
      </c>
      <c r="B241" s="21">
        <f>IFERROR(__xludf.DUMMYFUNCTION("""COMPUTED_VALUE"""),45263.0)</f>
        <v>45263</v>
      </c>
      <c r="C241" s="19" t="str">
        <f>IFERROR(__xludf.DUMMYFUNCTION("""COMPUTED_VALUE"""),"Bars")</f>
        <v>Bars</v>
      </c>
      <c r="D241" s="19">
        <f>IFERROR(__xludf.DUMMYFUNCTION("""COMPUTED_VALUE"""),1.87)</f>
        <v>1.87</v>
      </c>
    </row>
    <row r="242">
      <c r="A242" s="19" t="str">
        <f>IFERROR(__xludf.DUMMYFUNCTION("""COMPUTED_VALUE"""),"ID07586")</f>
        <v>ID07586</v>
      </c>
      <c r="B242" s="21">
        <f>IFERROR(__xludf.DUMMYFUNCTION("""COMPUTED_VALUE"""),45266.0)</f>
        <v>45266</v>
      </c>
      <c r="C242" s="19" t="str">
        <f>IFERROR(__xludf.DUMMYFUNCTION("""COMPUTED_VALUE"""),"Cookies")</f>
        <v>Cookies</v>
      </c>
      <c r="D242" s="19">
        <f>IFERROR(__xludf.DUMMYFUNCTION("""COMPUTED_VALUE"""),2.84)</f>
        <v>2.84</v>
      </c>
    </row>
    <row r="243">
      <c r="A243" s="19" t="str">
        <f>IFERROR(__xludf.DUMMYFUNCTION("""COMPUTED_VALUE"""),"ID07589")</f>
        <v>ID07589</v>
      </c>
      <c r="B243" s="21">
        <f>IFERROR(__xludf.DUMMYFUNCTION("""COMPUTED_VALUE"""),45275.0)</f>
        <v>45275</v>
      </c>
      <c r="C243" s="19" t="str">
        <f>IFERROR(__xludf.DUMMYFUNCTION("""COMPUTED_VALUE"""),"Cookies")</f>
        <v>Cookies</v>
      </c>
      <c r="D243" s="19">
        <f>IFERROR(__xludf.DUMMYFUNCTION("""COMPUTED_VALUE"""),1.87)</f>
        <v>1.87</v>
      </c>
    </row>
    <row r="244">
      <c r="A244" s="19" t="str">
        <f>IFERROR(__xludf.DUMMYFUNCTION("""COMPUTED_VALUE"""),"ID07593")</f>
        <v>ID07593</v>
      </c>
      <c r="B244" s="21">
        <f>IFERROR(__xludf.DUMMYFUNCTION("""COMPUTED_VALUE"""),45287.0)</f>
        <v>45287</v>
      </c>
      <c r="C244" s="19" t="str">
        <f>IFERROR(__xludf.DUMMYFUNCTION("""COMPUTED_VALUE"""),"Bars")</f>
        <v>Bars</v>
      </c>
      <c r="D244" s="19">
        <f>IFERROR(__xludf.DUMMYFUNCTION("""COMPUTED_VALUE"""),1.87)</f>
        <v>1.87</v>
      </c>
    </row>
    <row r="245">
      <c r="A245" s="19" t="str">
        <f>IFERROR(__xludf.DUMMYFUNCTION("""COMPUTED_VALUE"""),"ID07594")</f>
        <v>ID07594</v>
      </c>
      <c r="B245" s="21">
        <f>IFERROR(__xludf.DUMMYFUNCTION("""COMPUTED_VALUE"""),45290.0)</f>
        <v>45290</v>
      </c>
      <c r="C245" s="19" t="str">
        <f>IFERROR(__xludf.DUMMYFUNCTION("""COMPUTED_VALUE"""),"Cookies")</f>
        <v>Cookies</v>
      </c>
      <c r="D245" s="19">
        <f>IFERROR(__xludf.DUMMYFUNCTION("""COMPUTED_VALUE"""),2.84)</f>
        <v>2.84</v>
      </c>
    </row>
    <row r="246">
      <c r="A246" s="19" t="str">
        <f>IFERROR(__xludf.DUMMYFUNCTION("""COMPUTED_VALUE"""),"Total")</f>
        <v>Total</v>
      </c>
      <c r="B246" s="21"/>
      <c r="C246" s="19"/>
      <c r="D246" s="19"/>
    </row>
    <row r="247">
      <c r="A247" s="19" t="str">
        <f>IFERROR(__xludf.DUMMYFUNCTION("""COMPUTED_VALUE"""),"Average")</f>
        <v>Average</v>
      </c>
      <c r="B247" s="21"/>
      <c r="C247" s="19"/>
      <c r="D247" s="19"/>
    </row>
    <row r="248">
      <c r="A248" s="19" t="str">
        <f>IFERROR(__xludf.DUMMYFUNCTION("""COMPUTED_VALUE"""),"Maximum")</f>
        <v>Maximum</v>
      </c>
      <c r="B248" s="21"/>
      <c r="C248" s="19"/>
      <c r="D248" s="19"/>
    </row>
    <row r="249">
      <c r="A249" s="19" t="str">
        <f>IFERROR(__xludf.DUMMYFUNCTION("""COMPUTED_VALUE"""),"Minimum")</f>
        <v>Minimum</v>
      </c>
      <c r="B249" s="21"/>
      <c r="C249" s="19"/>
      <c r="D249" s="19"/>
    </row>
    <row r="250">
      <c r="A250" s="19" t="str">
        <f>IFERROR(__xludf.DUMMYFUNCTION("""COMPUTED_VALUE"""),"Total Cell contain Number")</f>
        <v>Total Cell contain Number</v>
      </c>
      <c r="B250" s="21"/>
      <c r="C250" s="19"/>
      <c r="D250" s="19"/>
    </row>
    <row r="251">
      <c r="A251" s="19" t="str">
        <f>IFERROR(__xludf.DUMMYFUNCTION("""COMPUTED_VALUE"""),"Total Cell contain Non Empty")</f>
        <v>Total Cell contain Non Empty</v>
      </c>
      <c r="B251" s="21"/>
      <c r="C251" s="19"/>
      <c r="D251" s="19"/>
    </row>
    <row r="252">
      <c r="A252" s="19" t="str">
        <f>IFERROR(__xludf.DUMMYFUNCTION("""COMPUTED_VALUE"""),"Total price &gt;$100")</f>
        <v>Total price &gt;$100</v>
      </c>
      <c r="B252" s="21"/>
      <c r="C252" s="19"/>
      <c r="D252" s="19"/>
    </row>
    <row r="253">
      <c r="A253" s="19" t="str">
        <f>IFERROR(__xludf.DUMMYFUNCTION("""COMPUTED_VALUE"""),"Average Price &gt;$100")</f>
        <v>Average Price &gt;$100</v>
      </c>
      <c r="B253" s="21"/>
      <c r="C253" s="19"/>
      <c r="D253" s="19"/>
    </row>
    <row r="254">
      <c r="A254" s="19" t="str">
        <f>IFERROR(__xludf.DUMMYFUNCTION("""COMPUTED_VALUE"""),"Total Cell Price &gt;$100")</f>
        <v>Total Cell Price &gt;$100</v>
      </c>
      <c r="B254" s="21"/>
      <c r="C254" s="19"/>
      <c r="D254" s="19"/>
    </row>
    <row r="255">
      <c r="A255" s="19"/>
      <c r="B255" s="21"/>
      <c r="C255" s="19"/>
      <c r="D255" s="19"/>
    </row>
    <row r="256">
      <c r="A256" s="19"/>
      <c r="B256" s="21"/>
      <c r="C256" s="19"/>
      <c r="D256" s="19"/>
    </row>
    <row r="257">
      <c r="A257" s="19"/>
      <c r="B257" s="21"/>
      <c r="C257" s="19"/>
      <c r="D257" s="19"/>
    </row>
    <row r="258">
      <c r="A258" s="19"/>
      <c r="B258" s="21"/>
      <c r="C258" s="19"/>
      <c r="D258" s="19"/>
    </row>
    <row r="259">
      <c r="A259" s="19"/>
      <c r="B259" s="21"/>
      <c r="C259" s="19"/>
      <c r="D259" s="19"/>
    </row>
    <row r="260">
      <c r="A260" s="19"/>
      <c r="B260" s="21"/>
      <c r="C260" s="19"/>
      <c r="D260" s="19"/>
    </row>
    <row r="261">
      <c r="A261" s="19"/>
      <c r="B261" s="21"/>
      <c r="C261" s="19"/>
      <c r="D261" s="19"/>
    </row>
    <row r="262">
      <c r="A262" s="19"/>
      <c r="B262" s="21"/>
      <c r="C262" s="19"/>
      <c r="D262" s="19"/>
    </row>
    <row r="263">
      <c r="A263" s="19"/>
      <c r="B263" s="21"/>
      <c r="C263" s="19"/>
      <c r="D263" s="19"/>
    </row>
    <row r="264">
      <c r="A264" s="19"/>
      <c r="B264" s="21"/>
      <c r="C264" s="19"/>
      <c r="D264" s="19"/>
    </row>
    <row r="265">
      <c r="A265" s="19"/>
      <c r="B265" s="21"/>
      <c r="C265" s="19"/>
      <c r="D265" s="19"/>
    </row>
    <row r="266">
      <c r="A266" s="19"/>
      <c r="B266" s="21"/>
      <c r="C266" s="19"/>
      <c r="D266" s="19"/>
    </row>
    <row r="267">
      <c r="A267" s="19"/>
      <c r="B267" s="21"/>
      <c r="C267" s="19"/>
      <c r="D267" s="19"/>
    </row>
    <row r="268">
      <c r="A268" s="19"/>
      <c r="B268" s="21"/>
      <c r="C268" s="19"/>
      <c r="D268" s="19"/>
    </row>
    <row r="269">
      <c r="A269" s="19"/>
      <c r="B269" s="21"/>
      <c r="C269" s="19"/>
      <c r="D269" s="19"/>
    </row>
    <row r="270">
      <c r="A270" s="19"/>
      <c r="B270" s="21"/>
      <c r="C270" s="19"/>
      <c r="D270" s="19"/>
    </row>
    <row r="271">
      <c r="A271" s="19"/>
      <c r="B271" s="21"/>
      <c r="C271" s="19"/>
      <c r="D271" s="19"/>
    </row>
    <row r="272">
      <c r="A272" s="19"/>
      <c r="B272" s="21"/>
      <c r="C272" s="19"/>
      <c r="D272" s="19"/>
    </row>
    <row r="273">
      <c r="A273" s="19"/>
      <c r="B273" s="21"/>
      <c r="C273" s="19"/>
      <c r="D273" s="19"/>
    </row>
    <row r="274">
      <c r="A274" s="19"/>
      <c r="B274" s="21"/>
      <c r="C274" s="19"/>
      <c r="D274" s="19"/>
    </row>
    <row r="275">
      <c r="A275" s="19"/>
      <c r="B275" s="21"/>
      <c r="C275" s="19"/>
      <c r="D275" s="19"/>
    </row>
    <row r="276">
      <c r="A276" s="19"/>
      <c r="B276" s="21"/>
      <c r="C276" s="19"/>
      <c r="D276" s="19"/>
    </row>
    <row r="277">
      <c r="A277" s="19"/>
      <c r="B277" s="21"/>
      <c r="C277" s="19"/>
      <c r="D277" s="19"/>
    </row>
    <row r="278">
      <c r="A278" s="19"/>
      <c r="B278" s="21"/>
      <c r="C278" s="19"/>
      <c r="D278" s="19"/>
    </row>
    <row r="279">
      <c r="A279" s="19"/>
      <c r="B279" s="21"/>
      <c r="C279" s="19"/>
      <c r="D279" s="19"/>
    </row>
    <row r="280">
      <c r="A280" s="19"/>
      <c r="B280" s="21"/>
      <c r="C280" s="19"/>
      <c r="D280" s="19"/>
    </row>
    <row r="281">
      <c r="A281" s="19"/>
      <c r="B281" s="21"/>
      <c r="C281" s="19"/>
      <c r="D281" s="19"/>
    </row>
    <row r="282">
      <c r="A282" s="19"/>
      <c r="B282" s="21"/>
      <c r="C282" s="19"/>
      <c r="D282" s="19"/>
    </row>
    <row r="283">
      <c r="A283" s="19"/>
      <c r="B283" s="21"/>
      <c r="C283" s="19"/>
      <c r="D283" s="19"/>
    </row>
    <row r="284">
      <c r="A284" s="19"/>
      <c r="B284" s="21"/>
      <c r="C284" s="19"/>
      <c r="D284" s="19"/>
    </row>
    <row r="285">
      <c r="A285" s="19"/>
      <c r="B285" s="21"/>
      <c r="C285" s="19"/>
      <c r="D285" s="19"/>
    </row>
    <row r="286">
      <c r="A286" s="19"/>
      <c r="B286" s="21"/>
      <c r="C286" s="19"/>
      <c r="D286" s="19"/>
    </row>
    <row r="287">
      <c r="A287" s="19"/>
      <c r="B287" s="21"/>
      <c r="C287" s="19"/>
      <c r="D287" s="19"/>
    </row>
    <row r="288">
      <c r="A288" s="19"/>
      <c r="B288" s="21"/>
      <c r="C288" s="19"/>
      <c r="D288" s="19"/>
    </row>
    <row r="289">
      <c r="A289" s="19"/>
      <c r="B289" s="21"/>
      <c r="C289" s="19"/>
      <c r="D289" s="19"/>
    </row>
    <row r="290">
      <c r="A290" s="19"/>
      <c r="B290" s="21"/>
      <c r="C290" s="19"/>
      <c r="D290" s="19"/>
    </row>
    <row r="291">
      <c r="A291" s="19"/>
      <c r="B291" s="21"/>
      <c r="C291" s="19"/>
      <c r="D291" s="19"/>
    </row>
    <row r="292">
      <c r="A292" s="19"/>
      <c r="B292" s="21"/>
      <c r="C292" s="19"/>
      <c r="D292" s="19"/>
    </row>
    <row r="293">
      <c r="A293" s="19"/>
      <c r="B293" s="21"/>
      <c r="C293" s="19"/>
      <c r="D293" s="19"/>
    </row>
    <row r="294">
      <c r="A294" s="19"/>
      <c r="B294" s="21"/>
      <c r="C294" s="19"/>
      <c r="D294" s="19"/>
    </row>
    <row r="295">
      <c r="A295" s="19"/>
      <c r="B295" s="21"/>
      <c r="C295" s="19"/>
      <c r="D295" s="19"/>
    </row>
    <row r="296">
      <c r="A296" s="19"/>
      <c r="B296" s="21"/>
      <c r="C296" s="19"/>
      <c r="D296" s="19"/>
    </row>
    <row r="297">
      <c r="A297" s="19"/>
      <c r="B297" s="21"/>
      <c r="C297" s="19"/>
      <c r="D297" s="19"/>
    </row>
    <row r="298">
      <c r="A298" s="19"/>
      <c r="B298" s="21"/>
      <c r="C298" s="19"/>
      <c r="D298" s="19"/>
    </row>
    <row r="299">
      <c r="A299" s="19"/>
      <c r="B299" s="21"/>
      <c r="C299" s="19"/>
      <c r="D299" s="19"/>
    </row>
    <row r="300">
      <c r="A300" s="19"/>
      <c r="B300" s="21"/>
      <c r="C300" s="19"/>
      <c r="D300" s="19"/>
    </row>
    <row r="301">
      <c r="A301" s="19"/>
      <c r="B301" s="21"/>
      <c r="C301" s="19"/>
      <c r="D301" s="19"/>
    </row>
    <row r="302">
      <c r="A302" s="19"/>
      <c r="B302" s="21"/>
      <c r="C302" s="19"/>
      <c r="D302" s="19"/>
    </row>
    <row r="303">
      <c r="A303" s="19"/>
      <c r="B303" s="21"/>
      <c r="C303" s="19"/>
      <c r="D303" s="19"/>
    </row>
    <row r="304">
      <c r="A304" s="19"/>
      <c r="B304" s="21"/>
      <c r="C304" s="19"/>
      <c r="D304" s="19"/>
    </row>
    <row r="305">
      <c r="A305" s="19"/>
      <c r="B305" s="21"/>
      <c r="C305" s="19"/>
      <c r="D305" s="19"/>
    </row>
    <row r="306">
      <c r="A306" s="19"/>
      <c r="B306" s="21"/>
      <c r="C306" s="19"/>
      <c r="D306" s="19"/>
    </row>
    <row r="307">
      <c r="A307" s="19"/>
      <c r="B307" s="21"/>
      <c r="C307" s="19"/>
      <c r="D307" s="19"/>
    </row>
    <row r="308">
      <c r="A308" s="19"/>
      <c r="B308" s="21"/>
      <c r="C308" s="19"/>
      <c r="D308" s="19"/>
    </row>
    <row r="309">
      <c r="A309" s="19"/>
      <c r="B309" s="21"/>
      <c r="C309" s="19"/>
      <c r="D309" s="19"/>
    </row>
    <row r="310">
      <c r="A310" s="19"/>
      <c r="B310" s="21"/>
      <c r="C310" s="19"/>
      <c r="D310" s="19"/>
    </row>
    <row r="311">
      <c r="A311" s="19"/>
      <c r="B311" s="21"/>
      <c r="C311" s="19"/>
      <c r="D311" s="19"/>
    </row>
    <row r="312">
      <c r="A312" s="19"/>
      <c r="B312" s="21"/>
      <c r="C312" s="19"/>
      <c r="D312" s="19"/>
    </row>
    <row r="313">
      <c r="A313" s="19"/>
      <c r="B313" s="21"/>
      <c r="C313" s="19"/>
      <c r="D313" s="19"/>
    </row>
    <row r="314">
      <c r="A314" s="19"/>
      <c r="B314" s="21"/>
      <c r="C314" s="19"/>
      <c r="D314" s="19"/>
    </row>
    <row r="315">
      <c r="A315" s="19"/>
      <c r="B315" s="21"/>
      <c r="C315" s="19"/>
      <c r="D315" s="19"/>
    </row>
    <row r="316">
      <c r="A316" s="19"/>
      <c r="B316" s="21"/>
      <c r="C316" s="19"/>
      <c r="D316" s="19"/>
    </row>
    <row r="317">
      <c r="A317" s="19"/>
      <c r="B317" s="21"/>
      <c r="C317" s="19"/>
      <c r="D317" s="19"/>
    </row>
    <row r="318">
      <c r="A318" s="19"/>
      <c r="B318" s="21"/>
      <c r="C318" s="19"/>
      <c r="D318" s="19"/>
    </row>
    <row r="319">
      <c r="A319" s="19"/>
      <c r="B319" s="21"/>
      <c r="C319" s="19"/>
      <c r="D319" s="19"/>
    </row>
    <row r="320">
      <c r="A320" s="19"/>
      <c r="B320" s="21"/>
      <c r="C320" s="19"/>
      <c r="D320" s="19"/>
    </row>
    <row r="321">
      <c r="A321" s="19"/>
      <c r="B321" s="21"/>
      <c r="C321" s="19"/>
      <c r="D321" s="19"/>
    </row>
    <row r="322">
      <c r="A322" s="19"/>
      <c r="B322" s="21"/>
      <c r="C322" s="19"/>
      <c r="D322" s="19"/>
    </row>
    <row r="323">
      <c r="A323" s="19"/>
      <c r="B323" s="21"/>
      <c r="C323" s="19"/>
      <c r="D323" s="19"/>
    </row>
    <row r="324">
      <c r="A324" s="19"/>
      <c r="B324" s="21"/>
      <c r="C324" s="19"/>
      <c r="D324" s="19"/>
    </row>
    <row r="325">
      <c r="A325" s="19"/>
      <c r="B325" s="21"/>
      <c r="C325" s="19"/>
      <c r="D325" s="19"/>
    </row>
    <row r="326">
      <c r="A326" s="19"/>
      <c r="B326" s="21"/>
      <c r="C326" s="19"/>
      <c r="D326" s="19"/>
    </row>
    <row r="327">
      <c r="A327" s="19"/>
      <c r="B327" s="21"/>
      <c r="C327" s="19"/>
      <c r="D327" s="19"/>
    </row>
    <row r="328">
      <c r="A328" s="19"/>
      <c r="B328" s="21"/>
      <c r="C328" s="19"/>
      <c r="D328" s="19"/>
    </row>
    <row r="329">
      <c r="A329" s="19"/>
      <c r="B329" s="21"/>
      <c r="C329" s="19"/>
      <c r="D329" s="19"/>
    </row>
    <row r="330">
      <c r="A330" s="19"/>
      <c r="B330" s="21"/>
      <c r="C330" s="19"/>
      <c r="D330" s="19"/>
    </row>
    <row r="331">
      <c r="A331" s="19"/>
      <c r="B331" s="21"/>
      <c r="C331" s="19"/>
      <c r="D331" s="19"/>
    </row>
    <row r="332">
      <c r="A332" s="19"/>
      <c r="B332" s="21"/>
      <c r="C332" s="19"/>
      <c r="D332" s="19"/>
    </row>
    <row r="333">
      <c r="A333" s="19"/>
      <c r="B333" s="21"/>
      <c r="C333" s="19"/>
      <c r="D333" s="19"/>
    </row>
    <row r="334">
      <c r="A334" s="19"/>
      <c r="B334" s="21"/>
      <c r="C334" s="19"/>
      <c r="D334" s="19"/>
    </row>
    <row r="335">
      <c r="A335" s="19"/>
      <c r="B335" s="21"/>
      <c r="C335" s="19"/>
      <c r="D335" s="19"/>
    </row>
    <row r="336">
      <c r="A336" s="19"/>
      <c r="B336" s="21"/>
      <c r="C336" s="19"/>
      <c r="D336" s="19"/>
    </row>
    <row r="337">
      <c r="A337" s="19"/>
      <c r="B337" s="21"/>
      <c r="C337" s="19"/>
      <c r="D337" s="19"/>
    </row>
    <row r="338">
      <c r="A338" s="19"/>
      <c r="B338" s="21"/>
      <c r="C338" s="19"/>
      <c r="D338" s="19"/>
    </row>
    <row r="339">
      <c r="A339" s="19"/>
      <c r="B339" s="21"/>
      <c r="C339" s="19"/>
      <c r="D339" s="19"/>
    </row>
    <row r="340">
      <c r="A340" s="19"/>
      <c r="B340" s="21"/>
      <c r="C340" s="19"/>
      <c r="D340" s="19"/>
    </row>
    <row r="341">
      <c r="A341" s="19"/>
      <c r="B341" s="21"/>
      <c r="C341" s="19"/>
      <c r="D341" s="19"/>
    </row>
    <row r="342">
      <c r="A342" s="19"/>
      <c r="B342" s="21"/>
      <c r="C342" s="19"/>
      <c r="D342" s="19"/>
    </row>
    <row r="343">
      <c r="A343" s="19"/>
      <c r="B343" s="21"/>
      <c r="C343" s="19"/>
      <c r="D343" s="19"/>
    </row>
    <row r="344">
      <c r="A344" s="19"/>
      <c r="B344" s="21"/>
      <c r="C344" s="19"/>
      <c r="D344" s="19"/>
    </row>
    <row r="345">
      <c r="A345" s="19"/>
      <c r="B345" s="21"/>
      <c r="C345" s="19"/>
      <c r="D345" s="19"/>
    </row>
    <row r="346">
      <c r="A346" s="19"/>
      <c r="B346" s="21"/>
      <c r="C346" s="19"/>
      <c r="D346" s="19"/>
    </row>
    <row r="347">
      <c r="A347" s="19"/>
      <c r="B347" s="21"/>
      <c r="C347" s="19"/>
      <c r="D347" s="19"/>
    </row>
    <row r="348">
      <c r="A348" s="19"/>
      <c r="B348" s="21"/>
      <c r="C348" s="19"/>
      <c r="D348" s="19"/>
    </row>
    <row r="349">
      <c r="A349" s="19"/>
      <c r="B349" s="21"/>
      <c r="C349" s="19"/>
      <c r="D349" s="19"/>
    </row>
    <row r="350">
      <c r="A350" s="19"/>
      <c r="B350" s="21"/>
      <c r="C350" s="19"/>
      <c r="D350" s="19"/>
    </row>
    <row r="351">
      <c r="A351" s="19"/>
      <c r="B351" s="21"/>
      <c r="C351" s="19"/>
      <c r="D351" s="19"/>
    </row>
    <row r="352">
      <c r="A352" s="19"/>
      <c r="B352" s="21"/>
      <c r="C352" s="19"/>
      <c r="D352" s="19"/>
    </row>
    <row r="353">
      <c r="A353" s="19"/>
      <c r="B353" s="21"/>
      <c r="C353" s="19"/>
      <c r="D353" s="19"/>
    </row>
    <row r="354">
      <c r="A354" s="19"/>
      <c r="B354" s="21"/>
      <c r="C354" s="19"/>
      <c r="D354" s="19"/>
    </row>
    <row r="355">
      <c r="A355" s="19"/>
      <c r="B355" s="21"/>
      <c r="C355" s="19"/>
      <c r="D355" s="19"/>
    </row>
    <row r="356">
      <c r="A356" s="19"/>
      <c r="B356" s="21"/>
      <c r="C356" s="19"/>
      <c r="D356" s="19"/>
    </row>
    <row r="357">
      <c r="A357" s="19"/>
      <c r="B357" s="21"/>
      <c r="C357" s="19"/>
      <c r="D357" s="19"/>
    </row>
    <row r="358">
      <c r="A358" s="19"/>
      <c r="B358" s="21"/>
      <c r="C358" s="19"/>
      <c r="D358" s="19"/>
    </row>
    <row r="359">
      <c r="A359" s="19"/>
      <c r="B359" s="21"/>
      <c r="C359" s="19"/>
      <c r="D359" s="19"/>
    </row>
    <row r="360">
      <c r="A360" s="19"/>
      <c r="B360" s="21"/>
      <c r="C360" s="19"/>
      <c r="D360" s="19"/>
    </row>
    <row r="361">
      <c r="A361" s="19"/>
      <c r="B361" s="21"/>
      <c r="C361" s="19"/>
      <c r="D361" s="19"/>
    </row>
    <row r="362">
      <c r="A362" s="19"/>
      <c r="B362" s="21"/>
      <c r="C362" s="19"/>
      <c r="D362" s="19"/>
    </row>
    <row r="363">
      <c r="A363" s="19"/>
      <c r="B363" s="21"/>
      <c r="C363" s="19"/>
      <c r="D363" s="19"/>
    </row>
    <row r="364">
      <c r="A364" s="19"/>
      <c r="B364" s="21"/>
      <c r="C364" s="19"/>
      <c r="D364" s="19"/>
    </row>
    <row r="365">
      <c r="A365" s="19"/>
      <c r="B365" s="21"/>
      <c r="C365" s="19"/>
      <c r="D365" s="19"/>
    </row>
    <row r="366">
      <c r="A366" s="19"/>
      <c r="B366" s="21"/>
      <c r="C366" s="19"/>
      <c r="D366" s="19"/>
    </row>
    <row r="367">
      <c r="A367" s="19"/>
      <c r="B367" s="21"/>
      <c r="C367" s="19"/>
      <c r="D367" s="19"/>
    </row>
    <row r="368">
      <c r="A368" s="19"/>
      <c r="B368" s="21"/>
      <c r="C368" s="19"/>
      <c r="D368" s="19"/>
    </row>
    <row r="369">
      <c r="A369" s="19"/>
      <c r="B369" s="21"/>
      <c r="C369" s="19"/>
      <c r="D369" s="19"/>
    </row>
    <row r="370">
      <c r="A370" s="19"/>
      <c r="B370" s="21"/>
      <c r="C370" s="19"/>
      <c r="D370" s="19"/>
    </row>
    <row r="371">
      <c r="A371" s="19"/>
      <c r="B371" s="21"/>
      <c r="C371" s="19"/>
      <c r="D371" s="19"/>
    </row>
    <row r="372">
      <c r="A372" s="19"/>
      <c r="B372" s="21"/>
      <c r="C372" s="19"/>
      <c r="D372" s="19"/>
    </row>
    <row r="373">
      <c r="A373" s="19"/>
      <c r="B373" s="21"/>
      <c r="C373" s="19"/>
      <c r="D373" s="19"/>
    </row>
    <row r="374">
      <c r="A374" s="19"/>
      <c r="B374" s="21"/>
      <c r="C374" s="19"/>
      <c r="D374" s="19"/>
    </row>
    <row r="375">
      <c r="A375" s="19"/>
      <c r="B375" s="21"/>
      <c r="C375" s="19"/>
      <c r="D375" s="19"/>
    </row>
    <row r="376">
      <c r="A376" s="19"/>
      <c r="B376" s="21"/>
      <c r="C376" s="19"/>
      <c r="D376" s="19"/>
    </row>
    <row r="377">
      <c r="A377" s="19"/>
      <c r="B377" s="21"/>
      <c r="C377" s="19"/>
      <c r="D377" s="19"/>
    </row>
    <row r="378">
      <c r="A378" s="19"/>
      <c r="B378" s="21"/>
      <c r="C378" s="19"/>
      <c r="D378" s="19"/>
    </row>
    <row r="379">
      <c r="A379" s="19"/>
      <c r="B379" s="21"/>
      <c r="C379" s="19"/>
      <c r="D379" s="19"/>
    </row>
    <row r="380">
      <c r="A380" s="19"/>
      <c r="B380" s="21"/>
      <c r="C380" s="19"/>
      <c r="D380" s="19"/>
    </row>
    <row r="381">
      <c r="A381" s="19"/>
      <c r="B381" s="21"/>
      <c r="C381" s="19"/>
      <c r="D381" s="19"/>
    </row>
    <row r="382">
      <c r="A382" s="19"/>
      <c r="B382" s="21"/>
      <c r="C382" s="19"/>
      <c r="D382" s="19"/>
    </row>
    <row r="383">
      <c r="A383" s="19"/>
      <c r="B383" s="21"/>
      <c r="C383" s="19"/>
      <c r="D383" s="19"/>
    </row>
    <row r="384">
      <c r="A384" s="19"/>
      <c r="B384" s="21"/>
      <c r="C384" s="19"/>
      <c r="D384" s="19"/>
    </row>
    <row r="385">
      <c r="A385" s="19"/>
      <c r="B385" s="21"/>
      <c r="C385" s="19"/>
      <c r="D385" s="19"/>
    </row>
    <row r="386">
      <c r="A386" s="19"/>
      <c r="B386" s="21"/>
      <c r="C386" s="19"/>
      <c r="D386" s="19"/>
    </row>
    <row r="387">
      <c r="A387" s="19"/>
      <c r="B387" s="21"/>
      <c r="C387" s="19"/>
      <c r="D387" s="19"/>
    </row>
    <row r="388">
      <c r="A388" s="19"/>
      <c r="B388" s="21"/>
      <c r="C388" s="19"/>
      <c r="D388" s="19"/>
    </row>
    <row r="389">
      <c r="A389" s="19"/>
      <c r="B389" s="21"/>
      <c r="C389" s="19"/>
      <c r="D389" s="19"/>
    </row>
    <row r="390">
      <c r="A390" s="19"/>
      <c r="B390" s="21"/>
      <c r="C390" s="19"/>
      <c r="D390" s="19"/>
    </row>
    <row r="391">
      <c r="A391" s="19"/>
      <c r="B391" s="21"/>
      <c r="C391" s="19"/>
      <c r="D391" s="19"/>
    </row>
    <row r="392">
      <c r="A392" s="19"/>
      <c r="B392" s="21"/>
      <c r="C392" s="19"/>
      <c r="D392" s="19"/>
    </row>
    <row r="393">
      <c r="A393" s="19"/>
      <c r="B393" s="21"/>
      <c r="C393" s="19"/>
      <c r="D393" s="19"/>
    </row>
    <row r="394">
      <c r="A394" s="19"/>
      <c r="B394" s="21"/>
      <c r="C394" s="19"/>
      <c r="D394" s="19"/>
    </row>
    <row r="395">
      <c r="A395" s="19"/>
      <c r="B395" s="21"/>
      <c r="C395" s="19"/>
      <c r="D395" s="19"/>
    </row>
    <row r="396">
      <c r="A396" s="19"/>
      <c r="B396" s="21"/>
      <c r="C396" s="19"/>
      <c r="D396" s="19"/>
    </row>
    <row r="397">
      <c r="A397" s="19"/>
      <c r="B397" s="21"/>
      <c r="C397" s="19"/>
      <c r="D397" s="19"/>
    </row>
    <row r="398">
      <c r="A398" s="19"/>
      <c r="B398" s="21"/>
      <c r="C398" s="19"/>
      <c r="D398" s="19"/>
    </row>
    <row r="399">
      <c r="A399" s="19"/>
      <c r="B399" s="21"/>
      <c r="C399" s="19"/>
      <c r="D399" s="19"/>
    </row>
    <row r="400">
      <c r="A400" s="19"/>
      <c r="B400" s="21"/>
      <c r="C400" s="19"/>
      <c r="D400" s="19"/>
    </row>
    <row r="401">
      <c r="A401" s="19"/>
      <c r="B401" s="21"/>
      <c r="C401" s="19"/>
      <c r="D401" s="19"/>
    </row>
    <row r="402">
      <c r="A402" s="19"/>
      <c r="B402" s="21"/>
      <c r="C402" s="19"/>
      <c r="D402" s="19"/>
    </row>
    <row r="403">
      <c r="A403" s="19"/>
      <c r="B403" s="21"/>
      <c r="C403" s="19"/>
      <c r="D403" s="19"/>
    </row>
    <row r="404">
      <c r="A404" s="19"/>
      <c r="B404" s="21"/>
      <c r="C404" s="19"/>
      <c r="D404" s="19"/>
    </row>
    <row r="405">
      <c r="A405" s="19"/>
      <c r="B405" s="21"/>
      <c r="C405" s="19"/>
      <c r="D405" s="19"/>
    </row>
    <row r="406">
      <c r="A406" s="19"/>
      <c r="B406" s="21"/>
      <c r="C406" s="19"/>
      <c r="D406" s="19"/>
    </row>
    <row r="407">
      <c r="A407" s="19"/>
      <c r="B407" s="21"/>
      <c r="C407" s="19"/>
      <c r="D407" s="19"/>
    </row>
    <row r="408">
      <c r="A408" s="19"/>
      <c r="B408" s="21"/>
      <c r="C408" s="19"/>
      <c r="D408" s="19"/>
    </row>
    <row r="409">
      <c r="A409" s="19"/>
      <c r="B409" s="21"/>
      <c r="C409" s="19"/>
      <c r="D409" s="19"/>
    </row>
    <row r="410">
      <c r="A410" s="19"/>
      <c r="B410" s="21"/>
      <c r="C410" s="19"/>
      <c r="D410" s="19"/>
    </row>
    <row r="411">
      <c r="A411" s="19"/>
      <c r="B411" s="21"/>
      <c r="C411" s="19"/>
      <c r="D411" s="19"/>
    </row>
    <row r="412">
      <c r="A412" s="19"/>
      <c r="B412" s="21"/>
      <c r="C412" s="19"/>
      <c r="D412" s="19"/>
    </row>
    <row r="413">
      <c r="A413" s="19"/>
      <c r="B413" s="21"/>
      <c r="C413" s="19"/>
      <c r="D413" s="19"/>
    </row>
    <row r="414">
      <c r="A414" s="19"/>
      <c r="B414" s="21"/>
      <c r="C414" s="19"/>
      <c r="D414" s="19"/>
    </row>
    <row r="415">
      <c r="A415" s="19"/>
      <c r="B415" s="21"/>
      <c r="C415" s="19"/>
      <c r="D415" s="19"/>
    </row>
    <row r="416">
      <c r="A416" s="19"/>
      <c r="B416" s="21"/>
      <c r="C416" s="19"/>
      <c r="D416" s="19"/>
    </row>
    <row r="417">
      <c r="A417" s="19"/>
      <c r="B417" s="21"/>
      <c r="C417" s="19"/>
      <c r="D417" s="19"/>
    </row>
    <row r="418">
      <c r="A418" s="19"/>
      <c r="B418" s="21"/>
      <c r="C418" s="19"/>
      <c r="D418" s="19"/>
    </row>
    <row r="419">
      <c r="A419" s="19"/>
      <c r="B419" s="21"/>
      <c r="C419" s="19"/>
      <c r="D419" s="19"/>
    </row>
    <row r="420">
      <c r="A420" s="19"/>
      <c r="B420" s="21"/>
      <c r="C420" s="19"/>
      <c r="D420" s="19"/>
    </row>
    <row r="421">
      <c r="A421" s="19"/>
      <c r="B421" s="21"/>
      <c r="C421" s="19"/>
      <c r="D421" s="19"/>
    </row>
    <row r="422">
      <c r="A422" s="19"/>
      <c r="B422" s="21"/>
      <c r="C422" s="19"/>
      <c r="D422" s="19"/>
    </row>
    <row r="423">
      <c r="A423" s="19"/>
      <c r="B423" s="21"/>
      <c r="C423" s="19"/>
      <c r="D423" s="19"/>
    </row>
    <row r="424">
      <c r="A424" s="19"/>
      <c r="B424" s="21"/>
      <c r="C424" s="19"/>
      <c r="D424" s="19"/>
    </row>
    <row r="425">
      <c r="A425" s="19"/>
      <c r="B425" s="21"/>
      <c r="C425" s="19"/>
      <c r="D425" s="19"/>
    </row>
    <row r="426">
      <c r="A426" s="19"/>
      <c r="B426" s="21"/>
      <c r="C426" s="19"/>
      <c r="D426" s="19"/>
    </row>
    <row r="427">
      <c r="A427" s="19"/>
      <c r="B427" s="21"/>
      <c r="C427" s="19"/>
      <c r="D427" s="19"/>
    </row>
    <row r="428">
      <c r="A428" s="19"/>
      <c r="B428" s="21"/>
      <c r="C428" s="19"/>
      <c r="D428" s="19"/>
    </row>
    <row r="429">
      <c r="A429" s="19"/>
      <c r="B429" s="21"/>
      <c r="C429" s="19"/>
      <c r="D429" s="19"/>
    </row>
    <row r="430">
      <c r="A430" s="19"/>
      <c r="B430" s="21"/>
      <c r="C430" s="19"/>
      <c r="D430" s="19"/>
    </row>
    <row r="431">
      <c r="A431" s="19"/>
      <c r="B431" s="21"/>
      <c r="C431" s="19"/>
      <c r="D431" s="19"/>
    </row>
    <row r="432">
      <c r="A432" s="19"/>
      <c r="B432" s="21"/>
      <c r="C432" s="19"/>
      <c r="D432" s="19"/>
    </row>
    <row r="433">
      <c r="A433" s="19"/>
      <c r="B433" s="21"/>
      <c r="C433" s="19"/>
      <c r="D433" s="19"/>
    </row>
    <row r="434">
      <c r="A434" s="19"/>
      <c r="B434" s="21"/>
      <c r="C434" s="19"/>
      <c r="D434" s="19"/>
    </row>
    <row r="435">
      <c r="A435" s="19"/>
      <c r="B435" s="21"/>
      <c r="C435" s="19"/>
      <c r="D435" s="19"/>
    </row>
    <row r="436">
      <c r="A436" s="19"/>
      <c r="B436" s="21"/>
      <c r="C436" s="19"/>
      <c r="D436" s="19"/>
    </row>
    <row r="437">
      <c r="A437" s="19"/>
      <c r="B437" s="21"/>
      <c r="C437" s="19"/>
      <c r="D437" s="19"/>
    </row>
    <row r="438">
      <c r="A438" s="19"/>
      <c r="B438" s="21"/>
      <c r="C438" s="19"/>
      <c r="D438" s="19"/>
    </row>
    <row r="439">
      <c r="A439" s="19"/>
      <c r="B439" s="21"/>
      <c r="C439" s="19"/>
      <c r="D439" s="19"/>
    </row>
    <row r="440">
      <c r="A440" s="19"/>
      <c r="B440" s="21"/>
      <c r="C440" s="19"/>
      <c r="D440" s="19"/>
    </row>
    <row r="441">
      <c r="A441" s="19"/>
      <c r="B441" s="21"/>
      <c r="C441" s="19"/>
      <c r="D441" s="19"/>
    </row>
    <row r="442">
      <c r="A442" s="19"/>
      <c r="B442" s="21"/>
      <c r="C442" s="19"/>
      <c r="D442" s="19"/>
    </row>
    <row r="443">
      <c r="A443" s="19"/>
      <c r="B443" s="21"/>
      <c r="C443" s="19"/>
      <c r="D443" s="19"/>
    </row>
    <row r="444">
      <c r="A444" s="19"/>
      <c r="B444" s="21"/>
      <c r="C444" s="19"/>
      <c r="D444" s="19"/>
    </row>
    <row r="445">
      <c r="A445" s="19"/>
      <c r="B445" s="21"/>
      <c r="C445" s="19"/>
      <c r="D445" s="19"/>
    </row>
    <row r="446">
      <c r="A446" s="19"/>
      <c r="B446" s="21"/>
      <c r="C446" s="19"/>
      <c r="D446" s="19"/>
    </row>
    <row r="447">
      <c r="A447" s="19"/>
      <c r="B447" s="21"/>
      <c r="C447" s="19"/>
      <c r="D447" s="19"/>
    </row>
    <row r="448">
      <c r="A448" s="19"/>
      <c r="B448" s="21"/>
      <c r="C448" s="19"/>
      <c r="D448" s="19"/>
    </row>
    <row r="449">
      <c r="A449" s="19"/>
      <c r="B449" s="21"/>
      <c r="C449" s="19"/>
      <c r="D449" s="19"/>
    </row>
    <row r="450">
      <c r="A450" s="19"/>
      <c r="B450" s="21"/>
      <c r="C450" s="19"/>
      <c r="D450" s="19"/>
    </row>
    <row r="451">
      <c r="A451" s="19"/>
      <c r="B451" s="21"/>
      <c r="C451" s="19"/>
      <c r="D451" s="19"/>
    </row>
    <row r="452">
      <c r="A452" s="19"/>
      <c r="B452" s="21"/>
      <c r="C452" s="19"/>
      <c r="D452" s="19"/>
    </row>
    <row r="453">
      <c r="A453" s="19"/>
      <c r="B453" s="21"/>
      <c r="C453" s="19"/>
      <c r="D453" s="19"/>
    </row>
    <row r="454">
      <c r="A454" s="19"/>
      <c r="B454" s="21"/>
      <c r="C454" s="19"/>
      <c r="D454" s="19"/>
    </row>
    <row r="455">
      <c r="A455" s="19"/>
      <c r="B455" s="21"/>
      <c r="C455" s="19"/>
      <c r="D455" s="19"/>
    </row>
    <row r="456">
      <c r="A456" s="19"/>
      <c r="B456" s="21"/>
      <c r="C456" s="19"/>
      <c r="D456" s="19"/>
    </row>
    <row r="457">
      <c r="A457" s="19"/>
      <c r="B457" s="21"/>
      <c r="C457" s="19"/>
      <c r="D457" s="19"/>
    </row>
    <row r="458">
      <c r="A458" s="19"/>
      <c r="B458" s="21"/>
      <c r="C458" s="19"/>
      <c r="D458" s="19"/>
    </row>
    <row r="459">
      <c r="A459" s="19"/>
      <c r="B459" s="21"/>
      <c r="C459" s="19"/>
      <c r="D459" s="19"/>
    </row>
    <row r="460">
      <c r="A460" s="19"/>
      <c r="B460" s="21"/>
      <c r="C460" s="19"/>
      <c r="D460" s="19"/>
    </row>
    <row r="461">
      <c r="A461" s="19"/>
      <c r="B461" s="21"/>
      <c r="C461" s="19"/>
      <c r="D461" s="19"/>
    </row>
    <row r="462">
      <c r="A462" s="19"/>
      <c r="B462" s="21"/>
      <c r="C462" s="19"/>
      <c r="D462" s="19"/>
    </row>
    <row r="463">
      <c r="A463" s="19"/>
      <c r="B463" s="21"/>
      <c r="C463" s="19"/>
      <c r="D463" s="19"/>
    </row>
    <row r="464">
      <c r="A464" s="19"/>
      <c r="B464" s="21"/>
      <c r="C464" s="19"/>
      <c r="D464" s="19"/>
    </row>
    <row r="465">
      <c r="A465" s="19"/>
      <c r="B465" s="21"/>
      <c r="C465" s="19"/>
      <c r="D465" s="19"/>
    </row>
    <row r="466">
      <c r="A466" s="19"/>
      <c r="B466" s="21"/>
      <c r="C466" s="19"/>
      <c r="D466" s="19"/>
    </row>
    <row r="467">
      <c r="A467" s="19"/>
      <c r="B467" s="21"/>
      <c r="C467" s="19"/>
      <c r="D467" s="19"/>
    </row>
    <row r="468">
      <c r="A468" s="19"/>
      <c r="B468" s="21"/>
      <c r="C468" s="19"/>
      <c r="D468" s="19"/>
    </row>
    <row r="469">
      <c r="A469" s="19"/>
      <c r="B469" s="21"/>
      <c r="C469" s="19"/>
      <c r="D469" s="19"/>
    </row>
    <row r="470">
      <c r="A470" s="19"/>
      <c r="B470" s="21"/>
      <c r="C470" s="19"/>
      <c r="D470" s="19"/>
    </row>
    <row r="471">
      <c r="A471" s="19"/>
      <c r="B471" s="21"/>
      <c r="C471" s="19"/>
      <c r="D471" s="19"/>
    </row>
    <row r="472">
      <c r="A472" s="19"/>
      <c r="B472" s="21"/>
      <c r="C472" s="19"/>
      <c r="D472" s="19"/>
    </row>
    <row r="473">
      <c r="A473" s="19"/>
      <c r="B473" s="21"/>
      <c r="C473" s="19"/>
      <c r="D473" s="19"/>
    </row>
    <row r="474">
      <c r="A474" s="19"/>
      <c r="B474" s="21"/>
      <c r="C474" s="19"/>
      <c r="D474" s="19"/>
    </row>
    <row r="475">
      <c r="A475" s="19"/>
      <c r="B475" s="21"/>
      <c r="C475" s="19"/>
      <c r="D475" s="19"/>
    </row>
    <row r="476">
      <c r="A476" s="19"/>
      <c r="B476" s="21"/>
      <c r="C476" s="19"/>
      <c r="D476" s="19"/>
    </row>
    <row r="477">
      <c r="A477" s="19"/>
      <c r="B477" s="21"/>
      <c r="C477" s="19"/>
      <c r="D477" s="19"/>
    </row>
    <row r="478">
      <c r="A478" s="19"/>
      <c r="B478" s="21"/>
      <c r="C478" s="19"/>
      <c r="D478" s="19"/>
    </row>
    <row r="479">
      <c r="A479" s="19"/>
      <c r="B479" s="21"/>
      <c r="C479" s="19"/>
      <c r="D479" s="19"/>
    </row>
    <row r="480">
      <c r="A480" s="19"/>
      <c r="B480" s="21"/>
      <c r="C480" s="19"/>
      <c r="D480" s="19"/>
    </row>
    <row r="481">
      <c r="A481" s="19"/>
      <c r="B481" s="21"/>
      <c r="C481" s="19"/>
      <c r="D481" s="19"/>
    </row>
    <row r="482">
      <c r="A482" s="19"/>
      <c r="B482" s="21"/>
      <c r="C482" s="19"/>
      <c r="D482" s="19"/>
    </row>
    <row r="483">
      <c r="A483" s="19"/>
      <c r="B483" s="21"/>
      <c r="C483" s="19"/>
      <c r="D483" s="19"/>
    </row>
    <row r="484">
      <c r="A484" s="19"/>
      <c r="B484" s="21"/>
      <c r="C484" s="19"/>
      <c r="D484" s="19"/>
    </row>
    <row r="485">
      <c r="A485" s="19"/>
      <c r="B485" s="21"/>
      <c r="C485" s="19"/>
      <c r="D485" s="19"/>
    </row>
    <row r="486">
      <c r="A486" s="19"/>
      <c r="B486" s="21"/>
      <c r="C486" s="19"/>
      <c r="D486" s="19"/>
    </row>
    <row r="487">
      <c r="A487" s="19"/>
      <c r="B487" s="21"/>
      <c r="C487" s="19"/>
      <c r="D487" s="19"/>
    </row>
    <row r="488">
      <c r="A488" s="19"/>
      <c r="B488" s="21"/>
      <c r="C488" s="19"/>
      <c r="D488" s="19"/>
    </row>
    <row r="489">
      <c r="A489" s="19"/>
      <c r="B489" s="21"/>
      <c r="C489" s="19"/>
      <c r="D489" s="19"/>
    </row>
    <row r="490">
      <c r="A490" s="19"/>
      <c r="B490" s="21"/>
      <c r="C490" s="19"/>
      <c r="D490" s="19"/>
    </row>
    <row r="491">
      <c r="A491" s="19"/>
      <c r="B491" s="21"/>
      <c r="C491" s="19"/>
      <c r="D491" s="19"/>
    </row>
    <row r="492">
      <c r="A492" s="19"/>
      <c r="B492" s="21"/>
      <c r="C492" s="19"/>
      <c r="D492" s="19"/>
    </row>
    <row r="493">
      <c r="A493" s="19"/>
      <c r="B493" s="21"/>
      <c r="C493" s="19"/>
      <c r="D493" s="19"/>
    </row>
    <row r="494">
      <c r="A494" s="19"/>
      <c r="B494" s="21"/>
      <c r="C494" s="19"/>
      <c r="D494" s="19"/>
    </row>
    <row r="495">
      <c r="A495" s="19"/>
      <c r="B495" s="21"/>
      <c r="C495" s="19"/>
      <c r="D495" s="19"/>
    </row>
    <row r="496">
      <c r="A496" s="19"/>
      <c r="B496" s="21"/>
      <c r="C496" s="19"/>
      <c r="D496" s="19"/>
    </row>
    <row r="497">
      <c r="A497" s="19"/>
      <c r="B497" s="21"/>
      <c r="C497" s="19"/>
      <c r="D497" s="19"/>
    </row>
    <row r="498">
      <c r="A498" s="19"/>
      <c r="B498" s="21"/>
      <c r="C498" s="19"/>
      <c r="D498" s="19"/>
    </row>
    <row r="499">
      <c r="A499" s="19"/>
      <c r="B499" s="21"/>
      <c r="C499" s="19"/>
      <c r="D499" s="19"/>
    </row>
    <row r="500">
      <c r="A500" s="19"/>
      <c r="B500" s="21"/>
      <c r="C500" s="19"/>
      <c r="D500" s="19"/>
    </row>
    <row r="501">
      <c r="A501" s="19"/>
      <c r="B501" s="21"/>
      <c r="C501" s="19"/>
      <c r="D501" s="19"/>
    </row>
    <row r="502">
      <c r="A502" s="19"/>
      <c r="B502" s="21"/>
      <c r="C502" s="19"/>
      <c r="D502" s="19"/>
    </row>
    <row r="503">
      <c r="A503" s="19"/>
      <c r="B503" s="21"/>
      <c r="C503" s="19"/>
      <c r="D503" s="19"/>
    </row>
    <row r="504">
      <c r="A504" s="19"/>
      <c r="B504" s="21"/>
      <c r="C504" s="19"/>
      <c r="D504" s="19"/>
    </row>
    <row r="505">
      <c r="A505" s="19"/>
      <c r="B505" s="21"/>
      <c r="C505" s="19"/>
      <c r="D505" s="19"/>
    </row>
    <row r="506">
      <c r="A506" s="19"/>
      <c r="B506" s="21"/>
      <c r="C506" s="19"/>
      <c r="D506" s="19"/>
    </row>
    <row r="507">
      <c r="A507" s="19"/>
      <c r="B507" s="21"/>
      <c r="C507" s="19"/>
      <c r="D507" s="19"/>
    </row>
    <row r="508">
      <c r="A508" s="19"/>
      <c r="B508" s="21"/>
      <c r="C508" s="19"/>
      <c r="D508" s="19"/>
    </row>
    <row r="509">
      <c r="A509" s="19"/>
      <c r="B509" s="21"/>
      <c r="C509" s="19"/>
      <c r="D509" s="19"/>
    </row>
    <row r="510">
      <c r="A510" s="19"/>
      <c r="B510" s="21"/>
      <c r="C510" s="19"/>
      <c r="D510" s="19"/>
    </row>
    <row r="511">
      <c r="A511" s="19"/>
      <c r="B511" s="21"/>
      <c r="C511" s="19"/>
      <c r="D511" s="19"/>
    </row>
    <row r="512">
      <c r="A512" s="19"/>
      <c r="B512" s="21"/>
      <c r="C512" s="19"/>
      <c r="D512" s="19"/>
    </row>
    <row r="513">
      <c r="A513" s="19"/>
      <c r="B513" s="21"/>
      <c r="C513" s="19"/>
      <c r="D513" s="19"/>
    </row>
    <row r="514">
      <c r="A514" s="19"/>
      <c r="B514" s="21"/>
      <c r="C514" s="19"/>
      <c r="D514" s="19"/>
    </row>
    <row r="515">
      <c r="A515" s="19"/>
      <c r="B515" s="21"/>
      <c r="C515" s="19"/>
      <c r="D515" s="19"/>
    </row>
    <row r="516">
      <c r="A516" s="19"/>
      <c r="B516" s="21"/>
      <c r="C516" s="19"/>
      <c r="D516" s="19"/>
    </row>
    <row r="517">
      <c r="A517" s="19"/>
      <c r="B517" s="21"/>
      <c r="C517" s="19"/>
      <c r="D517" s="19"/>
    </row>
    <row r="518">
      <c r="A518" s="19"/>
      <c r="B518" s="21"/>
      <c r="C518" s="19"/>
      <c r="D518" s="19"/>
    </row>
    <row r="519">
      <c r="A519" s="19"/>
      <c r="B519" s="21"/>
      <c r="C519" s="19"/>
      <c r="D519" s="19"/>
    </row>
    <row r="520">
      <c r="A520" s="19"/>
      <c r="B520" s="21"/>
      <c r="C520" s="19"/>
      <c r="D520" s="19"/>
    </row>
    <row r="521">
      <c r="A521" s="19"/>
      <c r="B521" s="21"/>
      <c r="C521" s="19"/>
      <c r="D521" s="19"/>
    </row>
    <row r="522">
      <c r="A522" s="19"/>
      <c r="B522" s="21"/>
      <c r="C522" s="19"/>
      <c r="D522" s="19"/>
    </row>
    <row r="523">
      <c r="A523" s="19"/>
      <c r="B523" s="21"/>
      <c r="C523" s="19"/>
      <c r="D523" s="19"/>
    </row>
    <row r="524">
      <c r="A524" s="19"/>
      <c r="B524" s="21"/>
      <c r="C524" s="19"/>
      <c r="D524" s="19"/>
    </row>
    <row r="525">
      <c r="A525" s="19"/>
      <c r="B525" s="21"/>
      <c r="C525" s="19"/>
      <c r="D525" s="19"/>
    </row>
    <row r="526">
      <c r="A526" s="19"/>
      <c r="B526" s="21"/>
      <c r="C526" s="19"/>
      <c r="D526" s="19"/>
    </row>
    <row r="527">
      <c r="A527" s="19"/>
      <c r="B527" s="21"/>
      <c r="C527" s="19"/>
      <c r="D527" s="19"/>
    </row>
    <row r="528">
      <c r="A528" s="19"/>
      <c r="B528" s="21"/>
      <c r="C528" s="19"/>
      <c r="D528" s="19"/>
    </row>
    <row r="529">
      <c r="A529" s="19"/>
      <c r="B529" s="21"/>
      <c r="C529" s="19"/>
      <c r="D529" s="19"/>
    </row>
    <row r="530">
      <c r="A530" s="19"/>
      <c r="B530" s="21"/>
      <c r="C530" s="19"/>
      <c r="D530" s="19"/>
    </row>
    <row r="531">
      <c r="A531" s="19"/>
      <c r="B531" s="21"/>
      <c r="C531" s="19"/>
      <c r="D531" s="19"/>
    </row>
    <row r="532">
      <c r="A532" s="19"/>
      <c r="B532" s="21"/>
      <c r="C532" s="19"/>
      <c r="D532" s="19"/>
    </row>
    <row r="533">
      <c r="A533" s="19"/>
      <c r="B533" s="21"/>
      <c r="C533" s="19"/>
      <c r="D533" s="19"/>
    </row>
    <row r="534">
      <c r="A534" s="19"/>
      <c r="B534" s="21"/>
      <c r="C534" s="19"/>
      <c r="D534" s="19"/>
    </row>
    <row r="535">
      <c r="A535" s="19"/>
      <c r="B535" s="21"/>
      <c r="C535" s="19"/>
      <c r="D535" s="19"/>
    </row>
    <row r="536">
      <c r="A536" s="19"/>
      <c r="B536" s="21"/>
      <c r="C536" s="19"/>
      <c r="D536" s="19"/>
    </row>
    <row r="537">
      <c r="A537" s="19"/>
      <c r="B537" s="21"/>
      <c r="C537" s="19"/>
      <c r="D537" s="19"/>
    </row>
    <row r="538">
      <c r="A538" s="19"/>
      <c r="B538" s="21"/>
      <c r="C538" s="19"/>
      <c r="D538" s="19"/>
    </row>
    <row r="539">
      <c r="A539" s="19"/>
      <c r="B539" s="21"/>
      <c r="C539" s="19"/>
      <c r="D539" s="19"/>
    </row>
    <row r="540">
      <c r="A540" s="19"/>
      <c r="B540" s="21"/>
      <c r="C540" s="19"/>
      <c r="D540" s="19"/>
    </row>
    <row r="541">
      <c r="A541" s="19"/>
      <c r="B541" s="21"/>
      <c r="C541" s="19"/>
      <c r="D541" s="19"/>
    </row>
    <row r="542">
      <c r="A542" s="19"/>
      <c r="B542" s="21"/>
      <c r="C542" s="19"/>
      <c r="D542" s="19"/>
    </row>
    <row r="543">
      <c r="A543" s="19"/>
      <c r="B543" s="21"/>
      <c r="C543" s="19"/>
      <c r="D543" s="19"/>
    </row>
    <row r="544">
      <c r="A544" s="19"/>
      <c r="B544" s="21"/>
      <c r="C544" s="19"/>
      <c r="D544" s="19"/>
    </row>
    <row r="545">
      <c r="A545" s="19"/>
      <c r="B545" s="21"/>
      <c r="C545" s="19"/>
      <c r="D545" s="19"/>
    </row>
    <row r="546">
      <c r="A546" s="19"/>
      <c r="B546" s="21"/>
      <c r="C546" s="19"/>
      <c r="D546" s="19"/>
    </row>
    <row r="547">
      <c r="A547" s="19"/>
      <c r="B547" s="21"/>
      <c r="C547" s="19"/>
      <c r="D547" s="19"/>
    </row>
    <row r="548">
      <c r="A548" s="19"/>
      <c r="B548" s="21"/>
      <c r="C548" s="19"/>
      <c r="D548" s="19"/>
    </row>
    <row r="549">
      <c r="A549" s="19"/>
      <c r="B549" s="21"/>
      <c r="C549" s="19"/>
      <c r="D549" s="19"/>
    </row>
    <row r="550">
      <c r="A550" s="19"/>
      <c r="B550" s="21"/>
      <c r="C550" s="19"/>
      <c r="D550" s="19"/>
    </row>
    <row r="551">
      <c r="A551" s="19"/>
      <c r="B551" s="21"/>
      <c r="C551" s="19"/>
      <c r="D551" s="19"/>
    </row>
    <row r="552">
      <c r="A552" s="19"/>
      <c r="B552" s="21"/>
      <c r="C552" s="19"/>
      <c r="D552" s="19"/>
    </row>
    <row r="553">
      <c r="A553" s="19"/>
      <c r="B553" s="21"/>
      <c r="C553" s="19"/>
      <c r="D553" s="19"/>
    </row>
    <row r="554">
      <c r="A554" s="19"/>
      <c r="B554" s="21"/>
      <c r="C554" s="19"/>
      <c r="D554" s="19"/>
    </row>
    <row r="555">
      <c r="A555" s="19"/>
      <c r="B555" s="21"/>
      <c r="C555" s="19"/>
      <c r="D555" s="19"/>
    </row>
    <row r="556">
      <c r="A556" s="19"/>
      <c r="B556" s="21"/>
      <c r="C556" s="19"/>
      <c r="D556" s="19"/>
    </row>
    <row r="557">
      <c r="A557" s="19"/>
      <c r="B557" s="21"/>
      <c r="C557" s="19"/>
      <c r="D557" s="19"/>
    </row>
    <row r="558">
      <c r="A558" s="19"/>
      <c r="B558" s="21"/>
      <c r="C558" s="19"/>
      <c r="D558" s="19"/>
    </row>
    <row r="559">
      <c r="A559" s="19"/>
      <c r="B559" s="21"/>
      <c r="C559" s="19"/>
      <c r="D559" s="19"/>
    </row>
    <row r="560">
      <c r="A560" s="19"/>
      <c r="B560" s="21"/>
      <c r="C560" s="19"/>
      <c r="D560" s="19"/>
    </row>
    <row r="561">
      <c r="A561" s="19"/>
      <c r="B561" s="21"/>
      <c r="C561" s="19"/>
      <c r="D561" s="19"/>
    </row>
    <row r="562">
      <c r="A562" s="19"/>
      <c r="B562" s="21"/>
      <c r="C562" s="19"/>
      <c r="D562" s="19"/>
    </row>
    <row r="563">
      <c r="A563" s="19"/>
      <c r="B563" s="21"/>
      <c r="C563" s="19"/>
      <c r="D563" s="19"/>
    </row>
    <row r="564">
      <c r="A564" s="19"/>
      <c r="B564" s="21"/>
      <c r="C564" s="19"/>
      <c r="D564" s="19"/>
    </row>
    <row r="565">
      <c r="A565" s="19"/>
      <c r="B565" s="21"/>
      <c r="C565" s="19"/>
      <c r="D565" s="19"/>
    </row>
    <row r="566">
      <c r="A566" s="19"/>
      <c r="B566" s="21"/>
      <c r="C566" s="19"/>
      <c r="D566" s="19"/>
    </row>
    <row r="567">
      <c r="A567" s="19"/>
      <c r="B567" s="21"/>
      <c r="C567" s="19"/>
      <c r="D567" s="19"/>
    </row>
    <row r="568">
      <c r="A568" s="19"/>
      <c r="B568" s="21"/>
      <c r="C568" s="19"/>
      <c r="D568" s="19"/>
    </row>
    <row r="569">
      <c r="A569" s="19"/>
      <c r="B569" s="21"/>
      <c r="C569" s="19"/>
      <c r="D569" s="19"/>
    </row>
    <row r="570">
      <c r="A570" s="19"/>
      <c r="B570" s="21"/>
      <c r="C570" s="19"/>
      <c r="D570" s="19"/>
    </row>
    <row r="571">
      <c r="A571" s="19"/>
      <c r="B571" s="21"/>
      <c r="C571" s="19"/>
      <c r="D571" s="19"/>
    </row>
    <row r="572">
      <c r="A572" s="19"/>
      <c r="B572" s="21"/>
      <c r="C572" s="19"/>
      <c r="D572" s="19"/>
    </row>
    <row r="573">
      <c r="A573" s="19"/>
      <c r="B573" s="21"/>
      <c r="C573" s="19"/>
      <c r="D573" s="19"/>
    </row>
    <row r="574">
      <c r="A574" s="19"/>
      <c r="B574" s="21"/>
      <c r="C574" s="19"/>
      <c r="D574" s="19"/>
    </row>
    <row r="575">
      <c r="A575" s="19"/>
      <c r="B575" s="21"/>
      <c r="C575" s="19"/>
      <c r="D575" s="19"/>
    </row>
    <row r="576">
      <c r="A576" s="19"/>
      <c r="B576" s="21"/>
      <c r="C576" s="19"/>
      <c r="D576" s="19"/>
    </row>
    <row r="577">
      <c r="A577" s="19"/>
      <c r="B577" s="21"/>
      <c r="C577" s="19"/>
      <c r="D577" s="19"/>
    </row>
    <row r="578">
      <c r="A578" s="19"/>
      <c r="B578" s="21"/>
      <c r="C578" s="19"/>
      <c r="D578" s="19"/>
    </row>
    <row r="579">
      <c r="A579" s="19"/>
      <c r="B579" s="21"/>
      <c r="C579" s="19"/>
      <c r="D579" s="19"/>
    </row>
    <row r="580">
      <c r="A580" s="19"/>
      <c r="B580" s="21"/>
      <c r="C580" s="19"/>
      <c r="D580" s="19"/>
    </row>
    <row r="581">
      <c r="A581" s="19"/>
      <c r="B581" s="21"/>
      <c r="C581" s="19"/>
      <c r="D581" s="19"/>
    </row>
    <row r="582">
      <c r="A582" s="19"/>
      <c r="B582" s="21"/>
      <c r="C582" s="19"/>
      <c r="D582" s="19"/>
    </row>
    <row r="583">
      <c r="A583" s="19"/>
      <c r="B583" s="21"/>
      <c r="C583" s="19"/>
      <c r="D583" s="19"/>
    </row>
    <row r="584">
      <c r="A584" s="19"/>
      <c r="B584" s="21"/>
      <c r="C584" s="19"/>
      <c r="D584" s="19"/>
    </row>
    <row r="585">
      <c r="A585" s="19"/>
      <c r="B585" s="21"/>
      <c r="C585" s="19"/>
      <c r="D585" s="19"/>
    </row>
    <row r="586">
      <c r="A586" s="19"/>
      <c r="B586" s="21"/>
      <c r="C586" s="19"/>
      <c r="D586" s="19"/>
    </row>
    <row r="587">
      <c r="A587" s="19"/>
      <c r="B587" s="21"/>
      <c r="C587" s="19"/>
      <c r="D587" s="19"/>
    </row>
    <row r="588">
      <c r="A588" s="19"/>
      <c r="B588" s="21"/>
      <c r="C588" s="19"/>
      <c r="D588" s="19"/>
    </row>
    <row r="589">
      <c r="A589" s="19"/>
      <c r="B589" s="21"/>
      <c r="C589" s="19"/>
      <c r="D589" s="19"/>
    </row>
    <row r="590">
      <c r="A590" s="19"/>
      <c r="B590" s="21"/>
      <c r="C590" s="19"/>
      <c r="D590" s="19"/>
    </row>
    <row r="591">
      <c r="A591" s="19"/>
      <c r="B591" s="21"/>
      <c r="C591" s="19"/>
      <c r="D591" s="19"/>
    </row>
    <row r="592">
      <c r="A592" s="19"/>
      <c r="B592" s="21"/>
      <c r="C592" s="19"/>
      <c r="D592" s="19"/>
    </row>
    <row r="593">
      <c r="A593" s="19"/>
      <c r="B593" s="21"/>
      <c r="C593" s="19"/>
      <c r="D593" s="19"/>
    </row>
    <row r="594">
      <c r="A594" s="19"/>
      <c r="B594" s="21"/>
      <c r="C594" s="19"/>
      <c r="D594" s="19"/>
    </row>
    <row r="595">
      <c r="A595" s="19"/>
      <c r="B595" s="21"/>
      <c r="C595" s="19"/>
      <c r="D595" s="19"/>
    </row>
    <row r="596">
      <c r="A596" s="19"/>
      <c r="B596" s="21"/>
      <c r="C596" s="19"/>
      <c r="D596" s="19"/>
    </row>
    <row r="597">
      <c r="A597" s="19"/>
      <c r="B597" s="21"/>
      <c r="C597" s="19"/>
      <c r="D597" s="19"/>
    </row>
    <row r="598">
      <c r="A598" s="19"/>
      <c r="B598" s="21"/>
      <c r="C598" s="19"/>
      <c r="D598" s="19"/>
    </row>
    <row r="599">
      <c r="A599" s="19"/>
      <c r="B599" s="21"/>
      <c r="C599" s="19"/>
      <c r="D599" s="19"/>
    </row>
    <row r="600">
      <c r="A600" s="19"/>
      <c r="B600" s="21"/>
      <c r="C600" s="19"/>
      <c r="D600" s="19"/>
    </row>
    <row r="601">
      <c r="A601" s="19"/>
      <c r="B601" s="21"/>
      <c r="C601" s="19"/>
      <c r="D601" s="19"/>
    </row>
    <row r="602">
      <c r="A602" s="19"/>
      <c r="B602" s="21"/>
      <c r="C602" s="19"/>
      <c r="D602" s="19"/>
    </row>
    <row r="603">
      <c r="A603" s="19"/>
      <c r="B603" s="21"/>
      <c r="C603" s="19"/>
      <c r="D603" s="19"/>
    </row>
    <row r="604">
      <c r="A604" s="19"/>
      <c r="B604" s="21"/>
      <c r="C604" s="19"/>
      <c r="D604" s="19"/>
    </row>
    <row r="605">
      <c r="A605" s="19"/>
      <c r="B605" s="21"/>
      <c r="C605" s="19"/>
      <c r="D605" s="19"/>
    </row>
    <row r="606">
      <c r="A606" s="19"/>
      <c r="B606" s="21"/>
      <c r="C606" s="19"/>
      <c r="D606" s="19"/>
    </row>
    <row r="607">
      <c r="A607" s="19"/>
      <c r="B607" s="21"/>
      <c r="C607" s="19"/>
      <c r="D607" s="19"/>
    </row>
    <row r="608">
      <c r="A608" s="19"/>
      <c r="B608" s="21"/>
      <c r="C608" s="19"/>
      <c r="D608" s="19"/>
    </row>
    <row r="609">
      <c r="A609" s="19"/>
      <c r="B609" s="21"/>
      <c r="C609" s="19"/>
      <c r="D609" s="19"/>
    </row>
    <row r="610">
      <c r="A610" s="19"/>
      <c r="B610" s="21"/>
      <c r="C610" s="19"/>
      <c r="D610" s="19"/>
    </row>
    <row r="611">
      <c r="A611" s="19"/>
      <c r="B611" s="21"/>
      <c r="C611" s="19"/>
      <c r="D611" s="19"/>
    </row>
    <row r="612">
      <c r="A612" s="19"/>
      <c r="B612" s="21"/>
      <c r="C612" s="19"/>
      <c r="D612" s="19"/>
    </row>
    <row r="613">
      <c r="A613" s="19"/>
      <c r="B613" s="21"/>
      <c r="C613" s="19"/>
      <c r="D613" s="19"/>
    </row>
    <row r="614">
      <c r="A614" s="19"/>
      <c r="B614" s="21"/>
      <c r="C614" s="19"/>
      <c r="D614" s="19"/>
    </row>
    <row r="615">
      <c r="A615" s="19"/>
      <c r="B615" s="21"/>
      <c r="C615" s="19"/>
      <c r="D615" s="19"/>
    </row>
    <row r="616">
      <c r="A616" s="19"/>
      <c r="B616" s="21"/>
      <c r="C616" s="19"/>
      <c r="D616" s="19"/>
    </row>
    <row r="617">
      <c r="A617" s="19"/>
      <c r="B617" s="21"/>
      <c r="C617" s="19"/>
      <c r="D617" s="19"/>
    </row>
    <row r="618">
      <c r="A618" s="19"/>
      <c r="B618" s="21"/>
      <c r="C618" s="19"/>
      <c r="D618" s="19"/>
    </row>
    <row r="619">
      <c r="A619" s="19"/>
      <c r="B619" s="21"/>
      <c r="C619" s="19"/>
      <c r="D619" s="19"/>
    </row>
    <row r="620">
      <c r="A620" s="19"/>
      <c r="B620" s="21"/>
      <c r="C620" s="19"/>
      <c r="D620" s="19"/>
    </row>
    <row r="621">
      <c r="A621" s="19"/>
      <c r="B621" s="21"/>
      <c r="C621" s="19"/>
      <c r="D621" s="19"/>
    </row>
    <row r="622">
      <c r="A622" s="19"/>
      <c r="B622" s="21"/>
      <c r="C622" s="19"/>
      <c r="D622" s="19"/>
    </row>
    <row r="623">
      <c r="A623" s="19"/>
      <c r="B623" s="21"/>
      <c r="C623" s="19"/>
      <c r="D623" s="19"/>
    </row>
    <row r="624">
      <c r="A624" s="19"/>
      <c r="B624" s="21"/>
      <c r="C624" s="19"/>
      <c r="D624" s="19"/>
    </row>
    <row r="625">
      <c r="A625" s="19"/>
      <c r="B625" s="21"/>
      <c r="C625" s="19"/>
      <c r="D625" s="19"/>
    </row>
    <row r="626">
      <c r="A626" s="19"/>
      <c r="B626" s="21"/>
      <c r="C626" s="19"/>
      <c r="D626" s="19"/>
    </row>
    <row r="627">
      <c r="A627" s="19"/>
      <c r="B627" s="21"/>
      <c r="C627" s="19"/>
      <c r="D627" s="19"/>
    </row>
    <row r="628">
      <c r="A628" s="19"/>
      <c r="B628" s="21"/>
      <c r="C628" s="19"/>
      <c r="D628" s="19"/>
    </row>
    <row r="629">
      <c r="A629" s="19"/>
      <c r="B629" s="21"/>
      <c r="C629" s="19"/>
      <c r="D629" s="19"/>
    </row>
    <row r="630">
      <c r="A630" s="19"/>
      <c r="B630" s="21"/>
      <c r="C630" s="19"/>
      <c r="D630" s="19"/>
    </row>
    <row r="631">
      <c r="A631" s="19"/>
      <c r="B631" s="21"/>
      <c r="C631" s="19"/>
      <c r="D631" s="19"/>
    </row>
    <row r="632">
      <c r="A632" s="19"/>
      <c r="B632" s="21"/>
      <c r="C632" s="19"/>
      <c r="D632" s="19"/>
    </row>
    <row r="633">
      <c r="A633" s="19"/>
      <c r="B633" s="21"/>
      <c r="C633" s="19"/>
      <c r="D633" s="19"/>
    </row>
    <row r="634">
      <c r="A634" s="19"/>
      <c r="B634" s="21"/>
      <c r="C634" s="19"/>
      <c r="D634" s="19"/>
    </row>
    <row r="635">
      <c r="A635" s="19"/>
      <c r="B635" s="21"/>
      <c r="C635" s="19"/>
      <c r="D635" s="19"/>
    </row>
    <row r="636">
      <c r="A636" s="19"/>
      <c r="B636" s="21"/>
      <c r="C636" s="19"/>
      <c r="D636" s="19"/>
    </row>
    <row r="637">
      <c r="A637" s="19"/>
      <c r="B637" s="21"/>
      <c r="C637" s="19"/>
      <c r="D637" s="19"/>
    </row>
    <row r="638">
      <c r="A638" s="19"/>
      <c r="B638" s="21"/>
      <c r="C638" s="19"/>
      <c r="D638" s="19"/>
    </row>
    <row r="639">
      <c r="A639" s="19"/>
      <c r="B639" s="21"/>
      <c r="C639" s="19"/>
      <c r="D639" s="19"/>
    </row>
    <row r="640">
      <c r="A640" s="19"/>
      <c r="B640" s="21"/>
      <c r="C640" s="19"/>
      <c r="D640" s="19"/>
    </row>
    <row r="641">
      <c r="A641" s="19"/>
      <c r="B641" s="21"/>
      <c r="C641" s="19"/>
      <c r="D641" s="19"/>
    </row>
    <row r="642">
      <c r="A642" s="19"/>
      <c r="B642" s="21"/>
      <c r="C642" s="19"/>
      <c r="D642" s="19"/>
    </row>
    <row r="643">
      <c r="A643" s="19"/>
      <c r="B643" s="21"/>
      <c r="C643" s="19"/>
      <c r="D643" s="19"/>
    </row>
    <row r="644">
      <c r="A644" s="19"/>
      <c r="B644" s="21"/>
      <c r="C644" s="19"/>
      <c r="D644" s="19"/>
    </row>
    <row r="645">
      <c r="A645" s="19"/>
      <c r="B645" s="21"/>
      <c r="C645" s="19"/>
      <c r="D645" s="19"/>
    </row>
    <row r="646">
      <c r="A646" s="19"/>
      <c r="B646" s="21"/>
      <c r="C646" s="19"/>
      <c r="D646" s="19"/>
    </row>
    <row r="647">
      <c r="A647" s="19"/>
      <c r="B647" s="21"/>
      <c r="C647" s="19"/>
      <c r="D647" s="19"/>
    </row>
    <row r="648">
      <c r="A648" s="19"/>
      <c r="B648" s="21"/>
      <c r="C648" s="19"/>
      <c r="D648" s="19"/>
    </row>
    <row r="649">
      <c r="A649" s="19"/>
      <c r="B649" s="21"/>
      <c r="C649" s="19"/>
      <c r="D649" s="19"/>
    </row>
    <row r="650">
      <c r="A650" s="19"/>
      <c r="B650" s="21"/>
      <c r="C650" s="19"/>
      <c r="D650" s="19"/>
    </row>
    <row r="651">
      <c r="A651" s="19"/>
      <c r="B651" s="21"/>
      <c r="C651" s="19"/>
      <c r="D651" s="19"/>
    </row>
    <row r="652">
      <c r="A652" s="19"/>
      <c r="B652" s="21"/>
      <c r="C652" s="19"/>
      <c r="D652" s="19"/>
    </row>
    <row r="653">
      <c r="A653" s="19"/>
      <c r="B653" s="21"/>
      <c r="C653" s="19"/>
      <c r="D653" s="19"/>
    </row>
    <row r="654">
      <c r="A654" s="19"/>
      <c r="B654" s="21"/>
      <c r="C654" s="19"/>
      <c r="D654" s="19"/>
    </row>
    <row r="655">
      <c r="A655" s="19"/>
      <c r="B655" s="21"/>
      <c r="C655" s="19"/>
      <c r="D655" s="19"/>
    </row>
    <row r="656">
      <c r="A656" s="19"/>
      <c r="B656" s="21"/>
      <c r="C656" s="19"/>
      <c r="D656" s="19"/>
    </row>
    <row r="657">
      <c r="A657" s="19"/>
      <c r="B657" s="21"/>
      <c r="C657" s="19"/>
      <c r="D657" s="19"/>
    </row>
    <row r="658">
      <c r="A658" s="19"/>
      <c r="B658" s="21"/>
      <c r="C658" s="19"/>
      <c r="D658" s="19"/>
    </row>
    <row r="659">
      <c r="A659" s="19"/>
      <c r="B659" s="21"/>
      <c r="C659" s="19"/>
      <c r="D659" s="19"/>
    </row>
    <row r="660">
      <c r="A660" s="19"/>
      <c r="B660" s="21"/>
      <c r="C660" s="19"/>
      <c r="D660" s="19"/>
    </row>
    <row r="661">
      <c r="A661" s="19"/>
      <c r="B661" s="21"/>
      <c r="C661" s="19"/>
      <c r="D661" s="19"/>
    </row>
    <row r="662">
      <c r="A662" s="19"/>
      <c r="B662" s="21"/>
      <c r="C662" s="19"/>
      <c r="D662" s="19"/>
    </row>
    <row r="663">
      <c r="A663" s="19"/>
      <c r="B663" s="21"/>
      <c r="C663" s="19"/>
      <c r="D663" s="19"/>
    </row>
    <row r="664">
      <c r="A664" s="19"/>
      <c r="B664" s="21"/>
      <c r="C664" s="19"/>
      <c r="D664" s="19"/>
    </row>
    <row r="665">
      <c r="A665" s="19"/>
      <c r="B665" s="21"/>
      <c r="C665" s="19"/>
      <c r="D665" s="19"/>
    </row>
    <row r="666">
      <c r="A666" s="19"/>
      <c r="B666" s="21"/>
      <c r="C666" s="19"/>
      <c r="D666" s="19"/>
    </row>
    <row r="667">
      <c r="A667" s="19"/>
      <c r="B667" s="21"/>
      <c r="C667" s="19"/>
      <c r="D667" s="19"/>
    </row>
    <row r="668">
      <c r="A668" s="19"/>
      <c r="B668" s="21"/>
      <c r="C668" s="19"/>
      <c r="D668" s="19"/>
    </row>
    <row r="669">
      <c r="A669" s="19"/>
      <c r="B669" s="21"/>
      <c r="C669" s="19"/>
      <c r="D669" s="19"/>
    </row>
    <row r="670">
      <c r="A670" s="19"/>
      <c r="B670" s="21"/>
      <c r="C670" s="19"/>
      <c r="D670" s="19"/>
    </row>
    <row r="671">
      <c r="A671" s="19"/>
      <c r="B671" s="21"/>
      <c r="C671" s="19"/>
      <c r="D671" s="19"/>
    </row>
    <row r="672">
      <c r="A672" s="19"/>
      <c r="B672" s="21"/>
      <c r="C672" s="19"/>
      <c r="D672" s="19"/>
    </row>
    <row r="673">
      <c r="A673" s="19"/>
      <c r="B673" s="21"/>
      <c r="C673" s="19"/>
      <c r="D673" s="19"/>
    </row>
    <row r="674">
      <c r="A674" s="19"/>
      <c r="B674" s="21"/>
      <c r="C674" s="19"/>
      <c r="D674" s="19"/>
    </row>
    <row r="675">
      <c r="A675" s="19"/>
      <c r="B675" s="21"/>
      <c r="C675" s="19"/>
      <c r="D675" s="19"/>
    </row>
    <row r="676">
      <c r="A676" s="19"/>
      <c r="B676" s="21"/>
      <c r="C676" s="19"/>
      <c r="D676" s="19"/>
    </row>
    <row r="677">
      <c r="A677" s="19"/>
      <c r="B677" s="21"/>
      <c r="C677" s="19"/>
      <c r="D677" s="19"/>
    </row>
    <row r="678">
      <c r="A678" s="19"/>
      <c r="B678" s="21"/>
      <c r="C678" s="19"/>
      <c r="D678" s="19"/>
    </row>
    <row r="679">
      <c r="A679" s="19"/>
      <c r="B679" s="21"/>
      <c r="C679" s="19"/>
      <c r="D679" s="19"/>
    </row>
    <row r="680">
      <c r="A680" s="19"/>
      <c r="B680" s="21"/>
      <c r="C680" s="19"/>
      <c r="D680" s="19"/>
    </row>
    <row r="681">
      <c r="A681" s="19"/>
      <c r="B681" s="21"/>
      <c r="C681" s="19"/>
      <c r="D681" s="19"/>
    </row>
    <row r="682">
      <c r="A682" s="19"/>
      <c r="B682" s="21"/>
      <c r="C682" s="19"/>
      <c r="D682" s="19"/>
    </row>
    <row r="683">
      <c r="A683" s="19"/>
      <c r="B683" s="21"/>
      <c r="C683" s="19"/>
      <c r="D683" s="19"/>
    </row>
    <row r="684">
      <c r="A684" s="19"/>
      <c r="B684" s="21"/>
      <c r="C684" s="19"/>
      <c r="D684" s="19"/>
    </row>
    <row r="685">
      <c r="A685" s="19"/>
      <c r="B685" s="21"/>
      <c r="C685" s="19"/>
      <c r="D685" s="19"/>
    </row>
    <row r="686">
      <c r="A686" s="19"/>
      <c r="B686" s="21"/>
      <c r="C686" s="19"/>
      <c r="D686" s="19"/>
    </row>
    <row r="687">
      <c r="A687" s="19"/>
      <c r="B687" s="21"/>
      <c r="C687" s="19"/>
      <c r="D687" s="19"/>
    </row>
    <row r="688">
      <c r="A688" s="19"/>
      <c r="B688" s="21"/>
      <c r="C688" s="19"/>
      <c r="D688" s="19"/>
    </row>
    <row r="689">
      <c r="A689" s="19"/>
      <c r="B689" s="21"/>
      <c r="C689" s="19"/>
      <c r="D689" s="19"/>
    </row>
    <row r="690">
      <c r="A690" s="19"/>
      <c r="B690" s="21"/>
      <c r="C690" s="19"/>
      <c r="D690" s="19"/>
    </row>
    <row r="691">
      <c r="A691" s="19"/>
      <c r="B691" s="21"/>
      <c r="C691" s="19"/>
      <c r="D691" s="19"/>
    </row>
    <row r="692">
      <c r="A692" s="19"/>
      <c r="B692" s="21"/>
      <c r="C692" s="19"/>
      <c r="D692" s="19"/>
    </row>
    <row r="693">
      <c r="A693" s="19"/>
      <c r="B693" s="21"/>
      <c r="C693" s="19"/>
      <c r="D693" s="19"/>
    </row>
    <row r="694">
      <c r="A694" s="19"/>
      <c r="B694" s="21"/>
      <c r="C694" s="19"/>
      <c r="D694" s="19"/>
    </row>
    <row r="695">
      <c r="A695" s="19"/>
      <c r="B695" s="21"/>
      <c r="C695" s="19"/>
      <c r="D695" s="19"/>
    </row>
    <row r="696">
      <c r="A696" s="19"/>
      <c r="B696" s="21"/>
      <c r="C696" s="19"/>
      <c r="D696" s="19"/>
    </row>
    <row r="697">
      <c r="A697" s="19"/>
      <c r="B697" s="21"/>
      <c r="C697" s="19"/>
      <c r="D697" s="19"/>
    </row>
    <row r="698">
      <c r="A698" s="19"/>
      <c r="B698" s="21"/>
      <c r="C698" s="19"/>
      <c r="D698" s="19"/>
    </row>
    <row r="699">
      <c r="A699" s="19"/>
      <c r="B699" s="21"/>
      <c r="C699" s="19"/>
      <c r="D699" s="19"/>
    </row>
    <row r="700">
      <c r="A700" s="19"/>
      <c r="B700" s="21"/>
      <c r="C700" s="19"/>
      <c r="D700" s="19"/>
    </row>
    <row r="701">
      <c r="A701" s="19"/>
      <c r="B701" s="21"/>
      <c r="C701" s="19"/>
      <c r="D701" s="19"/>
    </row>
    <row r="702">
      <c r="A702" s="19"/>
      <c r="B702" s="21"/>
      <c r="C702" s="19"/>
      <c r="D702" s="19"/>
    </row>
    <row r="703">
      <c r="A703" s="19"/>
      <c r="B703" s="21"/>
      <c r="C703" s="19"/>
      <c r="D703" s="19"/>
    </row>
    <row r="704">
      <c r="A704" s="19"/>
      <c r="B704" s="21"/>
      <c r="C704" s="19"/>
      <c r="D704" s="19"/>
    </row>
    <row r="705">
      <c r="A705" s="19"/>
      <c r="B705" s="21"/>
      <c r="C705" s="19"/>
      <c r="D705" s="19"/>
    </row>
    <row r="706">
      <c r="A706" s="19"/>
      <c r="B706" s="21"/>
      <c r="C706" s="19"/>
      <c r="D706" s="19"/>
    </row>
    <row r="707">
      <c r="A707" s="19"/>
      <c r="B707" s="21"/>
      <c r="C707" s="19"/>
      <c r="D707" s="19"/>
    </row>
    <row r="708">
      <c r="A708" s="19"/>
      <c r="B708" s="21"/>
      <c r="C708" s="19"/>
      <c r="D708" s="19"/>
    </row>
    <row r="709">
      <c r="A709" s="19"/>
      <c r="B709" s="21"/>
      <c r="C709" s="19"/>
      <c r="D709" s="19"/>
    </row>
    <row r="710">
      <c r="A710" s="19"/>
      <c r="B710" s="21"/>
      <c r="C710" s="19"/>
      <c r="D710" s="19"/>
    </row>
    <row r="711">
      <c r="A711" s="19"/>
      <c r="B711" s="21"/>
      <c r="C711" s="19"/>
      <c r="D711" s="19"/>
    </row>
    <row r="712">
      <c r="A712" s="19"/>
      <c r="B712" s="21"/>
      <c r="C712" s="19"/>
      <c r="D712" s="19"/>
    </row>
    <row r="713">
      <c r="A713" s="19"/>
      <c r="B713" s="21"/>
      <c r="C713" s="19"/>
      <c r="D713" s="19"/>
    </row>
    <row r="714">
      <c r="A714" s="19"/>
      <c r="B714" s="21"/>
      <c r="C714" s="19"/>
      <c r="D714" s="19"/>
    </row>
    <row r="715">
      <c r="A715" s="19"/>
      <c r="B715" s="21"/>
      <c r="C715" s="19"/>
      <c r="D715" s="19"/>
    </row>
    <row r="716">
      <c r="A716" s="19"/>
      <c r="B716" s="21"/>
      <c r="C716" s="19"/>
      <c r="D716" s="19"/>
    </row>
    <row r="717">
      <c r="A717" s="19"/>
      <c r="B717" s="21"/>
      <c r="C717" s="19"/>
      <c r="D717" s="19"/>
    </row>
    <row r="718">
      <c r="A718" s="19"/>
      <c r="B718" s="21"/>
      <c r="C718" s="19"/>
      <c r="D718" s="19"/>
    </row>
    <row r="719">
      <c r="A719" s="19"/>
      <c r="B719" s="21"/>
      <c r="C719" s="19"/>
      <c r="D719" s="19"/>
    </row>
    <row r="720">
      <c r="A720" s="19"/>
      <c r="B720" s="21"/>
      <c r="C720" s="19"/>
      <c r="D720" s="19"/>
    </row>
    <row r="721">
      <c r="A721" s="19"/>
      <c r="B721" s="21"/>
      <c r="C721" s="19"/>
      <c r="D721" s="19"/>
    </row>
    <row r="722">
      <c r="A722" s="19"/>
      <c r="B722" s="21"/>
      <c r="C722" s="19"/>
      <c r="D722" s="19"/>
    </row>
    <row r="723">
      <c r="A723" s="19"/>
      <c r="B723" s="21"/>
      <c r="C723" s="19"/>
      <c r="D723" s="19"/>
    </row>
    <row r="724">
      <c r="A724" s="19"/>
      <c r="B724" s="21"/>
      <c r="C724" s="19"/>
      <c r="D724" s="19"/>
    </row>
    <row r="725">
      <c r="A725" s="19"/>
      <c r="B725" s="21"/>
      <c r="C725" s="19"/>
      <c r="D725" s="19"/>
    </row>
    <row r="726">
      <c r="A726" s="19"/>
      <c r="B726" s="21"/>
      <c r="C726" s="19"/>
      <c r="D726" s="19"/>
    </row>
    <row r="727">
      <c r="A727" s="19"/>
      <c r="B727" s="21"/>
      <c r="C727" s="19"/>
      <c r="D727" s="19"/>
    </row>
    <row r="728">
      <c r="A728" s="19"/>
      <c r="B728" s="21"/>
      <c r="C728" s="19"/>
      <c r="D728" s="19"/>
    </row>
    <row r="729">
      <c r="A729" s="19"/>
      <c r="B729" s="21"/>
      <c r="C729" s="19"/>
      <c r="D729" s="19"/>
    </row>
    <row r="730">
      <c r="A730" s="19"/>
      <c r="B730" s="21"/>
      <c r="C730" s="19"/>
      <c r="D730" s="19"/>
    </row>
    <row r="731">
      <c r="A731" s="19"/>
      <c r="B731" s="21"/>
      <c r="C731" s="19"/>
      <c r="D731" s="19"/>
    </row>
    <row r="732">
      <c r="A732" s="19"/>
      <c r="B732" s="21"/>
      <c r="C732" s="19"/>
      <c r="D732" s="19"/>
    </row>
    <row r="733">
      <c r="A733" s="19"/>
      <c r="B733" s="21"/>
      <c r="C733" s="19"/>
      <c r="D733" s="19"/>
    </row>
    <row r="734">
      <c r="A734" s="19"/>
      <c r="B734" s="21"/>
      <c r="C734" s="19"/>
      <c r="D734" s="19"/>
    </row>
    <row r="735">
      <c r="A735" s="19"/>
      <c r="B735" s="21"/>
      <c r="C735" s="19"/>
      <c r="D735" s="19"/>
    </row>
    <row r="736">
      <c r="A736" s="19"/>
      <c r="B736" s="21"/>
      <c r="C736" s="19"/>
      <c r="D736" s="19"/>
    </row>
    <row r="737">
      <c r="A737" s="19"/>
      <c r="B737" s="21"/>
      <c r="C737" s="19"/>
      <c r="D737" s="19"/>
    </row>
    <row r="738">
      <c r="A738" s="19"/>
      <c r="B738" s="21"/>
      <c r="C738" s="19"/>
      <c r="D738" s="19"/>
    </row>
    <row r="739">
      <c r="A739" s="19"/>
      <c r="B739" s="21"/>
      <c r="C739" s="19"/>
      <c r="D739" s="19"/>
    </row>
    <row r="740">
      <c r="A740" s="19"/>
      <c r="B740" s="21"/>
      <c r="C740" s="19"/>
      <c r="D740" s="19"/>
    </row>
    <row r="741">
      <c r="A741" s="19"/>
      <c r="B741" s="21"/>
      <c r="C741" s="19"/>
      <c r="D741" s="19"/>
    </row>
    <row r="742">
      <c r="A742" s="19"/>
      <c r="B742" s="21"/>
      <c r="C742" s="19"/>
      <c r="D742" s="19"/>
    </row>
    <row r="743">
      <c r="A743" s="19"/>
      <c r="B743" s="21"/>
      <c r="C743" s="19"/>
      <c r="D743" s="19"/>
    </row>
    <row r="744">
      <c r="A744" s="19"/>
      <c r="B744" s="21"/>
      <c r="C744" s="19"/>
      <c r="D744" s="19"/>
    </row>
    <row r="745">
      <c r="A745" s="19"/>
      <c r="B745" s="21"/>
      <c r="C745" s="19"/>
      <c r="D745" s="19"/>
    </row>
    <row r="746">
      <c r="A746" s="19"/>
      <c r="B746" s="21"/>
      <c r="C746" s="19"/>
      <c r="D746" s="19"/>
    </row>
    <row r="747">
      <c r="A747" s="19"/>
      <c r="B747" s="21"/>
      <c r="C747" s="19"/>
      <c r="D747" s="19"/>
    </row>
    <row r="748">
      <c r="A748" s="19"/>
      <c r="B748" s="21"/>
      <c r="C748" s="19"/>
      <c r="D748" s="19"/>
    </row>
    <row r="749">
      <c r="A749" s="19"/>
      <c r="B749" s="21"/>
      <c r="C749" s="19"/>
      <c r="D749" s="19"/>
    </row>
    <row r="750">
      <c r="A750" s="19"/>
      <c r="B750" s="21"/>
      <c r="C750" s="19"/>
      <c r="D750" s="19"/>
    </row>
    <row r="751">
      <c r="A751" s="19"/>
      <c r="B751" s="21"/>
      <c r="C751" s="19"/>
      <c r="D751" s="19"/>
    </row>
    <row r="752">
      <c r="A752" s="19"/>
      <c r="B752" s="21"/>
      <c r="C752" s="19"/>
      <c r="D752" s="19"/>
    </row>
    <row r="753">
      <c r="A753" s="19"/>
      <c r="B753" s="21"/>
      <c r="C753" s="19"/>
      <c r="D753" s="19"/>
    </row>
    <row r="754">
      <c r="A754" s="19"/>
      <c r="B754" s="21"/>
      <c r="C754" s="19"/>
      <c r="D754" s="19"/>
    </row>
    <row r="755">
      <c r="A755" s="19"/>
      <c r="B755" s="21"/>
      <c r="C755" s="19"/>
      <c r="D755" s="19"/>
    </row>
    <row r="756">
      <c r="A756" s="19"/>
      <c r="B756" s="21"/>
      <c r="C756" s="19"/>
      <c r="D756" s="19"/>
    </row>
    <row r="757">
      <c r="A757" s="19"/>
      <c r="B757" s="21"/>
      <c r="C757" s="19"/>
      <c r="D757" s="19"/>
    </row>
    <row r="758">
      <c r="A758" s="19"/>
      <c r="B758" s="21"/>
      <c r="C758" s="19"/>
      <c r="D758" s="19"/>
    </row>
    <row r="759">
      <c r="A759" s="19"/>
      <c r="B759" s="21"/>
      <c r="C759" s="19"/>
      <c r="D759" s="19"/>
    </row>
    <row r="760">
      <c r="A760" s="19"/>
      <c r="B760" s="21"/>
      <c r="C760" s="19"/>
      <c r="D760" s="19"/>
    </row>
    <row r="761">
      <c r="A761" s="19"/>
      <c r="B761" s="21"/>
      <c r="C761" s="19"/>
      <c r="D761" s="19"/>
    </row>
    <row r="762">
      <c r="A762" s="19"/>
      <c r="B762" s="21"/>
      <c r="C762" s="19"/>
      <c r="D762" s="19"/>
    </row>
    <row r="763">
      <c r="A763" s="19"/>
      <c r="B763" s="21"/>
      <c r="C763" s="19"/>
      <c r="D763" s="19"/>
    </row>
    <row r="764">
      <c r="A764" s="19"/>
      <c r="B764" s="21"/>
      <c r="C764" s="19"/>
      <c r="D764" s="19"/>
    </row>
    <row r="765">
      <c r="A765" s="19"/>
      <c r="B765" s="21"/>
      <c r="C765" s="19"/>
      <c r="D765" s="19"/>
    </row>
    <row r="766">
      <c r="A766" s="19"/>
      <c r="B766" s="21"/>
      <c r="C766" s="19"/>
      <c r="D766" s="19"/>
    </row>
    <row r="767">
      <c r="A767" s="19"/>
      <c r="B767" s="21"/>
      <c r="C767" s="19"/>
      <c r="D767" s="19"/>
    </row>
    <row r="768">
      <c r="A768" s="19"/>
      <c r="B768" s="21"/>
      <c r="C768" s="19"/>
      <c r="D768" s="19"/>
    </row>
    <row r="769">
      <c r="A769" s="19"/>
      <c r="B769" s="21"/>
      <c r="C769" s="19"/>
      <c r="D769" s="19"/>
    </row>
    <row r="770">
      <c r="A770" s="19"/>
      <c r="B770" s="21"/>
      <c r="C770" s="19"/>
      <c r="D770" s="19"/>
    </row>
    <row r="771">
      <c r="A771" s="19"/>
      <c r="B771" s="21"/>
      <c r="C771" s="19"/>
      <c r="D771" s="19"/>
    </row>
    <row r="772">
      <c r="A772" s="19"/>
      <c r="B772" s="21"/>
      <c r="C772" s="19"/>
      <c r="D772" s="19"/>
    </row>
    <row r="773">
      <c r="A773" s="19"/>
      <c r="B773" s="21"/>
      <c r="C773" s="19"/>
      <c r="D773" s="19"/>
    </row>
    <row r="774">
      <c r="A774" s="19"/>
      <c r="B774" s="21"/>
      <c r="C774" s="19"/>
      <c r="D774" s="19"/>
    </row>
    <row r="775">
      <c r="A775" s="19"/>
      <c r="B775" s="21"/>
      <c r="C775" s="19"/>
      <c r="D775" s="19"/>
    </row>
    <row r="776">
      <c r="A776" s="19"/>
      <c r="B776" s="21"/>
      <c r="C776" s="19"/>
      <c r="D776" s="19"/>
    </row>
    <row r="777">
      <c r="A777" s="19"/>
      <c r="B777" s="21"/>
      <c r="C777" s="19"/>
      <c r="D777" s="19"/>
    </row>
    <row r="778">
      <c r="A778" s="19"/>
      <c r="B778" s="21"/>
      <c r="C778" s="19"/>
      <c r="D778" s="19"/>
    </row>
    <row r="779">
      <c r="A779" s="19"/>
      <c r="B779" s="21"/>
      <c r="C779" s="19"/>
      <c r="D779" s="19"/>
    </row>
    <row r="780">
      <c r="A780" s="19"/>
      <c r="B780" s="21"/>
      <c r="C780" s="19"/>
      <c r="D780" s="19"/>
    </row>
    <row r="781">
      <c r="A781" s="19"/>
      <c r="B781" s="21"/>
      <c r="C781" s="19"/>
      <c r="D781" s="19"/>
    </row>
    <row r="782">
      <c r="A782" s="19"/>
      <c r="B782" s="21"/>
      <c r="C782" s="19"/>
      <c r="D782" s="19"/>
    </row>
    <row r="783">
      <c r="A783" s="19"/>
      <c r="B783" s="21"/>
      <c r="C783" s="19"/>
      <c r="D783" s="19"/>
    </row>
    <row r="784">
      <c r="A784" s="19"/>
      <c r="B784" s="21"/>
      <c r="C784" s="19"/>
      <c r="D784" s="19"/>
    </row>
    <row r="785">
      <c r="A785" s="19"/>
      <c r="B785" s="21"/>
      <c r="C785" s="19"/>
      <c r="D785" s="19"/>
    </row>
    <row r="786">
      <c r="A786" s="19"/>
      <c r="B786" s="21"/>
      <c r="C786" s="19"/>
      <c r="D786" s="19"/>
    </row>
    <row r="787">
      <c r="A787" s="19"/>
      <c r="B787" s="21"/>
      <c r="C787" s="19"/>
      <c r="D787" s="19"/>
    </row>
    <row r="788">
      <c r="A788" s="19"/>
      <c r="B788" s="21"/>
      <c r="C788" s="19"/>
      <c r="D788" s="19"/>
    </row>
    <row r="789">
      <c r="A789" s="19"/>
      <c r="B789" s="21"/>
      <c r="C789" s="19"/>
      <c r="D789" s="19"/>
    </row>
    <row r="790">
      <c r="A790" s="19"/>
      <c r="B790" s="21"/>
      <c r="C790" s="19"/>
      <c r="D790" s="19"/>
    </row>
    <row r="791">
      <c r="A791" s="19"/>
      <c r="B791" s="21"/>
      <c r="C791" s="19"/>
      <c r="D791" s="19"/>
    </row>
    <row r="792">
      <c r="A792" s="19"/>
      <c r="B792" s="21"/>
      <c r="C792" s="19"/>
      <c r="D792" s="19"/>
    </row>
    <row r="793">
      <c r="A793" s="19"/>
      <c r="B793" s="21"/>
      <c r="C793" s="19"/>
      <c r="D793" s="19"/>
    </row>
    <row r="794">
      <c r="A794" s="19"/>
      <c r="B794" s="21"/>
      <c r="C794" s="19"/>
      <c r="D794" s="19"/>
    </row>
    <row r="795">
      <c r="A795" s="19"/>
      <c r="B795" s="21"/>
      <c r="C795" s="19"/>
      <c r="D795" s="19"/>
    </row>
    <row r="796">
      <c r="A796" s="19"/>
      <c r="B796" s="21"/>
      <c r="C796" s="19"/>
      <c r="D796" s="19"/>
    </row>
    <row r="797">
      <c r="A797" s="19"/>
      <c r="B797" s="21"/>
      <c r="C797" s="19"/>
      <c r="D797" s="19"/>
    </row>
    <row r="798">
      <c r="A798" s="19"/>
      <c r="B798" s="21"/>
      <c r="C798" s="19"/>
      <c r="D798" s="19"/>
    </row>
    <row r="799">
      <c r="A799" s="19"/>
      <c r="B799" s="21"/>
      <c r="C799" s="19"/>
      <c r="D799" s="19"/>
    </row>
    <row r="800">
      <c r="A800" s="19"/>
      <c r="B800" s="21"/>
      <c r="C800" s="19"/>
      <c r="D800" s="19"/>
    </row>
    <row r="801">
      <c r="A801" s="19"/>
      <c r="B801" s="21"/>
      <c r="C801" s="19"/>
      <c r="D801" s="19"/>
    </row>
    <row r="802">
      <c r="A802" s="19"/>
      <c r="B802" s="21"/>
      <c r="C802" s="19"/>
      <c r="D802" s="19"/>
    </row>
    <row r="803">
      <c r="A803" s="19"/>
      <c r="B803" s="21"/>
      <c r="C803" s="19"/>
      <c r="D803" s="19"/>
    </row>
    <row r="804">
      <c r="A804" s="19"/>
      <c r="B804" s="21"/>
      <c r="C804" s="19"/>
      <c r="D804" s="19"/>
    </row>
    <row r="805">
      <c r="A805" s="19"/>
      <c r="B805" s="21"/>
      <c r="C805" s="19"/>
      <c r="D805" s="19"/>
    </row>
    <row r="806">
      <c r="A806" s="19"/>
      <c r="B806" s="21"/>
      <c r="C806" s="19"/>
      <c r="D806" s="19"/>
    </row>
    <row r="807">
      <c r="A807" s="19"/>
      <c r="B807" s="21"/>
      <c r="C807" s="19"/>
      <c r="D807" s="19"/>
    </row>
    <row r="808">
      <c r="A808" s="19"/>
      <c r="B808" s="21"/>
      <c r="C808" s="19"/>
      <c r="D808" s="19"/>
    </row>
    <row r="809">
      <c r="A809" s="19"/>
      <c r="B809" s="21"/>
      <c r="C809" s="19"/>
      <c r="D809" s="19"/>
    </row>
    <row r="810">
      <c r="A810" s="19"/>
      <c r="B810" s="21"/>
      <c r="C810" s="19"/>
      <c r="D810" s="19"/>
    </row>
    <row r="811">
      <c r="A811" s="19"/>
      <c r="B811" s="21"/>
      <c r="C811" s="19"/>
      <c r="D811" s="19"/>
    </row>
    <row r="812">
      <c r="A812" s="19"/>
      <c r="B812" s="21"/>
      <c r="C812" s="19"/>
      <c r="D812" s="19"/>
    </row>
    <row r="813">
      <c r="A813" s="19"/>
      <c r="B813" s="21"/>
      <c r="C813" s="19"/>
      <c r="D813" s="19"/>
    </row>
    <row r="814">
      <c r="A814" s="19"/>
      <c r="B814" s="21"/>
      <c r="C814" s="19"/>
      <c r="D814" s="19"/>
    </row>
    <row r="815">
      <c r="A815" s="19"/>
      <c r="B815" s="21"/>
      <c r="C815" s="19"/>
      <c r="D815" s="19"/>
    </row>
    <row r="816">
      <c r="A816" s="19"/>
      <c r="B816" s="21"/>
      <c r="C816" s="19"/>
      <c r="D816" s="19"/>
    </row>
    <row r="817">
      <c r="A817" s="19"/>
      <c r="B817" s="21"/>
      <c r="C817" s="19"/>
      <c r="D817" s="19"/>
    </row>
    <row r="818">
      <c r="A818" s="19"/>
      <c r="B818" s="21"/>
      <c r="C818" s="19"/>
      <c r="D818" s="19"/>
    </row>
    <row r="819">
      <c r="A819" s="19"/>
      <c r="B819" s="21"/>
      <c r="C819" s="19"/>
      <c r="D819" s="19"/>
    </row>
    <row r="820">
      <c r="A820" s="19"/>
      <c r="B820" s="21"/>
      <c r="C820" s="19"/>
      <c r="D820" s="19"/>
    </row>
    <row r="821">
      <c r="A821" s="19"/>
      <c r="B821" s="21"/>
      <c r="C821" s="19"/>
      <c r="D821" s="19"/>
    </row>
    <row r="822">
      <c r="A822" s="19"/>
      <c r="B822" s="21"/>
      <c r="C822" s="19"/>
      <c r="D822" s="19"/>
    </row>
    <row r="823">
      <c r="A823" s="19"/>
      <c r="B823" s="21"/>
      <c r="C823" s="19"/>
      <c r="D823" s="19"/>
    </row>
    <row r="824">
      <c r="A824" s="19"/>
      <c r="B824" s="21"/>
      <c r="C824" s="19"/>
      <c r="D824" s="19"/>
    </row>
    <row r="825">
      <c r="A825" s="19"/>
      <c r="B825" s="21"/>
      <c r="C825" s="19"/>
      <c r="D825" s="19"/>
    </row>
    <row r="826">
      <c r="A826" s="19"/>
      <c r="B826" s="21"/>
      <c r="C826" s="19"/>
      <c r="D826" s="19"/>
    </row>
    <row r="827">
      <c r="A827" s="19"/>
      <c r="B827" s="21"/>
      <c r="C827" s="19"/>
      <c r="D827" s="19"/>
    </row>
    <row r="828">
      <c r="A828" s="19"/>
      <c r="B828" s="21"/>
      <c r="C828" s="19"/>
      <c r="D828" s="19"/>
    </row>
    <row r="829">
      <c r="A829" s="19"/>
      <c r="B829" s="21"/>
      <c r="C829" s="19"/>
      <c r="D829" s="19"/>
    </row>
    <row r="830">
      <c r="A830" s="19"/>
      <c r="B830" s="21"/>
      <c r="C830" s="19"/>
      <c r="D830" s="19"/>
    </row>
    <row r="831">
      <c r="A831" s="19"/>
      <c r="B831" s="21"/>
      <c r="C831" s="19"/>
      <c r="D831" s="19"/>
    </row>
    <row r="832">
      <c r="A832" s="19"/>
      <c r="B832" s="21"/>
      <c r="C832" s="19"/>
      <c r="D832" s="19"/>
    </row>
    <row r="833">
      <c r="A833" s="19"/>
      <c r="B833" s="21"/>
      <c r="C833" s="19"/>
      <c r="D833" s="19"/>
    </row>
    <row r="834">
      <c r="A834" s="19"/>
      <c r="B834" s="21"/>
      <c r="C834" s="19"/>
      <c r="D834" s="19"/>
    </row>
    <row r="835">
      <c r="A835" s="19"/>
      <c r="B835" s="21"/>
      <c r="C835" s="19"/>
      <c r="D835" s="19"/>
    </row>
    <row r="836">
      <c r="A836" s="19"/>
      <c r="B836" s="21"/>
      <c r="C836" s="19"/>
      <c r="D836" s="19"/>
    </row>
    <row r="837">
      <c r="A837" s="19"/>
      <c r="B837" s="21"/>
      <c r="C837" s="19"/>
      <c r="D837" s="19"/>
    </row>
    <row r="838">
      <c r="A838" s="19"/>
      <c r="B838" s="21"/>
      <c r="C838" s="19"/>
      <c r="D838" s="19"/>
    </row>
    <row r="839">
      <c r="A839" s="19"/>
      <c r="B839" s="21"/>
      <c r="C839" s="19"/>
      <c r="D839" s="19"/>
    </row>
    <row r="840">
      <c r="A840" s="19"/>
      <c r="B840" s="21"/>
      <c r="C840" s="19"/>
      <c r="D840" s="19"/>
    </row>
    <row r="841">
      <c r="A841" s="19"/>
      <c r="B841" s="21"/>
      <c r="C841" s="19"/>
      <c r="D841" s="19"/>
    </row>
    <row r="842">
      <c r="A842" s="19"/>
      <c r="B842" s="21"/>
      <c r="C842" s="19"/>
      <c r="D842" s="19"/>
    </row>
    <row r="843">
      <c r="A843" s="19"/>
      <c r="B843" s="21"/>
      <c r="C843" s="19"/>
      <c r="D843" s="19"/>
    </row>
    <row r="844">
      <c r="A844" s="19"/>
      <c r="B844" s="21"/>
      <c r="C844" s="19"/>
      <c r="D844" s="19"/>
    </row>
    <row r="845">
      <c r="A845" s="19"/>
      <c r="B845" s="21"/>
      <c r="C845" s="19"/>
      <c r="D845" s="19"/>
    </row>
    <row r="846">
      <c r="A846" s="19"/>
      <c r="B846" s="21"/>
      <c r="C846" s="19"/>
      <c r="D846" s="19"/>
    </row>
    <row r="847">
      <c r="A847" s="19"/>
      <c r="B847" s="21"/>
      <c r="C847" s="19"/>
      <c r="D847" s="19"/>
    </row>
    <row r="848">
      <c r="A848" s="19"/>
      <c r="B848" s="21"/>
      <c r="C848" s="19"/>
      <c r="D848" s="19"/>
    </row>
    <row r="849">
      <c r="A849" s="19"/>
      <c r="B849" s="21"/>
      <c r="C849" s="19"/>
      <c r="D849" s="19"/>
    </row>
    <row r="850">
      <c r="A850" s="19"/>
      <c r="B850" s="21"/>
      <c r="C850" s="19"/>
      <c r="D850" s="19"/>
    </row>
    <row r="851">
      <c r="A851" s="19"/>
      <c r="B851" s="21"/>
      <c r="C851" s="19"/>
      <c r="D851" s="19"/>
    </row>
    <row r="852">
      <c r="A852" s="19"/>
      <c r="B852" s="21"/>
      <c r="C852" s="19"/>
      <c r="D852" s="19"/>
    </row>
    <row r="853">
      <c r="A853" s="19"/>
      <c r="B853" s="21"/>
      <c r="C853" s="19"/>
      <c r="D853" s="19"/>
    </row>
    <row r="854">
      <c r="A854" s="19"/>
      <c r="B854" s="21"/>
      <c r="C854" s="19"/>
      <c r="D854" s="19"/>
    </row>
    <row r="855">
      <c r="A855" s="19"/>
      <c r="B855" s="21"/>
      <c r="C855" s="19"/>
      <c r="D855" s="19"/>
    </row>
    <row r="856">
      <c r="A856" s="19"/>
      <c r="B856" s="21"/>
      <c r="C856" s="19"/>
      <c r="D856" s="19"/>
    </row>
    <row r="857">
      <c r="A857" s="19"/>
      <c r="B857" s="21"/>
      <c r="C857" s="19"/>
      <c r="D857" s="19"/>
    </row>
    <row r="858">
      <c r="A858" s="19"/>
      <c r="B858" s="21"/>
      <c r="C858" s="19"/>
      <c r="D858" s="19"/>
    </row>
    <row r="859">
      <c r="A859" s="19"/>
      <c r="B859" s="21"/>
      <c r="C859" s="19"/>
      <c r="D859" s="19"/>
    </row>
    <row r="860">
      <c r="A860" s="19"/>
      <c r="B860" s="21"/>
      <c r="C860" s="19"/>
      <c r="D860" s="19"/>
    </row>
    <row r="861">
      <c r="A861" s="19"/>
      <c r="B861" s="21"/>
      <c r="C861" s="19"/>
      <c r="D861" s="19"/>
    </row>
    <row r="862">
      <c r="A862" s="19"/>
      <c r="B862" s="21"/>
      <c r="C862" s="19"/>
      <c r="D862" s="19"/>
    </row>
    <row r="863">
      <c r="A863" s="19"/>
      <c r="B863" s="21"/>
      <c r="C863" s="19"/>
      <c r="D863" s="19"/>
    </row>
    <row r="864">
      <c r="A864" s="19"/>
      <c r="B864" s="21"/>
      <c r="C864" s="19"/>
      <c r="D864" s="19"/>
    </row>
    <row r="865">
      <c r="A865" s="19"/>
      <c r="B865" s="21"/>
      <c r="C865" s="19"/>
      <c r="D865" s="19"/>
    </row>
    <row r="866">
      <c r="A866" s="19"/>
      <c r="B866" s="21"/>
      <c r="C866" s="19"/>
      <c r="D866" s="19"/>
    </row>
    <row r="867">
      <c r="A867" s="19"/>
      <c r="B867" s="21"/>
      <c r="C867" s="19"/>
      <c r="D867" s="19"/>
    </row>
    <row r="868">
      <c r="A868" s="19"/>
      <c r="B868" s="21"/>
      <c r="C868" s="19"/>
      <c r="D868" s="19"/>
    </row>
    <row r="869">
      <c r="A869" s="19"/>
      <c r="B869" s="21"/>
      <c r="C869" s="19"/>
      <c r="D869" s="19"/>
    </row>
    <row r="870">
      <c r="A870" s="19"/>
      <c r="B870" s="21"/>
      <c r="C870" s="19"/>
      <c r="D870" s="19"/>
    </row>
    <row r="871">
      <c r="A871" s="19"/>
      <c r="B871" s="21"/>
      <c r="C871" s="19"/>
      <c r="D871" s="19"/>
    </row>
    <row r="872">
      <c r="A872" s="19"/>
      <c r="B872" s="21"/>
      <c r="C872" s="19"/>
      <c r="D872" s="19"/>
    </row>
    <row r="873">
      <c r="A873" s="19"/>
      <c r="B873" s="21"/>
      <c r="C873" s="19"/>
      <c r="D873" s="19"/>
    </row>
    <row r="874">
      <c r="A874" s="19"/>
      <c r="B874" s="21"/>
      <c r="C874" s="19"/>
      <c r="D874" s="19"/>
    </row>
    <row r="875">
      <c r="A875" s="19"/>
      <c r="B875" s="21"/>
      <c r="C875" s="19"/>
      <c r="D875" s="19"/>
    </row>
    <row r="876">
      <c r="A876" s="19"/>
      <c r="B876" s="21"/>
      <c r="C876" s="19"/>
      <c r="D876" s="19"/>
    </row>
    <row r="877">
      <c r="A877" s="19"/>
      <c r="B877" s="21"/>
      <c r="C877" s="19"/>
      <c r="D877" s="19"/>
    </row>
    <row r="878">
      <c r="A878" s="19"/>
      <c r="B878" s="21"/>
      <c r="C878" s="19"/>
      <c r="D878" s="19"/>
    </row>
    <row r="879">
      <c r="A879" s="19"/>
      <c r="B879" s="21"/>
      <c r="C879" s="19"/>
      <c r="D879" s="19"/>
    </row>
    <row r="880">
      <c r="A880" s="19"/>
      <c r="B880" s="21"/>
      <c r="C880" s="19"/>
      <c r="D880" s="19"/>
    </row>
    <row r="881">
      <c r="A881" s="19"/>
      <c r="B881" s="21"/>
      <c r="C881" s="19"/>
      <c r="D881" s="19"/>
    </row>
    <row r="882">
      <c r="A882" s="19"/>
      <c r="B882" s="21"/>
      <c r="C882" s="19"/>
      <c r="D882" s="19"/>
    </row>
    <row r="883">
      <c r="A883" s="19"/>
      <c r="B883" s="21"/>
      <c r="C883" s="19"/>
      <c r="D883" s="19"/>
    </row>
    <row r="884">
      <c r="A884" s="19"/>
      <c r="B884" s="21"/>
      <c r="C884" s="19"/>
      <c r="D884" s="19"/>
    </row>
    <row r="885">
      <c r="A885" s="19"/>
      <c r="B885" s="21"/>
      <c r="C885" s="19"/>
      <c r="D885" s="19"/>
    </row>
    <row r="886">
      <c r="A886" s="19"/>
      <c r="B886" s="21"/>
      <c r="C886" s="19"/>
      <c r="D886" s="19"/>
    </row>
    <row r="887">
      <c r="A887" s="19"/>
      <c r="B887" s="21"/>
      <c r="C887" s="19"/>
      <c r="D887" s="19"/>
    </row>
    <row r="888">
      <c r="A888" s="19"/>
      <c r="B888" s="21"/>
      <c r="C888" s="19"/>
      <c r="D888" s="19"/>
    </row>
    <row r="889">
      <c r="A889" s="19"/>
      <c r="B889" s="21"/>
      <c r="C889" s="19"/>
      <c r="D889" s="19"/>
    </row>
    <row r="890">
      <c r="A890" s="19"/>
      <c r="B890" s="21"/>
      <c r="C890" s="19"/>
      <c r="D890" s="19"/>
    </row>
    <row r="891">
      <c r="A891" s="19"/>
      <c r="B891" s="21"/>
      <c r="C891" s="19"/>
      <c r="D891" s="19"/>
    </row>
    <row r="892">
      <c r="A892" s="19"/>
      <c r="B892" s="21"/>
      <c r="C892" s="19"/>
      <c r="D892" s="19"/>
    </row>
    <row r="893">
      <c r="A893" s="19"/>
      <c r="B893" s="21"/>
      <c r="C893" s="19"/>
      <c r="D893" s="19"/>
    </row>
    <row r="894">
      <c r="A894" s="19"/>
      <c r="B894" s="21"/>
      <c r="C894" s="19"/>
      <c r="D894" s="19"/>
    </row>
    <row r="895">
      <c r="A895" s="19"/>
      <c r="B895" s="21"/>
      <c r="C895" s="19"/>
      <c r="D895" s="19"/>
    </row>
    <row r="896">
      <c r="A896" s="19"/>
      <c r="B896" s="21"/>
      <c r="C896" s="19"/>
      <c r="D896" s="19"/>
    </row>
    <row r="897">
      <c r="A897" s="19"/>
      <c r="B897" s="21"/>
      <c r="C897" s="19"/>
      <c r="D897" s="19"/>
    </row>
    <row r="898">
      <c r="A898" s="19"/>
      <c r="B898" s="21"/>
      <c r="C898" s="19"/>
      <c r="D898" s="19"/>
    </row>
    <row r="899">
      <c r="A899" s="19"/>
      <c r="B899" s="21"/>
      <c r="C899" s="19"/>
      <c r="D899" s="19"/>
    </row>
    <row r="900">
      <c r="A900" s="19"/>
      <c r="B900" s="21"/>
      <c r="C900" s="19"/>
      <c r="D900" s="19"/>
    </row>
    <row r="901">
      <c r="A901" s="19"/>
      <c r="B901" s="21"/>
      <c r="C901" s="19"/>
      <c r="D901" s="19"/>
    </row>
    <row r="902">
      <c r="A902" s="19"/>
      <c r="B902" s="21"/>
      <c r="C902" s="19"/>
      <c r="D902" s="19"/>
    </row>
    <row r="903">
      <c r="A903" s="19"/>
      <c r="B903" s="21"/>
      <c r="C903" s="19"/>
      <c r="D903" s="19"/>
    </row>
    <row r="904">
      <c r="A904" s="19"/>
      <c r="B904" s="21"/>
      <c r="C904" s="19"/>
      <c r="D904" s="19"/>
    </row>
    <row r="905">
      <c r="A905" s="19"/>
      <c r="B905" s="21"/>
      <c r="C905" s="19"/>
      <c r="D905" s="19"/>
    </row>
    <row r="906">
      <c r="A906" s="19"/>
      <c r="B906" s="21"/>
      <c r="C906" s="19"/>
      <c r="D906" s="19"/>
    </row>
    <row r="907">
      <c r="A907" s="19"/>
      <c r="B907" s="21"/>
      <c r="C907" s="19"/>
      <c r="D907" s="19"/>
    </row>
    <row r="908">
      <c r="A908" s="19"/>
      <c r="B908" s="21"/>
      <c r="C908" s="19"/>
      <c r="D908" s="19"/>
    </row>
    <row r="909">
      <c r="A909" s="19"/>
      <c r="B909" s="21"/>
      <c r="C909" s="19"/>
      <c r="D909" s="19"/>
    </row>
    <row r="910">
      <c r="A910" s="19"/>
      <c r="B910" s="21"/>
      <c r="C910" s="19"/>
      <c r="D910" s="19"/>
    </row>
    <row r="911">
      <c r="A911" s="19"/>
      <c r="B911" s="21"/>
      <c r="C911" s="19"/>
      <c r="D911" s="19"/>
    </row>
    <row r="912">
      <c r="A912" s="19"/>
      <c r="B912" s="21"/>
      <c r="C912" s="19"/>
      <c r="D912" s="19"/>
    </row>
    <row r="913">
      <c r="A913" s="19"/>
      <c r="B913" s="21"/>
      <c r="C913" s="19"/>
      <c r="D913" s="19"/>
    </row>
    <row r="914">
      <c r="A914" s="19"/>
      <c r="B914" s="21"/>
      <c r="C914" s="19"/>
      <c r="D914" s="19"/>
    </row>
    <row r="915">
      <c r="A915" s="19"/>
      <c r="B915" s="21"/>
      <c r="C915" s="19"/>
      <c r="D915" s="19"/>
    </row>
    <row r="916">
      <c r="A916" s="19"/>
      <c r="B916" s="21"/>
      <c r="C916" s="19"/>
      <c r="D916" s="19"/>
    </row>
    <row r="917">
      <c r="A917" s="19"/>
      <c r="B917" s="21"/>
      <c r="C917" s="19"/>
      <c r="D917" s="19"/>
    </row>
    <row r="918">
      <c r="A918" s="19"/>
      <c r="B918" s="21"/>
      <c r="C918" s="19"/>
      <c r="D918" s="19"/>
    </row>
    <row r="919">
      <c r="A919" s="19"/>
      <c r="B919" s="21"/>
      <c r="C919" s="19"/>
      <c r="D919" s="19"/>
    </row>
    <row r="920">
      <c r="A920" s="19"/>
      <c r="B920" s="21"/>
      <c r="C920" s="19"/>
      <c r="D920" s="19"/>
    </row>
    <row r="921">
      <c r="A921" s="19"/>
      <c r="B921" s="21"/>
      <c r="C921" s="19"/>
      <c r="D921" s="19"/>
    </row>
    <row r="922">
      <c r="A922" s="19"/>
      <c r="B922" s="21"/>
      <c r="C922" s="19"/>
      <c r="D922" s="19"/>
    </row>
    <row r="923">
      <c r="A923" s="19"/>
      <c r="B923" s="21"/>
      <c r="C923" s="19"/>
      <c r="D923" s="19"/>
    </row>
    <row r="924">
      <c r="A924" s="19"/>
      <c r="B924" s="21"/>
      <c r="C924" s="19"/>
      <c r="D924" s="19"/>
    </row>
    <row r="925">
      <c r="A925" s="19"/>
      <c r="B925" s="21"/>
      <c r="C925" s="19"/>
      <c r="D925" s="19"/>
    </row>
    <row r="926">
      <c r="A926" s="19"/>
      <c r="B926" s="21"/>
      <c r="C926" s="19"/>
      <c r="D926" s="19"/>
    </row>
    <row r="927">
      <c r="A927" s="19"/>
      <c r="B927" s="21"/>
      <c r="C927" s="19"/>
      <c r="D927" s="19"/>
    </row>
    <row r="928">
      <c r="A928" s="19"/>
      <c r="B928" s="21"/>
      <c r="C928" s="19"/>
      <c r="D928" s="19"/>
    </row>
    <row r="929">
      <c r="A929" s="19"/>
      <c r="B929" s="21"/>
      <c r="C929" s="19"/>
      <c r="D929" s="19"/>
    </row>
    <row r="930">
      <c r="A930" s="19"/>
      <c r="B930" s="21"/>
      <c r="C930" s="19"/>
      <c r="D930" s="19"/>
    </row>
    <row r="931">
      <c r="A931" s="19"/>
      <c r="B931" s="21"/>
      <c r="C931" s="19"/>
      <c r="D931" s="19"/>
    </row>
    <row r="932">
      <c r="A932" s="19"/>
      <c r="B932" s="21"/>
      <c r="C932" s="19"/>
      <c r="D932" s="19"/>
    </row>
    <row r="933">
      <c r="A933" s="19"/>
      <c r="B933" s="21"/>
      <c r="C933" s="19"/>
      <c r="D933" s="19"/>
    </row>
    <row r="934">
      <c r="A934" s="19"/>
      <c r="B934" s="21"/>
      <c r="C934" s="19"/>
      <c r="D934" s="19"/>
    </row>
    <row r="935">
      <c r="A935" s="19"/>
      <c r="B935" s="21"/>
      <c r="C935" s="19"/>
      <c r="D935" s="19"/>
    </row>
    <row r="936">
      <c r="A936" s="19"/>
      <c r="B936" s="21"/>
      <c r="C936" s="19"/>
      <c r="D936" s="19"/>
    </row>
    <row r="937">
      <c r="A937" s="19"/>
      <c r="B937" s="21"/>
      <c r="C937" s="19"/>
      <c r="D937" s="19"/>
    </row>
    <row r="938">
      <c r="A938" s="19"/>
      <c r="B938" s="21"/>
      <c r="C938" s="19"/>
      <c r="D938" s="19"/>
    </row>
    <row r="939">
      <c r="A939" s="19"/>
      <c r="B939" s="21"/>
      <c r="C939" s="19"/>
      <c r="D939" s="19"/>
    </row>
    <row r="940">
      <c r="A940" s="19"/>
      <c r="B940" s="21"/>
      <c r="C940" s="19"/>
      <c r="D940" s="19"/>
    </row>
    <row r="941">
      <c r="A941" s="19"/>
      <c r="B941" s="21"/>
      <c r="C941" s="19"/>
      <c r="D941" s="19"/>
    </row>
    <row r="942">
      <c r="A942" s="19"/>
      <c r="B942" s="21"/>
      <c r="C942" s="19"/>
      <c r="D942" s="19"/>
    </row>
    <row r="943">
      <c r="A943" s="19"/>
      <c r="B943" s="21"/>
      <c r="C943" s="19"/>
      <c r="D943" s="19"/>
    </row>
    <row r="944">
      <c r="A944" s="19"/>
      <c r="B944" s="21"/>
      <c r="C944" s="19"/>
      <c r="D944" s="19"/>
    </row>
    <row r="945">
      <c r="A945" s="19"/>
      <c r="B945" s="21"/>
      <c r="C945" s="19"/>
      <c r="D945" s="19"/>
    </row>
    <row r="946">
      <c r="A946" s="19"/>
      <c r="B946" s="21"/>
      <c r="C946" s="19"/>
      <c r="D946" s="19"/>
    </row>
    <row r="947">
      <c r="A947" s="19"/>
      <c r="B947" s="21"/>
      <c r="C947" s="19"/>
      <c r="D947" s="19"/>
    </row>
    <row r="948">
      <c r="A948" s="19"/>
      <c r="B948" s="21"/>
      <c r="C948" s="19"/>
      <c r="D948" s="19"/>
    </row>
    <row r="949">
      <c r="A949" s="19"/>
      <c r="B949" s="21"/>
      <c r="C949" s="19"/>
      <c r="D949" s="19"/>
    </row>
    <row r="950">
      <c r="A950" s="19"/>
      <c r="B950" s="21"/>
      <c r="C950" s="19"/>
      <c r="D950" s="19"/>
    </row>
    <row r="951">
      <c r="A951" s="19"/>
      <c r="B951" s="21"/>
      <c r="C951" s="19"/>
      <c r="D951" s="19"/>
    </row>
    <row r="952">
      <c r="A952" s="19"/>
      <c r="B952" s="21"/>
      <c r="C952" s="19"/>
      <c r="D952" s="19"/>
    </row>
    <row r="953">
      <c r="A953" s="19"/>
      <c r="B953" s="21"/>
      <c r="C953" s="19"/>
      <c r="D953" s="19"/>
    </row>
    <row r="954">
      <c r="A954" s="19"/>
      <c r="B954" s="21"/>
      <c r="C954" s="19"/>
      <c r="D954" s="19"/>
    </row>
    <row r="955">
      <c r="A955" s="19"/>
      <c r="B955" s="21"/>
      <c r="C955" s="19"/>
      <c r="D955" s="19"/>
    </row>
    <row r="956">
      <c r="A956" s="19"/>
      <c r="B956" s="21"/>
      <c r="C956" s="19"/>
      <c r="D956" s="19"/>
    </row>
    <row r="957">
      <c r="A957" s="19"/>
      <c r="B957" s="21"/>
      <c r="C957" s="19"/>
      <c r="D957" s="19"/>
    </row>
    <row r="958">
      <c r="A958" s="19"/>
      <c r="B958" s="21"/>
      <c r="C958" s="19"/>
      <c r="D958" s="19"/>
    </row>
    <row r="959">
      <c r="A959" s="19"/>
      <c r="B959" s="21"/>
      <c r="C959" s="19"/>
      <c r="D959" s="19"/>
    </row>
    <row r="960">
      <c r="A960" s="19"/>
      <c r="B960" s="21"/>
      <c r="C960" s="19"/>
      <c r="D960" s="19"/>
    </row>
    <row r="961">
      <c r="A961" s="19"/>
      <c r="B961" s="21"/>
      <c r="C961" s="19"/>
      <c r="D961" s="19"/>
    </row>
    <row r="962">
      <c r="A962" s="19"/>
      <c r="B962" s="21"/>
      <c r="C962" s="19"/>
      <c r="D962" s="19"/>
    </row>
    <row r="963">
      <c r="A963" s="19"/>
      <c r="B963" s="21"/>
      <c r="C963" s="19"/>
      <c r="D963" s="19"/>
    </row>
    <row r="964">
      <c r="A964" s="19"/>
      <c r="B964" s="21"/>
      <c r="C964" s="19"/>
      <c r="D964" s="19"/>
    </row>
    <row r="965">
      <c r="A965" s="19"/>
      <c r="B965" s="21"/>
      <c r="C965" s="19"/>
      <c r="D965" s="19"/>
    </row>
    <row r="966">
      <c r="A966" s="19"/>
      <c r="B966" s="21"/>
      <c r="C966" s="19"/>
      <c r="D966" s="19"/>
    </row>
    <row r="967">
      <c r="A967" s="19"/>
      <c r="B967" s="21"/>
      <c r="C967" s="19"/>
      <c r="D967" s="19"/>
    </row>
    <row r="968">
      <c r="A968" s="19"/>
      <c r="B968" s="21"/>
      <c r="C968" s="19"/>
      <c r="D968" s="19"/>
    </row>
    <row r="969">
      <c r="A969" s="19"/>
      <c r="B969" s="21"/>
      <c r="C969" s="19"/>
      <c r="D969" s="19"/>
    </row>
    <row r="970">
      <c r="A970" s="19"/>
      <c r="B970" s="21"/>
      <c r="C970" s="19"/>
      <c r="D970" s="19"/>
    </row>
    <row r="971">
      <c r="A971" s="19"/>
      <c r="B971" s="21"/>
      <c r="C971" s="19"/>
      <c r="D971" s="19"/>
    </row>
    <row r="972">
      <c r="A972" s="19"/>
      <c r="B972" s="21"/>
      <c r="C972" s="19"/>
      <c r="D972" s="19"/>
    </row>
    <row r="973">
      <c r="A973" s="19"/>
      <c r="B973" s="21"/>
      <c r="C973" s="19"/>
      <c r="D973" s="19"/>
    </row>
    <row r="974">
      <c r="A974" s="19"/>
      <c r="B974" s="21"/>
      <c r="C974" s="19"/>
      <c r="D974" s="19"/>
    </row>
    <row r="975">
      <c r="A975" s="19"/>
      <c r="B975" s="21"/>
      <c r="C975" s="19"/>
      <c r="D975" s="19"/>
    </row>
    <row r="976">
      <c r="A976" s="19"/>
      <c r="B976" s="21"/>
      <c r="C976" s="19"/>
      <c r="D976" s="19"/>
    </row>
    <row r="977">
      <c r="A977" s="19"/>
      <c r="B977" s="21"/>
      <c r="C977" s="19"/>
      <c r="D977" s="19"/>
    </row>
    <row r="978">
      <c r="A978" s="19"/>
      <c r="B978" s="21"/>
      <c r="C978" s="19"/>
      <c r="D978" s="19"/>
    </row>
    <row r="979">
      <c r="A979" s="19"/>
      <c r="B979" s="21"/>
      <c r="C979" s="19"/>
      <c r="D979" s="19"/>
    </row>
    <row r="980">
      <c r="A980" s="19"/>
      <c r="B980" s="21"/>
      <c r="C980" s="19"/>
      <c r="D980" s="19"/>
    </row>
    <row r="981">
      <c r="A981" s="19"/>
      <c r="B981" s="21"/>
      <c r="C981" s="19"/>
      <c r="D981" s="19"/>
    </row>
    <row r="982">
      <c r="A982" s="19"/>
      <c r="B982" s="21"/>
      <c r="C982" s="19"/>
      <c r="D982" s="19"/>
    </row>
    <row r="983">
      <c r="A983" s="19"/>
      <c r="B983" s="21"/>
      <c r="C983" s="19"/>
      <c r="D983" s="19"/>
    </row>
    <row r="984">
      <c r="A984" s="19"/>
      <c r="B984" s="21"/>
      <c r="C984" s="19"/>
      <c r="D984" s="19"/>
    </row>
    <row r="985">
      <c r="A985" s="19"/>
      <c r="B985" s="21"/>
      <c r="C985" s="19"/>
      <c r="D985" s="19"/>
    </row>
    <row r="986">
      <c r="A986" s="19"/>
      <c r="B986" s="21"/>
      <c r="C986" s="19"/>
      <c r="D986" s="19"/>
    </row>
    <row r="987">
      <c r="A987" s="19"/>
      <c r="B987" s="21"/>
      <c r="C987" s="19"/>
      <c r="D987" s="19"/>
    </row>
    <row r="988">
      <c r="A988" s="19"/>
      <c r="B988" s="21"/>
      <c r="C988" s="19"/>
      <c r="D988" s="19"/>
    </row>
    <row r="989">
      <c r="A989" s="19"/>
      <c r="B989" s="21"/>
      <c r="C989" s="19"/>
      <c r="D989" s="19"/>
    </row>
    <row r="990">
      <c r="A990" s="19"/>
      <c r="B990" s="21"/>
      <c r="C990" s="19"/>
      <c r="D990" s="19"/>
    </row>
    <row r="991">
      <c r="A991" s="19"/>
      <c r="B991" s="21"/>
      <c r="C991" s="19"/>
      <c r="D991" s="19"/>
    </row>
    <row r="992">
      <c r="A992" s="19"/>
      <c r="B992" s="21"/>
      <c r="C992" s="19"/>
      <c r="D992" s="19"/>
    </row>
    <row r="993">
      <c r="A993" s="19"/>
      <c r="B993" s="21"/>
      <c r="C993" s="19"/>
      <c r="D993" s="19"/>
    </row>
    <row r="994">
      <c r="A994" s="19"/>
      <c r="B994" s="21"/>
      <c r="C994" s="19"/>
      <c r="D994" s="19"/>
    </row>
    <row r="995">
      <c r="A995" s="19"/>
      <c r="B995" s="21"/>
      <c r="C995" s="19"/>
      <c r="D995" s="19"/>
    </row>
    <row r="996">
      <c r="A996" s="19"/>
      <c r="B996" s="21"/>
      <c r="C996" s="19"/>
      <c r="D996" s="19"/>
    </row>
    <row r="997">
      <c r="A997" s="19"/>
      <c r="B997" s="21"/>
      <c r="C997" s="19"/>
      <c r="D997" s="19"/>
    </row>
    <row r="998">
      <c r="A998" s="19"/>
      <c r="B998" s="21"/>
      <c r="C998" s="19"/>
      <c r="D998" s="19"/>
    </row>
    <row r="999">
      <c r="A999" s="19"/>
      <c r="B999" s="21"/>
      <c r="C999" s="19"/>
      <c r="D999" s="19"/>
    </row>
    <row r="1000">
      <c r="A1000" s="19"/>
      <c r="B1000" s="21"/>
      <c r="C1000" s="19"/>
      <c r="D1000" s="19"/>
    </row>
  </sheetData>
  <drawing r:id="rId1"/>
</worksheet>
</file>