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75" yWindow="720" windowWidth="18030" windowHeight="10800" firstSheet="2" activeTab="14"/>
  </bookViews>
  <sheets>
    <sheet name="Instructions" sheetId="29" r:id="rId1"/>
    <sheet name="Yearly Summary " sheetId="27" r:id="rId2"/>
    <sheet name="Projection" sheetId="28" r:id="rId3"/>
    <sheet name="JANUARY" sheetId="22" r:id="rId4"/>
    <sheet name="FEBRUARY" sheetId="21" r:id="rId5"/>
    <sheet name="MARCH" sheetId="20" r:id="rId6"/>
    <sheet name="APRIL" sheetId="19" r:id="rId7"/>
    <sheet name="MAY" sheetId="18" r:id="rId8"/>
    <sheet name="JUNE" sheetId="17" r:id="rId9"/>
    <sheet name="JULY" sheetId="24" r:id="rId10"/>
    <sheet name="AUGUST" sheetId="23" r:id="rId11"/>
    <sheet name="SEPTEMBER" sheetId="16" r:id="rId12"/>
    <sheet name="OCTOBER" sheetId="6" r:id="rId13"/>
    <sheet name="NOVEMBER" sheetId="25" r:id="rId14"/>
    <sheet name="DECEMBER" sheetId="26" r:id="rId15"/>
  </sheets>
  <externalReferences>
    <externalReference r:id="rId16"/>
  </externalReferences>
  <calcPr calcId="125725"/>
</workbook>
</file>

<file path=xl/calcChain.xml><?xml version="1.0" encoding="utf-8"?>
<calcChain xmlns="http://schemas.openxmlformats.org/spreadsheetml/2006/main">
  <c r="AI22" i="28"/>
  <c r="AH22"/>
  <c r="AG22"/>
  <c r="AF22"/>
  <c r="E41" i="27"/>
  <c r="E55" l="1"/>
  <c r="D55"/>
  <c r="C55"/>
  <c r="D54"/>
  <c r="C54"/>
  <c r="E54" s="1"/>
  <c r="AF11"/>
  <c r="Z40" i="26" l="1"/>
  <c r="Y40"/>
  <c r="D40"/>
  <c r="Z40" i="25"/>
  <c r="Y40"/>
  <c r="D40"/>
  <c r="D40" i="6"/>
  <c r="Z40"/>
  <c r="Y40"/>
  <c r="D40" i="16"/>
  <c r="Z40"/>
  <c r="Y40"/>
  <c r="D40" i="23"/>
  <c r="Z40"/>
  <c r="Y40"/>
  <c r="Z40" i="24"/>
  <c r="Y40"/>
  <c r="D40"/>
  <c r="D40" i="17"/>
  <c r="Y40"/>
  <c r="Z40"/>
  <c r="Z40" i="18"/>
  <c r="Y40"/>
  <c r="D40"/>
  <c r="Z40" i="19"/>
  <c r="Y40"/>
  <c r="D40"/>
  <c r="D40" i="20"/>
  <c r="Z40"/>
  <c r="Y40"/>
  <c r="D40" i="21"/>
  <c r="Z40"/>
  <c r="Y40"/>
  <c r="Z40" i="22"/>
  <c r="Y40"/>
  <c r="D40"/>
  <c r="AC40" i="26"/>
  <c r="I40"/>
  <c r="B40"/>
  <c r="AC40" i="25"/>
  <c r="I40"/>
  <c r="B40"/>
  <c r="AC40" i="6"/>
  <c r="I40"/>
  <c r="B40"/>
  <c r="AC40" i="16"/>
  <c r="I40"/>
  <c r="B40"/>
  <c r="AC40" i="23"/>
  <c r="I40"/>
  <c r="B40"/>
  <c r="AC40" i="24"/>
  <c r="I40"/>
  <c r="B40"/>
  <c r="AC40" i="17"/>
  <c r="I40"/>
  <c r="B40"/>
  <c r="AC40" i="18"/>
  <c r="I40"/>
  <c r="B40"/>
  <c r="AC40" i="19"/>
  <c r="I40"/>
  <c r="B40"/>
  <c r="AC40" i="20"/>
  <c r="I40"/>
  <c r="B40"/>
  <c r="AC40" i="21"/>
  <c r="I40"/>
  <c r="B40"/>
  <c r="AC40" i="22"/>
  <c r="I40"/>
  <c r="B40"/>
  <c r="H40" i="26"/>
  <c r="H40" i="25"/>
  <c r="H40" i="6"/>
  <c r="H40" i="16"/>
  <c r="H40" i="23"/>
  <c r="H40" i="24"/>
  <c r="H40" i="17"/>
  <c r="H40" i="18"/>
  <c r="H40" i="19"/>
  <c r="H40" i="20"/>
  <c r="H40" i="21"/>
  <c r="H40" i="22"/>
  <c r="T40" i="26"/>
  <c r="S40"/>
  <c r="J40"/>
  <c r="C40"/>
  <c r="T40" i="25"/>
  <c r="S40"/>
  <c r="J40"/>
  <c r="C40"/>
  <c r="T40" i="6"/>
  <c r="S40"/>
  <c r="J40"/>
  <c r="C40"/>
  <c r="T40" i="16"/>
  <c r="S40"/>
  <c r="J40"/>
  <c r="C40"/>
  <c r="T40" i="23"/>
  <c r="S40"/>
  <c r="J40"/>
  <c r="C40"/>
  <c r="T40" i="24"/>
  <c r="S40"/>
  <c r="J40"/>
  <c r="C40"/>
  <c r="T40" i="17"/>
  <c r="S40"/>
  <c r="J40"/>
  <c r="C40"/>
  <c r="T40" i="18"/>
  <c r="S40"/>
  <c r="J40"/>
  <c r="C40"/>
  <c r="T40" i="19"/>
  <c r="S40"/>
  <c r="J40"/>
  <c r="C40"/>
  <c r="AB28" i="28"/>
  <c r="T40" i="20"/>
  <c r="S40"/>
  <c r="J40"/>
  <c r="C40"/>
  <c r="T40" i="21"/>
  <c r="S40"/>
  <c r="J40"/>
  <c r="C40"/>
  <c r="T40" i="22"/>
  <c r="S40"/>
  <c r="J40"/>
  <c r="C40"/>
  <c r="AB40" i="26"/>
  <c r="V40"/>
  <c r="U40"/>
  <c r="AB40" i="25"/>
  <c r="V40"/>
  <c r="U40"/>
  <c r="AB40" i="6"/>
  <c r="V40"/>
  <c r="U40"/>
  <c r="AB40" i="16"/>
  <c r="V40"/>
  <c r="U40"/>
  <c r="AB40" i="23"/>
  <c r="V40"/>
  <c r="U40"/>
  <c r="AB40" i="24"/>
  <c r="V40"/>
  <c r="U40"/>
  <c r="AB40" i="17"/>
  <c r="V40"/>
  <c r="U40"/>
  <c r="AB40" i="18"/>
  <c r="V40"/>
  <c r="U40"/>
  <c r="AB40" i="19"/>
  <c r="V40"/>
  <c r="U40"/>
  <c r="AB40" i="20"/>
  <c r="V40"/>
  <c r="U40"/>
  <c r="AB40" i="21"/>
  <c r="V40"/>
  <c r="U40"/>
  <c r="AB40" i="22"/>
  <c r="V40"/>
  <c r="U40"/>
  <c r="K40" i="26"/>
  <c r="E40"/>
  <c r="K40" i="25"/>
  <c r="E40"/>
  <c r="K40" i="6"/>
  <c r="E40"/>
  <c r="K40" i="16"/>
  <c r="E40"/>
  <c r="K40" i="23"/>
  <c r="E40"/>
  <c r="K40" i="24"/>
  <c r="E40"/>
  <c r="K40" i="17"/>
  <c r="E40"/>
  <c r="K40" i="18"/>
  <c r="E40"/>
  <c r="K40" i="19"/>
  <c r="E40"/>
  <c r="K40" i="20"/>
  <c r="E40"/>
  <c r="K40" i="21"/>
  <c r="E40"/>
  <c r="K40" i="22"/>
  <c r="E40"/>
  <c r="L40" i="26"/>
  <c r="L40" i="25"/>
  <c r="L40" i="6"/>
  <c r="L40" i="16"/>
  <c r="L40" i="23"/>
  <c r="L40" i="24"/>
  <c r="L40" i="17"/>
  <c r="L40" i="18"/>
  <c r="L40" i="19"/>
  <c r="L40" i="20"/>
  <c r="L40" i="21"/>
  <c r="L40" i="22"/>
  <c r="G40" i="26"/>
  <c r="G40" i="25"/>
  <c r="G40" i="6"/>
  <c r="G40" i="24"/>
  <c r="G40" i="16"/>
  <c r="G40" i="23"/>
  <c r="G40" i="17"/>
  <c r="G40" i="18"/>
  <c r="G40" i="19"/>
  <c r="G40" i="20"/>
  <c r="G40" i="21"/>
  <c r="G40" i="22"/>
  <c r="N40" i="25"/>
  <c r="M40"/>
  <c r="F40"/>
  <c r="N40" i="6"/>
  <c r="M40"/>
  <c r="F40"/>
  <c r="N40" i="16"/>
  <c r="M40"/>
  <c r="F40"/>
  <c r="N40" i="23"/>
  <c r="M40"/>
  <c r="F40"/>
  <c r="N40" i="24"/>
  <c r="M40"/>
  <c r="F40"/>
  <c r="N40" i="17"/>
  <c r="M40"/>
  <c r="F40"/>
  <c r="N40" i="18"/>
  <c r="M40"/>
  <c r="F40"/>
  <c r="N40" i="19"/>
  <c r="M40"/>
  <c r="F40"/>
  <c r="N40" i="20"/>
  <c r="M40"/>
  <c r="F40"/>
  <c r="N40" i="21"/>
  <c r="M40"/>
  <c r="F40"/>
  <c r="N40" i="22"/>
  <c r="M40"/>
  <c r="F40"/>
  <c r="X40" i="26"/>
  <c r="W40"/>
  <c r="X40" i="25"/>
  <c r="W40"/>
  <c r="X40" i="6"/>
  <c r="W40"/>
  <c r="X40" i="16"/>
  <c r="W40"/>
  <c r="X40" i="23"/>
  <c r="W40"/>
  <c r="X40" i="24"/>
  <c r="W40"/>
  <c r="X40" i="17"/>
  <c r="W40"/>
  <c r="X40" i="18"/>
  <c r="W40"/>
  <c r="X40" i="19"/>
  <c r="W40"/>
  <c r="X40" i="20"/>
  <c r="W40"/>
  <c r="X40" i="21"/>
  <c r="W40"/>
  <c r="X40" i="22"/>
  <c r="W40"/>
  <c r="B45" i="6"/>
  <c r="AH19" i="28" l="1"/>
  <c r="AF19"/>
  <c r="AD9" s="1"/>
  <c r="AI10"/>
  <c r="AG10"/>
  <c r="AF40" i="24" l="1"/>
  <c r="AE40"/>
  <c r="AD40"/>
  <c r="AG40"/>
  <c r="AG40" i="16"/>
  <c r="H48" i="26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G40" s="1"/>
  <c r="AD40"/>
  <c r="B49" s="1"/>
  <c r="N40"/>
  <c r="M40"/>
  <c r="F40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V39"/>
  <c r="V41" s="1"/>
  <c r="U39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H48" i="25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V39"/>
  <c r="V41" s="1"/>
  <c r="U39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C39"/>
  <c r="B39"/>
  <c r="A18"/>
  <c r="A19" s="1"/>
  <c r="A20" s="1"/>
  <c r="A24" s="1"/>
  <c r="A28" s="1"/>
  <c r="A29" s="1"/>
  <c r="A37" s="1"/>
  <c r="H48" i="6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G40" s="1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V39"/>
  <c r="V41" s="1"/>
  <c r="U39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F40" i="23"/>
  <c r="AE40"/>
  <c r="AG40" s="1"/>
  <c r="AD40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49"/>
  <c r="E49"/>
  <c r="B49"/>
  <c r="H48"/>
  <c r="E48"/>
  <c r="B48"/>
  <c r="H47"/>
  <c r="E47"/>
  <c r="B47"/>
  <c r="B46"/>
  <c r="AQ40"/>
  <c r="AP40"/>
  <c r="AO40"/>
  <c r="AN40"/>
  <c r="AM40"/>
  <c r="AL40"/>
  <c r="AK40"/>
  <c r="AJ40"/>
  <c r="AI40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X41" s="1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F41" s="1"/>
  <c r="E39"/>
  <c r="T49" s="1"/>
  <c r="U49" s="1"/>
  <c r="D39"/>
  <c r="T54" s="1"/>
  <c r="U54" s="1"/>
  <c r="C39"/>
  <c r="T51" s="1"/>
  <c r="U51" s="1"/>
  <c r="B39"/>
  <c r="T53" s="1"/>
  <c r="U53" s="1"/>
  <c r="A9" i="24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48"/>
  <c r="E48"/>
  <c r="B48"/>
  <c r="H47"/>
  <c r="E47"/>
  <c r="B47"/>
  <c r="B46"/>
  <c r="AQ40"/>
  <c r="AP40"/>
  <c r="AO40"/>
  <c r="AN40"/>
  <c r="AM40"/>
  <c r="AL40"/>
  <c r="AK40"/>
  <c r="AJ40"/>
  <c r="AI40"/>
  <c r="E49"/>
  <c r="B49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X41" s="1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F41" s="1"/>
  <c r="E39"/>
  <c r="T49" s="1"/>
  <c r="U49" s="1"/>
  <c r="D39"/>
  <c r="T54" s="1"/>
  <c r="U54" s="1"/>
  <c r="C39"/>
  <c r="T51" s="1"/>
  <c r="U51" s="1"/>
  <c r="B39"/>
  <c r="T53" s="1"/>
  <c r="U53" s="1"/>
  <c r="A9" i="17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H48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G40" s="1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X41" s="1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F41" s="1"/>
  <c r="E39"/>
  <c r="T49" s="1"/>
  <c r="U49" s="1"/>
  <c r="D39"/>
  <c r="T54" s="1"/>
  <c r="U54" s="1"/>
  <c r="C39"/>
  <c r="T51" s="1"/>
  <c r="U51" s="1"/>
  <c r="B39"/>
  <c r="T53" s="1"/>
  <c r="U53" s="1"/>
  <c r="AG40" i="18"/>
  <c r="E46" s="1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48"/>
  <c r="E48"/>
  <c r="B48"/>
  <c r="H47"/>
  <c r="E47"/>
  <c r="B47"/>
  <c r="H46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9" i="1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H48"/>
  <c r="E48"/>
  <c r="B48"/>
  <c r="H47"/>
  <c r="E47"/>
  <c r="B47"/>
  <c r="H46"/>
  <c r="E46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X41"/>
  <c r="W41"/>
  <c r="N41"/>
  <c r="M41"/>
  <c r="F4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T46" s="1"/>
  <c r="U46" s="1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9" i="20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48"/>
  <c r="E48"/>
  <c r="B48"/>
  <c r="H47"/>
  <c r="E47"/>
  <c r="B47"/>
  <c r="H46"/>
  <c r="E46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X41"/>
  <c r="W41"/>
  <c r="N41"/>
  <c r="M41"/>
  <c r="F4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T46" s="1"/>
  <c r="U46" s="1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T50" i="26" l="1"/>
  <c r="U50" s="1"/>
  <c r="T45"/>
  <c r="U45" s="1"/>
  <c r="T46"/>
  <c r="U46" s="1"/>
  <c r="M41"/>
  <c r="W41"/>
  <c r="AJ41"/>
  <c r="AL41"/>
  <c r="AN41"/>
  <c r="AP41"/>
  <c r="F41"/>
  <c r="N41"/>
  <c r="X41"/>
  <c r="AI41"/>
  <c r="AK41"/>
  <c r="AM41"/>
  <c r="AO41"/>
  <c r="AQ41"/>
  <c r="T50" i="25"/>
  <c r="U50" s="1"/>
  <c r="T45"/>
  <c r="U45" s="1"/>
  <c r="T51"/>
  <c r="U51" s="1"/>
  <c r="T53"/>
  <c r="U53" s="1"/>
  <c r="T54"/>
  <c r="U54" s="1"/>
  <c r="T46"/>
  <c r="U46" s="1"/>
  <c r="M41"/>
  <c r="W41"/>
  <c r="AJ41"/>
  <c r="AL41"/>
  <c r="AN41"/>
  <c r="AP41"/>
  <c r="F41"/>
  <c r="N41"/>
  <c r="X41"/>
  <c r="AG40"/>
  <c r="E46" s="1"/>
  <c r="AI41"/>
  <c r="AK41"/>
  <c r="AM41"/>
  <c r="AO41"/>
  <c r="AQ41"/>
  <c r="T50" i="6"/>
  <c r="U50" s="1"/>
  <c r="T45"/>
  <c r="U45" s="1"/>
  <c r="AJ41"/>
  <c r="AL41"/>
  <c r="AN41"/>
  <c r="AP41"/>
  <c r="AI41"/>
  <c r="AK41"/>
  <c r="AM41"/>
  <c r="AO41"/>
  <c r="AQ41"/>
  <c r="AJ41" i="23"/>
  <c r="AL41"/>
  <c r="AN41"/>
  <c r="AP41"/>
  <c r="AI41"/>
  <c r="AK41"/>
  <c r="AM41"/>
  <c r="AO41"/>
  <c r="AQ41"/>
  <c r="AJ41" i="24"/>
  <c r="AL41"/>
  <c r="AN41"/>
  <c r="AP41"/>
  <c r="AI41"/>
  <c r="AK41"/>
  <c r="AM41"/>
  <c r="AO41"/>
  <c r="AQ41"/>
  <c r="AJ41" i="17"/>
  <c r="AL41"/>
  <c r="AN41"/>
  <c r="AP41"/>
  <c r="AI41"/>
  <c r="AK41"/>
  <c r="AM41"/>
  <c r="AO41"/>
  <c r="AQ41"/>
  <c r="AI41" i="19"/>
  <c r="AK41"/>
  <c r="AM41"/>
  <c r="AO41"/>
  <c r="AQ41"/>
  <c r="AJ41"/>
  <c r="AL41"/>
  <c r="AN41"/>
  <c r="AP41"/>
  <c r="AJ41" i="20"/>
  <c r="AL41"/>
  <c r="AN41"/>
  <c r="AP41"/>
  <c r="AI41"/>
  <c r="AK41"/>
  <c r="AM41"/>
  <c r="AO41"/>
  <c r="AQ41"/>
  <c r="E45" i="26"/>
  <c r="H46"/>
  <c r="E46"/>
  <c r="C41"/>
  <c r="E41"/>
  <c r="G41"/>
  <c r="U41"/>
  <c r="H44" s="1"/>
  <c r="T48"/>
  <c r="U48" s="1"/>
  <c r="H49"/>
  <c r="B41"/>
  <c r="D41"/>
  <c r="H41"/>
  <c r="C41" i="25"/>
  <c r="E41"/>
  <c r="G41"/>
  <c r="U41"/>
  <c r="T48"/>
  <c r="U48" s="1"/>
  <c r="H49"/>
  <c r="B41"/>
  <c r="D41"/>
  <c r="H41"/>
  <c r="T46" i="6"/>
  <c r="U46" s="1"/>
  <c r="M41"/>
  <c r="W41"/>
  <c r="F41"/>
  <c r="N41"/>
  <c r="X41"/>
  <c r="E45"/>
  <c r="H45"/>
  <c r="H46"/>
  <c r="E46"/>
  <c r="C41"/>
  <c r="E41"/>
  <c r="G41"/>
  <c r="U41"/>
  <c r="T48"/>
  <c r="U48" s="1"/>
  <c r="H49"/>
  <c r="B41"/>
  <c r="D41"/>
  <c r="H41"/>
  <c r="H46" i="23"/>
  <c r="E46"/>
  <c r="T46"/>
  <c r="U46" s="1"/>
  <c r="E45"/>
  <c r="B45"/>
  <c r="C41"/>
  <c r="E41"/>
  <c r="G41"/>
  <c r="M41"/>
  <c r="U41"/>
  <c r="W41"/>
  <c r="T48"/>
  <c r="U48" s="1"/>
  <c r="B41"/>
  <c r="D41"/>
  <c r="H41"/>
  <c r="T46" i="24"/>
  <c r="U46" s="1"/>
  <c r="E45"/>
  <c r="H45"/>
  <c r="B45"/>
  <c r="H46"/>
  <c r="E46"/>
  <c r="C41"/>
  <c r="E41"/>
  <c r="G41"/>
  <c r="M41"/>
  <c r="U41"/>
  <c r="W41"/>
  <c r="T48"/>
  <c r="U48" s="1"/>
  <c r="H49"/>
  <c r="B41"/>
  <c r="D41"/>
  <c r="H41"/>
  <c r="T46" i="17"/>
  <c r="U46" s="1"/>
  <c r="E45"/>
  <c r="B45"/>
  <c r="H46"/>
  <c r="E46"/>
  <c r="C41"/>
  <c r="E41"/>
  <c r="G41"/>
  <c r="M41"/>
  <c r="U41"/>
  <c r="W41"/>
  <c r="T48"/>
  <c r="U48" s="1"/>
  <c r="H49"/>
  <c r="B41"/>
  <c r="D41"/>
  <c r="H41"/>
  <c r="F41" i="18"/>
  <c r="N41"/>
  <c r="X41"/>
  <c r="AI41"/>
  <c r="AK41"/>
  <c r="AM41"/>
  <c r="AO41"/>
  <c r="AQ41"/>
  <c r="T46"/>
  <c r="U46" s="1"/>
  <c r="M41"/>
  <c r="W41"/>
  <c r="AJ41"/>
  <c r="AL41"/>
  <c r="AN41"/>
  <c r="AP41"/>
  <c r="C41"/>
  <c r="E41"/>
  <c r="G41"/>
  <c r="U41"/>
  <c r="H44" s="1"/>
  <c r="T48"/>
  <c r="U48" s="1"/>
  <c r="B41"/>
  <c r="D41"/>
  <c r="H41"/>
  <c r="E45" i="19"/>
  <c r="H45"/>
  <c r="B45"/>
  <c r="C41"/>
  <c r="E41"/>
  <c r="G41"/>
  <c r="U41"/>
  <c r="H44" s="1"/>
  <c r="H50" s="1"/>
  <c r="H51" s="1"/>
  <c r="E36" i="27" s="1"/>
  <c r="T48" i="19"/>
  <c r="U48" s="1"/>
  <c r="B41"/>
  <c r="D41"/>
  <c r="H41"/>
  <c r="E45" i="20"/>
  <c r="H45"/>
  <c r="B45"/>
  <c r="C41"/>
  <c r="E41"/>
  <c r="G41"/>
  <c r="U41"/>
  <c r="H44" s="1"/>
  <c r="H50" s="1"/>
  <c r="H51" s="1"/>
  <c r="E35" i="27" s="1"/>
  <c r="T48" i="20"/>
  <c r="U48" s="1"/>
  <c r="B41"/>
  <c r="D41"/>
  <c r="H41"/>
  <c r="H44" i="6" l="1"/>
  <c r="H50" s="1"/>
  <c r="H51" s="1"/>
  <c r="E42" i="27" s="1"/>
  <c r="B45" i="26"/>
  <c r="H45"/>
  <c r="H50" s="1"/>
  <c r="H51" s="1"/>
  <c r="E44" i="27" s="1"/>
  <c r="E45" i="25"/>
  <c r="H44"/>
  <c r="B45"/>
  <c r="H45"/>
  <c r="H46"/>
  <c r="H45" i="23"/>
  <c r="H45" i="17"/>
  <c r="E45" i="18"/>
  <c r="B45"/>
  <c r="H45"/>
  <c r="H50" s="1"/>
  <c r="H51" s="1"/>
  <c r="E37" i="27" s="1"/>
  <c r="B44" i="26"/>
  <c r="B50" s="1"/>
  <c r="B51" s="1"/>
  <c r="C44" i="27" s="1"/>
  <c r="E44" i="26"/>
  <c r="E50" s="1"/>
  <c r="E51" s="1"/>
  <c r="D44" i="27" s="1"/>
  <c r="B44" i="25"/>
  <c r="B50" s="1"/>
  <c r="B51" s="1"/>
  <c r="C43" i="27" s="1"/>
  <c r="E44" i="25"/>
  <c r="E50" s="1"/>
  <c r="E51" s="1"/>
  <c r="D43" i="27" s="1"/>
  <c r="B44" i="6"/>
  <c r="B50" s="1"/>
  <c r="B51" s="1"/>
  <c r="C42" i="27" s="1"/>
  <c r="E44" i="6"/>
  <c r="E50" s="1"/>
  <c r="E51" s="1"/>
  <c r="D42" i="27" s="1"/>
  <c r="H44" i="23"/>
  <c r="H50" s="1"/>
  <c r="H51" s="1"/>
  <c r="E40" i="27" s="1"/>
  <c r="B44" i="23"/>
  <c r="B50" s="1"/>
  <c r="B51" s="1"/>
  <c r="C40" i="27" s="1"/>
  <c r="E44" i="23"/>
  <c r="E50" s="1"/>
  <c r="E51" s="1"/>
  <c r="D40" i="27" s="1"/>
  <c r="H44" i="24"/>
  <c r="H50" s="1"/>
  <c r="H51" s="1"/>
  <c r="E39" i="27" s="1"/>
  <c r="B44" i="24"/>
  <c r="B50" s="1"/>
  <c r="B51" s="1"/>
  <c r="C39" i="27" s="1"/>
  <c r="E44" i="24"/>
  <c r="E50" s="1"/>
  <c r="E51" s="1"/>
  <c r="D39" i="27" s="1"/>
  <c r="H44" i="17"/>
  <c r="H50" s="1"/>
  <c r="H51" s="1"/>
  <c r="E38" i="27" s="1"/>
  <c r="B44" i="17"/>
  <c r="B50" s="1"/>
  <c r="B51" s="1"/>
  <c r="C38" i="27" s="1"/>
  <c r="E44" i="17"/>
  <c r="E50" s="1"/>
  <c r="E51" s="1"/>
  <c r="D38" i="27" s="1"/>
  <c r="B44" i="18"/>
  <c r="B50" s="1"/>
  <c r="B51" s="1"/>
  <c r="C37" i="27" s="1"/>
  <c r="E44" i="18"/>
  <c r="E50" s="1"/>
  <c r="E51" s="1"/>
  <c r="D37" i="27" s="1"/>
  <c r="B44" i="19"/>
  <c r="B50" s="1"/>
  <c r="B51" s="1"/>
  <c r="C36" i="27" s="1"/>
  <c r="E44" i="19"/>
  <c r="E50" s="1"/>
  <c r="E51" s="1"/>
  <c r="D36" i="27" s="1"/>
  <c r="B44" i="20"/>
  <c r="B50" s="1"/>
  <c r="B51" s="1"/>
  <c r="C35" i="27" s="1"/>
  <c r="E44" i="20"/>
  <c r="E50" s="1"/>
  <c r="E51" s="1"/>
  <c r="D35" i="27" s="1"/>
  <c r="A9" i="2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H50" i="25" l="1"/>
  <c r="H51" s="1"/>
  <c r="E43" i="27" s="1"/>
  <c r="H48" i="21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J41" l="1"/>
  <c r="AL41"/>
  <c r="AN41"/>
  <c r="AP41"/>
  <c r="AI41"/>
  <c r="AK41"/>
  <c r="AM41"/>
  <c r="AO41"/>
  <c r="AQ41"/>
  <c r="B45" s="1"/>
  <c r="F41"/>
  <c r="N41"/>
  <c r="X41"/>
  <c r="T46"/>
  <c r="U46" s="1"/>
  <c r="T45"/>
  <c r="U45" s="1"/>
  <c r="M41"/>
  <c r="W41"/>
  <c r="E45"/>
  <c r="H46"/>
  <c r="E46"/>
  <c r="C41"/>
  <c r="E41"/>
  <c r="G41"/>
  <c r="U41"/>
  <c r="T48"/>
  <c r="U48" s="1"/>
  <c r="H49"/>
  <c r="B41"/>
  <c r="D41"/>
  <c r="H41"/>
  <c r="H44" l="1"/>
  <c r="H45"/>
  <c r="H50"/>
  <c r="H51" s="1"/>
  <c r="E34" i="27" s="1"/>
  <c r="B44" i="21"/>
  <c r="B50" s="1"/>
  <c r="B51" s="1"/>
  <c r="C34" i="27" s="1"/>
  <c r="E44" i="21"/>
  <c r="E50" s="1"/>
  <c r="E51" s="1"/>
  <c r="D34" i="27" s="1"/>
  <c r="A9" i="22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48" l="1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G40" s="1"/>
  <c r="AD40"/>
  <c r="B49" s="1"/>
  <c r="AQ39"/>
  <c r="AP39"/>
  <c r="AO39"/>
  <c r="AN39"/>
  <c r="AM39"/>
  <c r="AL39"/>
  <c r="AK39"/>
  <c r="AJ39"/>
  <c r="AI39"/>
  <c r="AH39"/>
  <c r="AH41" s="1"/>
  <c r="AC39"/>
  <c r="AC41" s="1"/>
  <c r="AB39"/>
  <c r="AB41" s="1"/>
  <c r="AA39"/>
  <c r="AA41" s="1"/>
  <c r="Z39"/>
  <c r="Z41" s="1"/>
  <c r="Y39"/>
  <c r="Y41" s="1"/>
  <c r="X39"/>
  <c r="W39"/>
  <c r="T45" s="1"/>
  <c r="U45" s="1"/>
  <c r="V39"/>
  <c r="V41" s="1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L39"/>
  <c r="L41" s="1"/>
  <c r="K39"/>
  <c r="K41" s="1"/>
  <c r="J39"/>
  <c r="J41" s="1"/>
  <c r="I39"/>
  <c r="I41" s="1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16" i="16"/>
  <c r="AJ41" i="22" l="1"/>
  <c r="AL41"/>
  <c r="AN41"/>
  <c r="AP41"/>
  <c r="AI41"/>
  <c r="AK41"/>
  <c r="AM41"/>
  <c r="AO41"/>
  <c r="AQ41"/>
  <c r="B45" s="1"/>
  <c r="T46"/>
  <c r="U46" s="1"/>
  <c r="M41"/>
  <c r="W41"/>
  <c r="F41"/>
  <c r="N41"/>
  <c r="X41"/>
  <c r="H46"/>
  <c r="E46"/>
  <c r="C41"/>
  <c r="E41"/>
  <c r="G41"/>
  <c r="U41"/>
  <c r="T48"/>
  <c r="U48" s="1"/>
  <c r="H49"/>
  <c r="B41"/>
  <c r="D41"/>
  <c r="H41"/>
  <c r="H48" i="16"/>
  <c r="E48"/>
  <c r="B48"/>
  <c r="H44" i="22" l="1"/>
  <c r="H50" s="1"/>
  <c r="H51" s="1"/>
  <c r="H45"/>
  <c r="E45"/>
  <c r="B44"/>
  <c r="B50" s="1"/>
  <c r="B51" s="1"/>
  <c r="C33" i="27" s="1"/>
  <c r="E44" i="22"/>
  <c r="E50" s="1"/>
  <c r="E51" s="1"/>
  <c r="D33" i="27" s="1"/>
  <c r="B46" i="16"/>
  <c r="E33" i="27" l="1"/>
  <c r="E45" s="1"/>
  <c r="B47" i="16"/>
  <c r="AQ40"/>
  <c r="AP40"/>
  <c r="AO40"/>
  <c r="AN40"/>
  <c r="AM40"/>
  <c r="AL40"/>
  <c r="AK40"/>
  <c r="AJ40"/>
  <c r="AI40"/>
  <c r="AQ39"/>
  <c r="AP39"/>
  <c r="AO39"/>
  <c r="AN39"/>
  <c r="AM39"/>
  <c r="AL39"/>
  <c r="AK39"/>
  <c r="AJ39"/>
  <c r="AI39"/>
  <c r="AH39"/>
  <c r="AH41" s="1"/>
  <c r="H47"/>
  <c r="E47"/>
  <c r="AL41" l="1"/>
  <c r="AQ41"/>
  <c r="AP41"/>
  <c r="AN41"/>
  <c r="AM41"/>
  <c r="AK41"/>
  <c r="AJ41"/>
  <c r="AI41"/>
  <c r="AO41" l="1"/>
  <c r="B45" s="1"/>
  <c r="AB26" i="28"/>
  <c r="AC26"/>
  <c r="AD26"/>
  <c r="AA26"/>
  <c r="AG24" l="1"/>
  <c r="AH24"/>
  <c r="AI24"/>
  <c r="AF24"/>
  <c r="AI31"/>
  <c r="AH31"/>
  <c r="AG31"/>
  <c r="AF31"/>
  <c r="AD31"/>
  <c r="AC31"/>
  <c r="AB31"/>
  <c r="AA31"/>
  <c r="AI30"/>
  <c r="AH30"/>
  <c r="AG30"/>
  <c r="AF30"/>
  <c r="AD30"/>
  <c r="AC30"/>
  <c r="AB30"/>
  <c r="AA30"/>
  <c r="AI29"/>
  <c r="AH29"/>
  <c r="AG29"/>
  <c r="AF29"/>
  <c r="AD29"/>
  <c r="AC29"/>
  <c r="AB29"/>
  <c r="AA29"/>
  <c r="AI28"/>
  <c r="AH28"/>
  <c r="AG28"/>
  <c r="AF28"/>
  <c r="AD28"/>
  <c r="AC28"/>
  <c r="AA28"/>
  <c r="AI27"/>
  <c r="AH27"/>
  <c r="AG27"/>
  <c r="AF27"/>
  <c r="AD27"/>
  <c r="AC27"/>
  <c r="AB27"/>
  <c r="AA27"/>
  <c r="AI26"/>
  <c r="AH26"/>
  <c r="AG26"/>
  <c r="AF26"/>
  <c r="AI25"/>
  <c r="AH25"/>
  <c r="AG25"/>
  <c r="AF25"/>
  <c r="AD25"/>
  <c r="AC25"/>
  <c r="AB25"/>
  <c r="AA25"/>
  <c r="AD24"/>
  <c r="AC24"/>
  <c r="AB24"/>
  <c r="AA24"/>
  <c r="AI23"/>
  <c r="AH23"/>
  <c r="AG23"/>
  <c r="AF23"/>
  <c r="AD23"/>
  <c r="AC23"/>
  <c r="AB23"/>
  <c r="AA23"/>
  <c r="AD22"/>
  <c r="AC22"/>
  <c r="AB22"/>
  <c r="AA22"/>
  <c r="R20"/>
  <c r="AI19"/>
  <c r="AG19"/>
  <c r="T18"/>
  <c r="AB18" s="1"/>
  <c r="P18"/>
  <c r="A12"/>
  <c r="A20" s="1"/>
  <c r="AE7"/>
  <c r="AD7"/>
  <c r="C25" i="27"/>
  <c r="D25"/>
  <c r="E25"/>
  <c r="F25"/>
  <c r="H25"/>
  <c r="I25"/>
  <c r="J25"/>
  <c r="K25"/>
  <c r="L25"/>
  <c r="M25"/>
  <c r="P25"/>
  <c r="Q25"/>
  <c r="R25"/>
  <c r="S25"/>
  <c r="T25"/>
  <c r="U25"/>
  <c r="V25"/>
  <c r="W25"/>
  <c r="Z25"/>
  <c r="AA25"/>
  <c r="AB25"/>
  <c r="AC25"/>
  <c r="AD25"/>
  <c r="C24"/>
  <c r="D24"/>
  <c r="E24"/>
  <c r="F24"/>
  <c r="H24"/>
  <c r="I24"/>
  <c r="J24"/>
  <c r="K24"/>
  <c r="L24"/>
  <c r="M24"/>
  <c r="P24"/>
  <c r="Q24"/>
  <c r="R24"/>
  <c r="S24"/>
  <c r="T24"/>
  <c r="U24"/>
  <c r="V24"/>
  <c r="W24"/>
  <c r="Z24"/>
  <c r="AA24"/>
  <c r="AB24"/>
  <c r="AC24"/>
  <c r="AD24"/>
  <c r="AE10"/>
  <c r="AF10"/>
  <c r="AG10"/>
  <c r="AH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C23"/>
  <c r="D23"/>
  <c r="E23"/>
  <c r="F23"/>
  <c r="H23"/>
  <c r="I23"/>
  <c r="J23"/>
  <c r="K23"/>
  <c r="L23"/>
  <c r="M23"/>
  <c r="P23"/>
  <c r="Q23"/>
  <c r="R23"/>
  <c r="S23"/>
  <c r="T23"/>
  <c r="U23"/>
  <c r="V23"/>
  <c r="W23"/>
  <c r="Z23"/>
  <c r="AA23"/>
  <c r="AB23"/>
  <c r="AC23"/>
  <c r="AD23"/>
  <c r="C22"/>
  <c r="D22"/>
  <c r="E22"/>
  <c r="F22"/>
  <c r="H22"/>
  <c r="I22"/>
  <c r="J22"/>
  <c r="K22"/>
  <c r="L22"/>
  <c r="M22"/>
  <c r="P22"/>
  <c r="Q22"/>
  <c r="R22"/>
  <c r="S22"/>
  <c r="T22"/>
  <c r="U22"/>
  <c r="V22"/>
  <c r="W22"/>
  <c r="Z22"/>
  <c r="AA22"/>
  <c r="AB22"/>
  <c r="AC22"/>
  <c r="AD22"/>
  <c r="AE9"/>
  <c r="AF9"/>
  <c r="AG9"/>
  <c r="AH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8"/>
  <c r="AF8"/>
  <c r="AG8"/>
  <c r="AH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C21"/>
  <c r="D21"/>
  <c r="E21"/>
  <c r="F21"/>
  <c r="H21"/>
  <c r="I21"/>
  <c r="J21"/>
  <c r="K21"/>
  <c r="L21"/>
  <c r="M21"/>
  <c r="P21"/>
  <c r="Q21"/>
  <c r="R21"/>
  <c r="S21"/>
  <c r="T21"/>
  <c r="U21"/>
  <c r="V21"/>
  <c r="W21"/>
  <c r="Z21"/>
  <c r="AA21"/>
  <c r="AB21"/>
  <c r="AC21"/>
  <c r="AD21"/>
  <c r="AE7"/>
  <c r="AF7"/>
  <c r="AG7"/>
  <c r="AH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C20"/>
  <c r="D20"/>
  <c r="E20"/>
  <c r="F20"/>
  <c r="H20"/>
  <c r="I20"/>
  <c r="J20"/>
  <c r="K20"/>
  <c r="L20"/>
  <c r="M20"/>
  <c r="P20"/>
  <c r="Q20"/>
  <c r="R20"/>
  <c r="S20"/>
  <c r="T20"/>
  <c r="U20"/>
  <c r="V20"/>
  <c r="W20"/>
  <c r="Z20"/>
  <c r="AA20"/>
  <c r="AB20"/>
  <c r="AC20"/>
  <c r="AD20"/>
  <c r="AE6"/>
  <c r="AF6"/>
  <c r="AG6"/>
  <c r="AH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C19"/>
  <c r="D19"/>
  <c r="E19"/>
  <c r="F19"/>
  <c r="H19"/>
  <c r="I19"/>
  <c r="J19"/>
  <c r="K19"/>
  <c r="L19"/>
  <c r="M19"/>
  <c r="P19"/>
  <c r="Q19"/>
  <c r="R19"/>
  <c r="S19"/>
  <c r="T19"/>
  <c r="U19"/>
  <c r="V19"/>
  <c r="W19"/>
  <c r="Z19"/>
  <c r="AA19"/>
  <c r="AB19"/>
  <c r="AC19"/>
  <c r="AD19"/>
  <c r="AE5"/>
  <c r="AF5"/>
  <c r="AG5"/>
  <c r="AH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11"/>
  <c r="AG11"/>
  <c r="AH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D18"/>
  <c r="AC18"/>
  <c r="AB18"/>
  <c r="AA18"/>
  <c r="Z18"/>
  <c r="W18"/>
  <c r="V18"/>
  <c r="U18"/>
  <c r="T18"/>
  <c r="S18"/>
  <c r="R18"/>
  <c r="Q18"/>
  <c r="P18"/>
  <c r="M18"/>
  <c r="L18"/>
  <c r="K18"/>
  <c r="J18"/>
  <c r="I18"/>
  <c r="H18"/>
  <c r="F18"/>
  <c r="E18"/>
  <c r="D18"/>
  <c r="C18"/>
  <c r="AE30"/>
  <c r="AF30"/>
  <c r="AG30"/>
  <c r="AH30"/>
  <c r="AE4"/>
  <c r="AF4"/>
  <c r="AG4"/>
  <c r="AH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G15" l="1"/>
  <c r="AE15"/>
  <c r="AG14"/>
  <c r="AE14"/>
  <c r="O24"/>
  <c r="Y25"/>
  <c r="X25"/>
  <c r="O25"/>
  <c r="N25"/>
  <c r="G25"/>
  <c r="O18"/>
  <c r="O19"/>
  <c r="O20"/>
  <c r="O21"/>
  <c r="O22"/>
  <c r="O23"/>
  <c r="AF40" i="16"/>
  <c r="AE40"/>
  <c r="AD40"/>
  <c r="AC39"/>
  <c r="AB39"/>
  <c r="AA39"/>
  <c r="Z39"/>
  <c r="Y39"/>
  <c r="X39"/>
  <c r="W39"/>
  <c r="T45" s="1"/>
  <c r="U45" s="1"/>
  <c r="V39"/>
  <c r="U39"/>
  <c r="T50" s="1"/>
  <c r="U50" s="1"/>
  <c r="T39"/>
  <c r="S39"/>
  <c r="R39"/>
  <c r="Q39"/>
  <c r="P39"/>
  <c r="O39"/>
  <c r="N39"/>
  <c r="M39"/>
  <c r="L39"/>
  <c r="T48" s="1"/>
  <c r="U48" s="1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12"/>
  <c r="A13" s="1"/>
  <c r="A14" s="1"/>
  <c r="A15" s="1"/>
  <c r="A17" s="1"/>
  <c r="A18" s="1"/>
  <c r="A19" s="1"/>
  <c r="A20" s="1"/>
  <c r="A21" s="1"/>
  <c r="A22" s="1"/>
  <c r="A23" s="1"/>
  <c r="A24" s="1"/>
  <c r="A25" s="1"/>
  <c r="A26" s="1"/>
  <c r="A28" s="1"/>
  <c r="A29" s="1"/>
  <c r="A30" s="1"/>
  <c r="A31" s="1"/>
  <c r="A32" s="1"/>
  <c r="A33" s="1"/>
  <c r="A34" s="1"/>
  <c r="A35" s="1"/>
  <c r="A36" s="1"/>
  <c r="A37" s="1"/>
  <c r="AG13" i="27"/>
  <c r="AE13"/>
  <c r="H49" i="16" l="1"/>
  <c r="AE12" i="27"/>
  <c r="AE17" s="1"/>
  <c r="B49" i="16"/>
  <c r="AG12" i="27"/>
  <c r="AG17" s="1"/>
  <c r="E49" i="16"/>
  <c r="T46"/>
  <c r="U46" s="1"/>
  <c r="C29" i="27"/>
  <c r="C15"/>
  <c r="E29"/>
  <c r="E15"/>
  <c r="G29"/>
  <c r="G15"/>
  <c r="I29"/>
  <c r="I15"/>
  <c r="K29"/>
  <c r="K15"/>
  <c r="M29"/>
  <c r="M15"/>
  <c r="O29"/>
  <c r="O15"/>
  <c r="Q29"/>
  <c r="Q15"/>
  <c r="S29"/>
  <c r="S15"/>
  <c r="U29"/>
  <c r="U15"/>
  <c r="W29"/>
  <c r="W15"/>
  <c r="Y29"/>
  <c r="Y15"/>
  <c r="AA29"/>
  <c r="AA15"/>
  <c r="AC15"/>
  <c r="D29"/>
  <c r="D15"/>
  <c r="F29"/>
  <c r="F15"/>
  <c r="H29"/>
  <c r="H15"/>
  <c r="J29"/>
  <c r="J15"/>
  <c r="L29"/>
  <c r="L15"/>
  <c r="N29"/>
  <c r="N15"/>
  <c r="P15"/>
  <c r="R29"/>
  <c r="R15"/>
  <c r="T29"/>
  <c r="T15"/>
  <c r="V29"/>
  <c r="V15"/>
  <c r="X29"/>
  <c r="X15"/>
  <c r="Z29"/>
  <c r="Z15"/>
  <c r="AB29"/>
  <c r="AB15"/>
  <c r="AD15"/>
  <c r="AF15"/>
  <c r="AH15"/>
  <c r="C28"/>
  <c r="C14"/>
  <c r="E28"/>
  <c r="E14"/>
  <c r="G28"/>
  <c r="G14"/>
  <c r="I28"/>
  <c r="I14"/>
  <c r="K28"/>
  <c r="K14"/>
  <c r="M28"/>
  <c r="M14"/>
  <c r="O28"/>
  <c r="O14"/>
  <c r="Q28"/>
  <c r="Q14"/>
  <c r="S28"/>
  <c r="S14"/>
  <c r="U28"/>
  <c r="U14"/>
  <c r="W28"/>
  <c r="W14"/>
  <c r="Y28"/>
  <c r="Y14"/>
  <c r="AA28"/>
  <c r="AA14"/>
  <c r="AC14"/>
  <c r="D28"/>
  <c r="D14"/>
  <c r="F28"/>
  <c r="F14"/>
  <c r="H28"/>
  <c r="H14"/>
  <c r="J14"/>
  <c r="L28"/>
  <c r="L14"/>
  <c r="N28"/>
  <c r="N14"/>
  <c r="P28"/>
  <c r="P14"/>
  <c r="R28"/>
  <c r="R14"/>
  <c r="T28"/>
  <c r="T14"/>
  <c r="V14"/>
  <c r="X28"/>
  <c r="X14"/>
  <c r="Z28"/>
  <c r="Z14"/>
  <c r="AB28"/>
  <c r="AB14"/>
  <c r="AD14"/>
  <c r="AH14"/>
  <c r="AF14"/>
  <c r="Z27"/>
  <c r="Z13"/>
  <c r="AB27"/>
  <c r="AB13"/>
  <c r="AD13"/>
  <c r="AF13"/>
  <c r="AH13"/>
  <c r="Y27"/>
  <c r="Y13"/>
  <c r="AA27"/>
  <c r="AA13"/>
  <c r="AC13"/>
  <c r="AF12"/>
  <c r="N24"/>
  <c r="G24"/>
  <c r="N23"/>
  <c r="G23"/>
  <c r="N22"/>
  <c r="G22"/>
  <c r="N21"/>
  <c r="G21"/>
  <c r="N20"/>
  <c r="G20"/>
  <c r="N19"/>
  <c r="G19"/>
  <c r="N18"/>
  <c r="G18"/>
  <c r="Y24"/>
  <c r="X24"/>
  <c r="Y23"/>
  <c r="X23"/>
  <c r="Y22"/>
  <c r="X22"/>
  <c r="Y21"/>
  <c r="X21"/>
  <c r="Y20"/>
  <c r="X20"/>
  <c r="Y19"/>
  <c r="X19"/>
  <c r="Y18"/>
  <c r="X18"/>
  <c r="B41" i="16"/>
  <c r="C12" i="27"/>
  <c r="D41" i="16"/>
  <c r="E26" i="27" s="1"/>
  <c r="E12"/>
  <c r="F41" i="16"/>
  <c r="G12" i="27"/>
  <c r="H41" i="16"/>
  <c r="I26" i="27" s="1"/>
  <c r="I12"/>
  <c r="J41" i="16"/>
  <c r="K26" i="27" s="1"/>
  <c r="K12"/>
  <c r="L41" i="16"/>
  <c r="M26" i="27" s="1"/>
  <c r="M12"/>
  <c r="N41" i="16"/>
  <c r="O26" i="27" s="1"/>
  <c r="O12"/>
  <c r="P41" i="16"/>
  <c r="Q26" i="27" s="1"/>
  <c r="Q12"/>
  <c r="R41" i="16"/>
  <c r="S26" i="27" s="1"/>
  <c r="S12"/>
  <c r="T41" i="16"/>
  <c r="U26" i="27" s="1"/>
  <c r="U12"/>
  <c r="V41" i="16"/>
  <c r="W26" i="27" s="1"/>
  <c r="W12"/>
  <c r="X41" i="16"/>
  <c r="Y12" i="27"/>
  <c r="Z41" i="16"/>
  <c r="AA26" i="27" s="1"/>
  <c r="AA12"/>
  <c r="AB41" i="16"/>
  <c r="AC12" i="27"/>
  <c r="AC17" s="1"/>
  <c r="C41" i="16"/>
  <c r="D26" i="27" s="1"/>
  <c r="D12"/>
  <c r="E41" i="16"/>
  <c r="F26" i="27" s="1"/>
  <c r="F12"/>
  <c r="G41" i="16"/>
  <c r="H26" i="27" s="1"/>
  <c r="H12"/>
  <c r="I41" i="16"/>
  <c r="J26" i="27" s="1"/>
  <c r="J12"/>
  <c r="K41" i="16"/>
  <c r="L26" i="27" s="1"/>
  <c r="L12"/>
  <c r="M41" i="16"/>
  <c r="N12" i="27"/>
  <c r="O41" i="16"/>
  <c r="P12" i="27"/>
  <c r="Q41" i="16"/>
  <c r="R26" i="27" s="1"/>
  <c r="R12"/>
  <c r="S41" i="16"/>
  <c r="T26" i="27" s="1"/>
  <c r="T12"/>
  <c r="U41" i="16"/>
  <c r="V26" i="27" s="1"/>
  <c r="V12"/>
  <c r="W41" i="16"/>
  <c r="X12" i="27"/>
  <c r="Y41" i="16"/>
  <c r="Z26" i="27" s="1"/>
  <c r="Z12"/>
  <c r="Z17" s="1"/>
  <c r="AB6" i="28" s="1"/>
  <c r="AA41" i="16"/>
  <c r="AB26" i="27" s="1"/>
  <c r="AB12"/>
  <c r="AB17" s="1"/>
  <c r="AC41" i="16"/>
  <c r="AD12" i="27"/>
  <c r="D53" l="1"/>
  <c r="D58"/>
  <c r="D52"/>
  <c r="D51"/>
  <c r="C53"/>
  <c r="C58"/>
  <c r="C52"/>
  <c r="C51"/>
  <c r="AH6" i="28"/>
  <c r="D49" i="27"/>
  <c r="AF6" i="28"/>
  <c r="C48" i="27"/>
  <c r="C49"/>
  <c r="AD17"/>
  <c r="AA17"/>
  <c r="O6" i="28" s="1"/>
  <c r="Y17" i="27"/>
  <c r="N6" i="28" s="1"/>
  <c r="N7" s="1"/>
  <c r="N9" s="1"/>
  <c r="E46" i="16"/>
  <c r="H46"/>
  <c r="B44"/>
  <c r="B50" s="1"/>
  <c r="B51" s="1"/>
  <c r="C41" i="27" s="1"/>
  <c r="C45" s="1"/>
  <c r="AH12"/>
  <c r="E45" i="16"/>
  <c r="H45"/>
  <c r="P26" i="27"/>
  <c r="X26"/>
  <c r="H44" i="16"/>
  <c r="N26" i="27"/>
  <c r="Y26"/>
  <c r="Y30" s="1"/>
  <c r="N10" i="28" s="1"/>
  <c r="E44" i="16"/>
  <c r="D48" i="27" s="1"/>
  <c r="G26"/>
  <c r="AB30"/>
  <c r="Z30"/>
  <c r="AB10" i="28" s="1"/>
  <c r="AA30" i="27"/>
  <c r="O10" i="28" s="1"/>
  <c r="AF17" i="27"/>
  <c r="E58" s="1"/>
  <c r="AD29"/>
  <c r="P29"/>
  <c r="AC29"/>
  <c r="AD28"/>
  <c r="V28"/>
  <c r="J28"/>
  <c r="AC28"/>
  <c r="C27"/>
  <c r="C13"/>
  <c r="E27"/>
  <c r="E30" s="1"/>
  <c r="E10" i="28" s="1"/>
  <c r="E13" i="27"/>
  <c r="G27"/>
  <c r="G13"/>
  <c r="I27"/>
  <c r="I30" s="1"/>
  <c r="I10" i="28" s="1"/>
  <c r="I13" i="27"/>
  <c r="K27"/>
  <c r="K30" s="1"/>
  <c r="R10" i="28" s="1"/>
  <c r="K13" i="27"/>
  <c r="M27"/>
  <c r="M30" s="1"/>
  <c r="T10" i="28" s="1"/>
  <c r="M13" i="27"/>
  <c r="O27"/>
  <c r="O13"/>
  <c r="Q27"/>
  <c r="Q30" s="1"/>
  <c r="J10" i="28" s="1"/>
  <c r="Q13" i="27"/>
  <c r="S27"/>
  <c r="S30" s="1"/>
  <c r="K16" i="28" s="1"/>
  <c r="S13" i="27"/>
  <c r="U27"/>
  <c r="U30" s="1"/>
  <c r="L16" i="28" s="1"/>
  <c r="U13" i="27"/>
  <c r="W27"/>
  <c r="W13"/>
  <c r="AC27"/>
  <c r="AD27"/>
  <c r="W30"/>
  <c r="M10" i="28" s="1"/>
  <c r="D27" i="27"/>
  <c r="D30" s="1"/>
  <c r="D10" i="28" s="1"/>
  <c r="D13" i="27"/>
  <c r="F27"/>
  <c r="F30" s="1"/>
  <c r="F10" i="28" s="1"/>
  <c r="F13" i="27"/>
  <c r="H27"/>
  <c r="H30" s="1"/>
  <c r="H10" i="28" s="1"/>
  <c r="H13" i="27"/>
  <c r="J27"/>
  <c r="J30" s="1"/>
  <c r="Q10" i="28" s="1"/>
  <c r="J13" i="27"/>
  <c r="L27"/>
  <c r="L30" s="1"/>
  <c r="S10" i="28" s="1"/>
  <c r="L13" i="27"/>
  <c r="N27"/>
  <c r="N13"/>
  <c r="P27"/>
  <c r="P30" s="1"/>
  <c r="W10" i="28" s="1"/>
  <c r="P13" i="27"/>
  <c r="P17" s="1"/>
  <c r="W6" i="28" s="1"/>
  <c r="R27" i="27"/>
  <c r="R30" s="1"/>
  <c r="X10" i="28" s="1"/>
  <c r="R13" i="27"/>
  <c r="R17" s="1"/>
  <c r="X6" i="28" s="1"/>
  <c r="X7" s="1"/>
  <c r="X9" s="1"/>
  <c r="T27" i="27"/>
  <c r="T30" s="1"/>
  <c r="Y16" i="28" s="1"/>
  <c r="T13" i="27"/>
  <c r="T17" s="1"/>
  <c r="Y6" i="28" s="1"/>
  <c r="V27" i="27"/>
  <c r="V30" s="1"/>
  <c r="Z10" i="28" s="1"/>
  <c r="V13" i="27"/>
  <c r="V17" s="1"/>
  <c r="Z6" i="28" s="1"/>
  <c r="X27" i="27"/>
  <c r="X13"/>
  <c r="X17" s="1"/>
  <c r="AA6" i="28" s="1"/>
  <c r="N17" i="27"/>
  <c r="U6" i="28" s="1"/>
  <c r="U7" s="1"/>
  <c r="U9" s="1"/>
  <c r="L17" i="27"/>
  <c r="S6" i="28" s="1"/>
  <c r="J17" i="27"/>
  <c r="Q6" i="28" s="1"/>
  <c r="Q7" s="1"/>
  <c r="Q9" s="1"/>
  <c r="H17" i="27"/>
  <c r="H6" i="28" s="1"/>
  <c r="F17" i="27"/>
  <c r="F6" i="28" s="1"/>
  <c r="F14" s="1"/>
  <c r="D17" i="27"/>
  <c r="D6" i="28" s="1"/>
  <c r="D14" s="1"/>
  <c r="W17" i="27"/>
  <c r="M6" i="28" s="1"/>
  <c r="M14" s="1"/>
  <c r="U17" i="27"/>
  <c r="L6" i="28" s="1"/>
  <c r="S17" i="27"/>
  <c r="K6" i="28" s="1"/>
  <c r="K14" s="1"/>
  <c r="Q17" i="27"/>
  <c r="J6" i="28" s="1"/>
  <c r="O17" i="27"/>
  <c r="V6" i="28" s="1"/>
  <c r="V7" s="1"/>
  <c r="V9" s="1"/>
  <c r="M17" i="27"/>
  <c r="T6" i="28" s="1"/>
  <c r="K17" i="27"/>
  <c r="R6" i="28" s="1"/>
  <c r="R7" s="1"/>
  <c r="R9" s="1"/>
  <c r="I17" i="27"/>
  <c r="I6" i="28" s="1"/>
  <c r="G17" i="27"/>
  <c r="G6" i="28" s="1"/>
  <c r="G14" s="1"/>
  <c r="E17" i="27"/>
  <c r="E6" i="28" s="1"/>
  <c r="E7" s="1"/>
  <c r="E9" s="1"/>
  <c r="C17" i="27"/>
  <c r="C6" i="28" s="1"/>
  <c r="C14" s="1"/>
  <c r="AH17" i="27"/>
  <c r="AI6" i="28" s="1"/>
  <c r="AG6"/>
  <c r="H18" s="1"/>
  <c r="P6"/>
  <c r="AB14"/>
  <c r="AB7"/>
  <c r="AB9" s="1"/>
  <c r="S7"/>
  <c r="S9" s="1"/>
  <c r="H7"/>
  <c r="H9" s="1"/>
  <c r="H14"/>
  <c r="O7"/>
  <c r="O9" s="1"/>
  <c r="O14"/>
  <c r="L7"/>
  <c r="L9" s="1"/>
  <c r="L14"/>
  <c r="J7"/>
  <c r="J9" s="1"/>
  <c r="J14"/>
  <c r="T7"/>
  <c r="T9" s="1"/>
  <c r="I7"/>
  <c r="I9" s="1"/>
  <c r="I14"/>
  <c r="N30" i="27"/>
  <c r="U10" i="28" s="1"/>
  <c r="O30" i="27"/>
  <c r="V10" i="28" s="1"/>
  <c r="X30" i="27"/>
  <c r="AA10" i="28" s="1"/>
  <c r="AD26" i="27"/>
  <c r="AD30" s="1"/>
  <c r="AE10" i="28" s="1"/>
  <c r="AC26" i="27"/>
  <c r="C26"/>
  <c r="C30" s="1"/>
  <c r="C10" i="28" s="1"/>
  <c r="C56" i="27" l="1"/>
  <c r="C57" s="1"/>
  <c r="C50"/>
  <c r="D56"/>
  <c r="D57" s="1"/>
  <c r="D50"/>
  <c r="E53"/>
  <c r="E51"/>
  <c r="E52"/>
  <c r="Q14" i="28"/>
  <c r="S14"/>
  <c r="Z7"/>
  <c r="Z9" s="1"/>
  <c r="Z14"/>
  <c r="E48" i="27"/>
  <c r="E49"/>
  <c r="G30"/>
  <c r="G10" i="28" s="1"/>
  <c r="D7"/>
  <c r="D9" s="1"/>
  <c r="N14"/>
  <c r="AC30" i="27"/>
  <c r="AD10" i="28" s="1"/>
  <c r="AC10"/>
  <c r="E14"/>
  <c r="H50" i="16"/>
  <c r="H51" s="1"/>
  <c r="X14" i="28"/>
  <c r="E50" i="16"/>
  <c r="E51" s="1"/>
  <c r="D41" i="27" s="1"/>
  <c r="D45" s="1"/>
  <c r="G7" i="28"/>
  <c r="V14"/>
  <c r="M7"/>
  <c r="C7"/>
  <c r="C9" s="1"/>
  <c r="R14"/>
  <c r="T14"/>
  <c r="K7"/>
  <c r="F7"/>
  <c r="F9" s="1"/>
  <c r="U14"/>
  <c r="AA7"/>
  <c r="AA9" s="1"/>
  <c r="AA14"/>
  <c r="Y7"/>
  <c r="Y9" s="1"/>
  <c r="Y14"/>
  <c r="W7"/>
  <c r="W9" s="1"/>
  <c r="W14"/>
  <c r="C8"/>
  <c r="C15" s="1"/>
  <c r="E8"/>
  <c r="E15" s="1"/>
  <c r="I8"/>
  <c r="I15" s="1"/>
  <c r="J8"/>
  <c r="J15" s="1"/>
  <c r="L8"/>
  <c r="L15" s="1"/>
  <c r="N8"/>
  <c r="N15" s="1"/>
  <c r="O8"/>
  <c r="O15" s="1"/>
  <c r="O16" s="1"/>
  <c r="D8"/>
  <c r="D15" s="1"/>
  <c r="F8"/>
  <c r="F15" s="1"/>
  <c r="H8"/>
  <c r="H15" s="1"/>
  <c r="P7"/>
  <c r="P9" s="1"/>
  <c r="P14"/>
  <c r="P10"/>
  <c r="F11" s="1"/>
  <c r="R8"/>
  <c r="R15" s="1"/>
  <c r="R16" s="1"/>
  <c r="T8"/>
  <c r="T15" s="1"/>
  <c r="V8"/>
  <c r="V15" s="1"/>
  <c r="V16" s="1"/>
  <c r="Q8"/>
  <c r="Q15" s="1"/>
  <c r="Q16" s="1"/>
  <c r="S8"/>
  <c r="S15" s="1"/>
  <c r="S16" s="1"/>
  <c r="U8"/>
  <c r="U15" s="1"/>
  <c r="U16" s="1"/>
  <c r="X8"/>
  <c r="X15" s="1"/>
  <c r="Z8"/>
  <c r="Z15" s="1"/>
  <c r="Z16" s="1"/>
  <c r="AB8"/>
  <c r="AB15" s="1"/>
  <c r="AB16" s="1"/>
  <c r="AE14"/>
  <c r="AE15" s="1"/>
  <c r="AE16" s="1"/>
  <c r="AD14"/>
  <c r="R11"/>
  <c r="AD8"/>
  <c r="AD15" s="1"/>
  <c r="AD16" s="1"/>
  <c r="X18"/>
  <c r="AE18" s="1"/>
  <c r="AC6"/>
  <c r="E56" i="27" l="1"/>
  <c r="E57" s="1"/>
  <c r="E50"/>
  <c r="J11" i="28"/>
  <c r="K8"/>
  <c r="K15" s="1"/>
  <c r="K9"/>
  <c r="M8"/>
  <c r="M15" s="1"/>
  <c r="M16" s="1"/>
  <c r="E27" s="1"/>
  <c r="M9"/>
  <c r="G8"/>
  <c r="G15" s="1"/>
  <c r="G16" s="1"/>
  <c r="E23" s="1"/>
  <c r="G9"/>
  <c r="Y8"/>
  <c r="Y15" s="1"/>
  <c r="C28" s="1"/>
  <c r="G28" s="1"/>
  <c r="J28" s="1"/>
  <c r="M28" s="1"/>
  <c r="O28" s="1"/>
  <c r="AA8"/>
  <c r="AA15" s="1"/>
  <c r="AA16" s="1"/>
  <c r="W8"/>
  <c r="W15" s="1"/>
  <c r="M11"/>
  <c r="AC14"/>
  <c r="AC7"/>
  <c r="AC9" s="1"/>
  <c r="P8"/>
  <c r="P15" s="1"/>
  <c r="T16"/>
  <c r="E25" s="1"/>
  <c r="C25"/>
  <c r="G25" s="1"/>
  <c r="J25" s="1"/>
  <c r="H16"/>
  <c r="E24" s="1"/>
  <c r="C24"/>
  <c r="G24" s="1"/>
  <c r="J24" s="1"/>
  <c r="M24" s="1"/>
  <c r="O24" s="1"/>
  <c r="F16"/>
  <c r="E26" s="1"/>
  <c r="C26"/>
  <c r="G26" s="1"/>
  <c r="J26" s="1"/>
  <c r="M26" s="1"/>
  <c r="O26" s="1"/>
  <c r="D16"/>
  <c r="E28" s="1"/>
  <c r="N16"/>
  <c r="C27"/>
  <c r="G27" s="1"/>
  <c r="J27" s="1"/>
  <c r="M27" s="1"/>
  <c r="O27" s="1"/>
  <c r="I16"/>
  <c r="E29" s="1"/>
  <c r="C29"/>
  <c r="G29" s="1"/>
  <c r="J29" s="1"/>
  <c r="M29" s="1"/>
  <c r="O29" s="1"/>
  <c r="C23"/>
  <c r="G23" s="1"/>
  <c r="J23" s="1"/>
  <c r="M23" s="1"/>
  <c r="O23" s="1"/>
  <c r="E16"/>
  <c r="E31" s="1"/>
  <c r="C31"/>
  <c r="G31" s="1"/>
  <c r="J31" s="1"/>
  <c r="M31" s="1"/>
  <c r="O31" s="1"/>
  <c r="C16"/>
  <c r="C30"/>
  <c r="G30" s="1"/>
  <c r="J30" s="1"/>
  <c r="M30" s="1"/>
  <c r="O30" s="1"/>
  <c r="C22" l="1"/>
  <c r="G22" s="1"/>
  <c r="J22" s="1"/>
  <c r="M22" s="1"/>
  <c r="O22" s="1"/>
  <c r="J17"/>
  <c r="E22"/>
  <c r="F17"/>
  <c r="M17"/>
  <c r="E30"/>
  <c r="O25"/>
  <c r="M25"/>
  <c r="AC8"/>
  <c r="AC15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C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H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J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L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N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P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S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T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U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V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W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X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Y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Z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A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B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C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D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E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F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G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H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I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J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K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L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M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N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O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P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AQ1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Numbers adjusted for a 25 hour day for daylight savings adjustment.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H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$613 per Dry Ton to
$648 per Dry Ton</t>
        </r>
      </text>
    </comment>
    <comment ref="L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<sst xmlns="http://schemas.openxmlformats.org/spreadsheetml/2006/main" count="2213" uniqueCount="232">
  <si>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</si>
  <si>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</si>
  <si>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</si>
  <si>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</si>
  <si>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</si>
  <si>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</si>
  <si>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</si>
  <si>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</si>
  <si>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</si>
  <si>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</si>
  <si>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</si>
  <si>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</si>
  <si>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</si>
  <si>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</si>
  <si>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</si>
  <si>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</si>
  <si>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</si>
  <si>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</si>
  <si>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</si>
  <si>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</si>
  <si>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</si>
  <si>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</si>
  <si>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</si>
  <si>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</si>
  <si>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</si>
  <si>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</si>
  <si>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</si>
  <si>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</si>
  <si>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</si>
  <si>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</si>
  <si>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</si>
  <si>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</si>
  <si>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</si>
  <si>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</si>
  <si>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</si>
  <si>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</si>
  <si>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</si>
  <si>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</si>
  <si>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</si>
  <si>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</si>
  <si>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</si>
  <si>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</si>
  <si>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</si>
  <si>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</si>
  <si>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</si>
  <si>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</si>
  <si>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</si>
  <si>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</si>
  <si>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</si>
  <si>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</si>
  <si>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</si>
  <si>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</si>
  <si>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 2011</t>
  </si>
  <si>
    <t>March 2011</t>
  </si>
  <si>
    <t>February 2011</t>
  </si>
  <si>
    <t>April 2011</t>
  </si>
  <si>
    <t>May 2011</t>
  </si>
  <si>
    <t>June 2011</t>
  </si>
  <si>
    <t>July 2011</t>
  </si>
  <si>
    <t>August 2011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</si>
  <si>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</si>
  <si>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</si>
  <si>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</si>
  <si>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</si>
  <si>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</si>
  <si>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</si>
  <si>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</si>
  <si>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</si>
  <si>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</si>
  <si>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</si>
  <si>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</si>
  <si>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</si>
  <si>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</si>
  <si>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</si>
  <si>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</si>
  <si>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</si>
  <si>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</si>
  <si>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</si>
  <si>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</si>
  <si>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</si>
  <si>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</si>
  <si>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</si>
  <si>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</si>
  <si>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</si>
  <si>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</si>
  <si>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</si>
  <si>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</si>
  <si>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</si>
  <si>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</si>
  <si>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</si>
  <si>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</si>
  <si>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</si>
  <si>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</si>
  <si>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</si>
  <si>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</si>
  <si>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</si>
  <si>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</si>
  <si>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</si>
  <si>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</si>
  <si>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</si>
  <si>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</si>
  <si>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</si>
  <si>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</si>
  <si>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</si>
  <si>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</si>
  <si>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</si>
  <si>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</si>
  <si>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</si>
  <si>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</si>
  <si>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</si>
  <si>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</si>
  <si>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</si>
  <si>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</si>
  <si>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</si>
  <si>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</si>
  <si>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</si>
  <si>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</si>
  <si>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</si>
  <si>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</si>
  <si>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</si>
  <si>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</si>
  <si>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</si>
  <si>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</si>
  <si>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</si>
  <si>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</si>
  <si>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</si>
  <si>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</si>
  <si>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</si>
  <si>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</si>
  <si>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</si>
  <si>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</si>
  <si>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</si>
  <si>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</si>
  <si>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</si>
  <si>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</si>
  <si>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</si>
  <si>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</si>
  <si>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</si>
  <si>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</si>
  <si>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</si>
  <si>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</si>
  <si>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</si>
  <si>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</si>
  <si>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</si>
  <si>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</si>
  <si>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</si>
  <si>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</si>
  <si>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</si>
  <si>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</si>
  <si>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</si>
  <si>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</si>
  <si>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</si>
  <si>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</si>
  <si>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</si>
  <si>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</si>
  <si>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</si>
  <si>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</si>
  <si>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</si>
  <si>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</si>
  <si>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</si>
  <si>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</si>
  <si>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</si>
  <si>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</si>
  <si>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</si>
  <si>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</si>
  <si>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</si>
  <si>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</si>
  <si>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</si>
  <si>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2011 YTD Treated Raw Water Flows (MG)</t>
  </si>
  <si>
    <t>2011 YTD Finished Delivered Flows (MG) &amp; Ratios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</si>
  <si>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</si>
  <si>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</si>
  <si>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</si>
  <si>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</si>
  <si>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</si>
  <si>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</si>
  <si>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</si>
  <si>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</si>
  <si>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</si>
  <si>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September 2011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</si>
  <si>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</si>
  <si>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</si>
  <si>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</si>
  <si>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</si>
  <si>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</si>
  <si>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</si>
  <si>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</si>
  <si>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</si>
  <si>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</si>
  <si>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</si>
  <si>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</si>
  <si>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</si>
  <si>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</si>
  <si>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</si>
  <si>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</si>
  <si>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</si>
  <si>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</si>
  <si>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</si>
  <si>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</si>
  <si>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</si>
  <si>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</si>
  <si>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</si>
  <si>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</si>
  <si>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</si>
  <si>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</si>
  <si>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</si>
  <si>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</si>
  <si>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</si>
  <si>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</si>
  <si>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</si>
  <si>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</si>
  <si>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October 2011</t>
  </si>
  <si>
    <t>November 2011</t>
  </si>
  <si>
    <t>December 2011</t>
  </si>
  <si>
    <t>Total</t>
  </si>
  <si>
    <t>SP</t>
  </si>
  <si>
    <t>AR</t>
  </si>
  <si>
    <t>Monthly Costs per KG</t>
  </si>
  <si>
    <t>Average</t>
  </si>
  <si>
    <t>Annual Report Summary</t>
  </si>
  <si>
    <t>Labor Cost per MG</t>
  </si>
  <si>
    <t>O&amp;M Cost per MG</t>
  </si>
  <si>
    <t>Electrical Cost per MG</t>
  </si>
  <si>
    <t>Total Cost per MG</t>
  </si>
  <si>
    <t>Total Cost per KG</t>
  </si>
  <si>
    <t>Material Cost per MG</t>
  </si>
  <si>
    <t>Natural Gas Cost per MG</t>
  </si>
  <si>
    <t>Total Flow (MG)</t>
  </si>
  <si>
    <t>Chemical Cost per MG</t>
  </si>
  <si>
    <t>Electrical Usage (kWHr)</t>
  </si>
  <si>
    <t>Electrical Usage per MG</t>
  </si>
  <si>
    <t>bwpfyearly</t>
  </si>
</sst>
</file>

<file path=xl/styles.xml><?xml version="1.0" encoding="utf-8"?>
<styleSheet xmlns="http://schemas.openxmlformats.org/spreadsheetml/2006/main">
  <numFmts count="8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0">
    <xf numFmtId="0" fontId="0" fillId="0" borderId="0" xfId="0"/>
    <xf numFmtId="0" fontId="0" fillId="0" borderId="0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165" fontId="0" fillId="25" borderId="30" xfId="0" applyNumberFormat="1" applyFill="1" applyBorder="1" applyAlignment="1">
      <alignment horizontal="center"/>
    </xf>
    <xf numFmtId="165" fontId="0" fillId="25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25" borderId="3" xfId="0" applyNumberFormat="1" applyFill="1" applyBorder="1" applyAlignment="1">
      <alignment horizontal="center"/>
    </xf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5" fontId="0" fillId="25" borderId="140" xfId="0" applyNumberFormat="1" applyFill="1" applyBorder="1" applyAlignment="1">
      <alignment horizontal="center"/>
    </xf>
    <xf numFmtId="165" fontId="0" fillId="24" borderId="141" xfId="0" applyNumberFormat="1" applyFill="1" applyBorder="1" applyAlignment="1">
      <alignment horizontal="center"/>
    </xf>
    <xf numFmtId="165" fontId="0" fillId="24" borderId="142" xfId="0" applyNumberFormat="1" applyFill="1" applyBorder="1" applyAlignment="1">
      <alignment horizontal="center"/>
    </xf>
    <xf numFmtId="165" fontId="0" fillId="25" borderId="142" xfId="0" applyNumberFormat="1" applyFill="1" applyBorder="1" applyAlignment="1">
      <alignment horizontal="center"/>
    </xf>
    <xf numFmtId="165" fontId="0" fillId="25" borderId="143" xfId="0" applyNumberFormat="1" applyFill="1" applyBorder="1" applyAlignment="1">
      <alignment horizontal="center"/>
    </xf>
    <xf numFmtId="0" fontId="17" fillId="0" borderId="0" xfId="0" applyFont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5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0" fillId="0" borderId="74" xfId="0" applyNumberFormat="1" applyBorder="1" applyAlignment="1">
      <alignment horizontal="center"/>
    </xf>
    <xf numFmtId="0" fontId="0" fillId="0" borderId="156" xfId="0" applyBorder="1" applyAlignment="1">
      <alignment horizontal="center" vertical="center" wrapText="1"/>
    </xf>
    <xf numFmtId="0" fontId="0" fillId="0" borderId="131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50" xfId="0" applyBorder="1" applyAlignment="1">
      <alignment horizontal="center" vertical="center" wrapText="1"/>
    </xf>
    <xf numFmtId="165" fontId="0" fillId="0" borderId="161" xfId="0" applyNumberFormat="1" applyBorder="1" applyAlignment="1">
      <alignment horizontal="center"/>
    </xf>
    <xf numFmtId="165" fontId="0" fillId="0" borderId="75" xfId="0" applyNumberFormat="1" applyBorder="1" applyAlignment="1">
      <alignment horizontal="center"/>
    </xf>
    <xf numFmtId="165" fontId="0" fillId="0" borderId="163" xfId="0" applyNumberFormat="1" applyBorder="1" applyAlignment="1">
      <alignment horizontal="center"/>
    </xf>
    <xf numFmtId="0" fontId="0" fillId="27" borderId="150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4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59" xfId="0" applyNumberFormat="1" applyFill="1" applyBorder="1" applyAlignment="1">
      <alignment horizontal="center"/>
    </xf>
    <xf numFmtId="171" fontId="0" fillId="27" borderId="165" xfId="0" applyNumberFormat="1" applyFill="1" applyBorder="1" applyAlignment="1">
      <alignment horizontal="center"/>
    </xf>
    <xf numFmtId="165" fontId="0" fillId="0" borderId="79" xfId="0" applyNumberFormat="1" applyBorder="1" applyAlignment="1">
      <alignment horizontal="center"/>
    </xf>
    <xf numFmtId="165" fontId="0" fillId="27" borderId="71" xfId="0" applyNumberFormat="1" applyFill="1" applyBorder="1" applyAlignment="1">
      <alignment horizontal="center"/>
    </xf>
    <xf numFmtId="165" fontId="0" fillId="27" borderId="166" xfId="0" applyNumberFormat="1" applyFill="1" applyBorder="1" applyAlignment="1">
      <alignment horizontal="center"/>
    </xf>
    <xf numFmtId="0" fontId="0" fillId="27" borderId="156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0" fontId="0" fillId="0" borderId="0" xfId="0" applyAlignment="1" applyProtection="1">
      <alignment horizontal="right" vertical="center"/>
    </xf>
    <xf numFmtId="0" fontId="1" fillId="2" borderId="0" xfId="0" applyFont="1" applyFill="1" applyProtection="1"/>
    <xf numFmtId="0" fontId="0" fillId="0" borderId="0" xfId="0" applyProtection="1"/>
    <xf numFmtId="0" fontId="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/>
    <xf numFmtId="0" fontId="0" fillId="3" borderId="0" xfId="0" applyFill="1" applyProtection="1"/>
    <xf numFmtId="164" fontId="0" fillId="0" borderId="0" xfId="0" applyNumberFormat="1" applyFill="1" applyProtection="1"/>
    <xf numFmtId="0" fontId="17" fillId="0" borderId="0" xfId="0" applyFont="1" applyProtection="1"/>
    <xf numFmtId="164" fontId="0" fillId="0" borderId="0" xfId="0" applyNumberFormat="1" applyFill="1" applyBorder="1" applyProtection="1"/>
    <xf numFmtId="164" fontId="0" fillId="0" borderId="0" xfId="0" applyNumberFormat="1" applyProtection="1"/>
    <xf numFmtId="0" fontId="0" fillId="3" borderId="16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1" fillId="2" borderId="36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0" fillId="3" borderId="17" xfId="0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right" vertical="center"/>
    </xf>
    <xf numFmtId="2" fontId="0" fillId="0" borderId="22" xfId="0" applyNumberForma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23" xfId="0" applyNumberFormat="1" applyBorder="1" applyAlignment="1" applyProtection="1">
      <alignment horizontal="center" vertical="center"/>
    </xf>
    <xf numFmtId="2" fontId="0" fillId="0" borderId="40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17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18" xfId="0" applyNumberFormat="1" applyFill="1" applyBorder="1" applyAlignment="1" applyProtection="1">
      <alignment horizontal="center" vertical="center"/>
    </xf>
    <xf numFmtId="2" fontId="0" fillId="0" borderId="18" xfId="0" applyNumberFormat="1" applyBorder="1" applyAlignment="1" applyProtection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</xf>
    <xf numFmtId="2" fontId="0" fillId="0" borderId="4" xfId="0" applyNumberFormat="1" applyFill="1" applyBorder="1" applyAlignment="1" applyProtection="1">
      <alignment horizontal="center" vertical="center"/>
    </xf>
    <xf numFmtId="2" fontId="0" fillId="0" borderId="23" xfId="0" applyNumberFormat="1" applyFill="1" applyBorder="1" applyAlignment="1" applyProtection="1">
      <alignment horizontal="center" vertical="center"/>
    </xf>
    <xf numFmtId="2" fontId="0" fillId="0" borderId="30" xfId="0" applyNumberFormat="1" applyFill="1" applyBorder="1" applyAlignment="1" applyProtection="1">
      <alignment horizontal="center" vertical="center"/>
    </xf>
    <xf numFmtId="2" fontId="0" fillId="0" borderId="27" xfId="0" applyNumberFormat="1" applyFill="1" applyBorder="1" applyAlignment="1" applyProtection="1">
      <alignment horizontal="center" vertical="center"/>
    </xf>
    <xf numFmtId="2" fontId="0" fillId="0" borderId="40" xfId="0" applyNumberFormat="1" applyFill="1" applyBorder="1" applyAlignment="1" applyProtection="1">
      <alignment horizontal="center" vertical="center"/>
    </xf>
    <xf numFmtId="2" fontId="0" fillId="0" borderId="31" xfId="0" applyNumberFormat="1" applyFill="1" applyBorder="1" applyAlignment="1" applyProtection="1">
      <alignment horizontal="center" vertical="center"/>
    </xf>
    <xf numFmtId="2" fontId="0" fillId="0" borderId="30" xfId="0" applyNumberFormat="1" applyBorder="1" applyAlignment="1" applyProtection="1">
      <alignment horizontal="center" vertical="center"/>
    </xf>
    <xf numFmtId="2" fontId="0" fillId="0" borderId="32" xfId="0" applyNumberFormat="1" applyBorder="1" applyAlignment="1" applyProtection="1">
      <alignment horizontal="center" vertical="center"/>
    </xf>
    <xf numFmtId="2" fontId="0" fillId="0" borderId="42" xfId="0" applyNumberFormat="1" applyBorder="1" applyAlignment="1" applyProtection="1">
      <alignment horizontal="center" vertical="center"/>
    </xf>
    <xf numFmtId="2" fontId="0" fillId="0" borderId="43" xfId="0" applyNumberFormat="1" applyFill="1" applyBorder="1" applyAlignment="1" applyProtection="1">
      <alignment horizontal="center" vertical="center"/>
    </xf>
    <xf numFmtId="2" fontId="0" fillId="0" borderId="27" xfId="0" applyNumberFormat="1" applyBorder="1" applyAlignment="1" applyProtection="1">
      <alignment horizontal="center" vertical="center"/>
    </xf>
    <xf numFmtId="2" fontId="0" fillId="0" borderId="31" xfId="0" applyNumberFormat="1" applyBorder="1" applyAlignment="1" applyProtection="1">
      <alignment horizontal="center" vertical="center"/>
    </xf>
    <xf numFmtId="2" fontId="0" fillId="0" borderId="32" xfId="0" applyNumberFormat="1" applyFill="1" applyBorder="1" applyAlignment="1" applyProtection="1">
      <alignment horizontal="center" vertical="center"/>
    </xf>
    <xf numFmtId="2" fontId="0" fillId="0" borderId="28" xfId="0" applyNumberFormat="1" applyFill="1" applyBorder="1" applyAlignment="1" applyProtection="1">
      <alignment horizontal="center" vertical="center"/>
    </xf>
    <xf numFmtId="2" fontId="0" fillId="0" borderId="3" xfId="0" applyNumberFormat="1" applyBorder="1" applyAlignment="1" applyProtection="1">
      <alignment horizontal="center" vertical="center"/>
    </xf>
    <xf numFmtId="2" fontId="0" fillId="0" borderId="20" xfId="0" applyNumberFormat="1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2" fontId="0" fillId="0" borderId="26" xfId="0" applyNumberFormat="1" applyBorder="1" applyAlignment="1" applyProtection="1">
      <alignment horizontal="center" vertical="center"/>
    </xf>
    <xf numFmtId="2" fontId="0" fillId="0" borderId="39" xfId="0" applyNumberFormat="1" applyBorder="1" applyAlignment="1" applyProtection="1">
      <alignment horizontal="center" vertical="center"/>
    </xf>
    <xf numFmtId="2" fontId="0" fillId="0" borderId="12" xfId="0" applyNumberFormat="1" applyBorder="1" applyAlignment="1" applyProtection="1">
      <alignment horizontal="center" vertical="center"/>
    </xf>
    <xf numFmtId="2" fontId="0" fillId="0" borderId="2" xfId="0" applyNumberFormat="1" applyBorder="1" applyAlignment="1" applyProtection="1">
      <alignment horizontal="center" vertical="center"/>
    </xf>
    <xf numFmtId="2" fontId="0" fillId="0" borderId="2" xfId="0" applyNumberFormat="1" applyFill="1" applyBorder="1" applyAlignment="1" applyProtection="1">
      <alignment horizontal="center" vertical="center"/>
    </xf>
    <xf numFmtId="2" fontId="0" fillId="0" borderId="13" xfId="0" applyNumberFormat="1" applyBorder="1" applyAlignment="1" applyProtection="1">
      <alignment horizontal="center" vertical="center"/>
    </xf>
    <xf numFmtId="2" fontId="0" fillId="0" borderId="21" xfId="0" applyNumberFormat="1" applyBorder="1" applyAlignment="1" applyProtection="1">
      <alignment horizontal="center" vertical="center"/>
    </xf>
    <xf numFmtId="2" fontId="0" fillId="0" borderId="25" xfId="0" applyNumberFormat="1" applyFill="1" applyBorder="1" applyAlignment="1" applyProtection="1">
      <alignment horizontal="center" vertical="center"/>
    </xf>
    <xf numFmtId="2" fontId="0" fillId="0" borderId="45" xfId="0" applyNumberFormat="1" applyFill="1" applyBorder="1" applyAlignment="1" applyProtection="1">
      <alignment horizontal="center" vertical="center"/>
    </xf>
    <xf numFmtId="14" fontId="4" fillId="5" borderId="11" xfId="0" applyNumberFormat="1" applyFont="1" applyFill="1" applyBorder="1" applyProtection="1"/>
    <xf numFmtId="4" fontId="4" fillId="5" borderId="16" xfId="0" applyNumberFormat="1" applyFont="1" applyFill="1" applyBorder="1" applyAlignment="1" applyProtection="1">
      <alignment horizontal="center" vertical="center"/>
    </xf>
    <xf numFmtId="4" fontId="4" fillId="5" borderId="1" xfId="0" applyNumberFormat="1" applyFont="1" applyFill="1" applyBorder="1" applyAlignment="1" applyProtection="1">
      <alignment horizontal="center" vertical="center"/>
    </xf>
    <xf numFmtId="4" fontId="4" fillId="5" borderId="17" xfId="0" applyNumberFormat="1" applyFont="1" applyFill="1" applyBorder="1" applyAlignment="1" applyProtection="1">
      <alignment horizontal="center" vertical="center"/>
    </xf>
    <xf numFmtId="4" fontId="4" fillId="5" borderId="16" xfId="0" applyNumberFormat="1" applyFont="1" applyFill="1" applyBorder="1" applyAlignment="1" applyProtection="1">
      <alignment horizontal="center"/>
    </xf>
    <xf numFmtId="4" fontId="4" fillId="5" borderId="1" xfId="0" applyNumberFormat="1" applyFont="1" applyFill="1" applyBorder="1" applyAlignment="1" applyProtection="1">
      <alignment horizontal="center"/>
    </xf>
    <xf numFmtId="4" fontId="4" fillId="5" borderId="36" xfId="0" applyNumberFormat="1" applyFont="1" applyFill="1" applyBorder="1" applyAlignment="1" applyProtection="1">
      <alignment horizontal="center"/>
    </xf>
    <xf numFmtId="4" fontId="4" fillId="5" borderId="17" xfId="0" applyNumberFormat="1" applyFont="1" applyFill="1" applyBorder="1" applyAlignment="1" applyProtection="1">
      <alignment horizontal="center"/>
    </xf>
    <xf numFmtId="4" fontId="4" fillId="5" borderId="18" xfId="0" applyNumberFormat="1" applyFont="1" applyFill="1" applyBorder="1" applyAlignment="1" applyProtection="1">
      <alignment horizontal="center"/>
    </xf>
    <xf numFmtId="4" fontId="4" fillId="7" borderId="18" xfId="0" applyNumberFormat="1" applyFont="1" applyFill="1" applyBorder="1" applyAlignment="1" applyProtection="1">
      <alignment horizontal="center" vertical="center"/>
    </xf>
    <xf numFmtId="14" fontId="4" fillId="6" borderId="42" xfId="0" applyNumberFormat="1" applyFont="1" applyFill="1" applyBorder="1" applyProtection="1"/>
    <xf numFmtId="165" fontId="4" fillId="6" borderId="31" xfId="0" applyNumberFormat="1" applyFont="1" applyFill="1" applyBorder="1" applyAlignment="1" applyProtection="1">
      <alignment horizontal="center" vertical="center"/>
    </xf>
    <xf numFmtId="165" fontId="4" fillId="6" borderId="30" xfId="0" applyNumberFormat="1" applyFont="1" applyFill="1" applyBorder="1" applyAlignment="1" applyProtection="1">
      <alignment horizontal="center" vertical="center"/>
    </xf>
    <xf numFmtId="165" fontId="4" fillId="6" borderId="32" xfId="0" applyNumberFormat="1" applyFont="1" applyFill="1" applyBorder="1" applyAlignment="1" applyProtection="1">
      <alignment horizontal="center" vertical="center"/>
    </xf>
    <xf numFmtId="165" fontId="4" fillId="6" borderId="31" xfId="0" applyNumberFormat="1" applyFont="1" applyFill="1" applyBorder="1" applyAlignment="1" applyProtection="1">
      <alignment horizontal="center"/>
    </xf>
    <xf numFmtId="165" fontId="4" fillId="6" borderId="30" xfId="0" applyNumberFormat="1" applyFont="1" applyFill="1" applyBorder="1" applyAlignment="1" applyProtection="1">
      <alignment horizontal="center"/>
    </xf>
    <xf numFmtId="165" fontId="4" fillId="6" borderId="37" xfId="0" applyNumberFormat="1" applyFont="1" applyFill="1" applyBorder="1" applyAlignment="1" applyProtection="1">
      <alignment horizontal="center"/>
    </xf>
    <xf numFmtId="165" fontId="4" fillId="6" borderId="32" xfId="0" applyNumberFormat="1" applyFont="1" applyFill="1" applyBorder="1" applyAlignment="1" applyProtection="1">
      <alignment horizontal="center"/>
    </xf>
    <xf numFmtId="165" fontId="4" fillId="6" borderId="42" xfId="0" applyNumberFormat="1" applyFont="1" applyFill="1" applyBorder="1" applyAlignment="1" applyProtection="1">
      <alignment horizontal="center"/>
    </xf>
    <xf numFmtId="2" fontId="0" fillId="7" borderId="44" xfId="0" applyNumberFormat="1" applyFill="1" applyBorder="1" applyAlignment="1" applyProtection="1">
      <alignment horizontal="center"/>
    </xf>
    <xf numFmtId="170" fontId="4" fillId="6" borderId="42" xfId="0" applyNumberFormat="1" applyFont="1" applyFill="1" applyBorder="1" applyAlignment="1" applyProtection="1">
      <alignment horizontal="center"/>
    </xf>
    <xf numFmtId="0" fontId="4" fillId="4" borderId="44" xfId="0" applyFont="1" applyFill="1" applyBorder="1" applyProtection="1"/>
    <xf numFmtId="165" fontId="4" fillId="4" borderId="33" xfId="0" applyNumberFormat="1" applyFont="1" applyFill="1" applyBorder="1" applyAlignment="1" applyProtection="1">
      <alignment horizontal="center" vertical="center"/>
    </xf>
    <xf numFmtId="165" fontId="4" fillId="4" borderId="34" xfId="0" applyNumberFormat="1" applyFont="1" applyFill="1" applyBorder="1" applyAlignment="1" applyProtection="1">
      <alignment horizontal="center" vertical="center"/>
    </xf>
    <xf numFmtId="165" fontId="4" fillId="4" borderId="35" xfId="0" applyNumberFormat="1" applyFont="1" applyFill="1" applyBorder="1" applyAlignment="1" applyProtection="1">
      <alignment horizontal="center" vertical="center"/>
    </xf>
    <xf numFmtId="165" fontId="4" fillId="4" borderId="33" xfId="0" applyNumberFormat="1" applyFont="1" applyFill="1" applyBorder="1" applyAlignment="1" applyProtection="1">
      <alignment horizontal="center"/>
    </xf>
    <xf numFmtId="165" fontId="4" fillId="4" borderId="34" xfId="0" applyNumberFormat="1" applyFont="1" applyFill="1" applyBorder="1" applyAlignment="1" applyProtection="1">
      <alignment horizontal="center"/>
    </xf>
    <xf numFmtId="165" fontId="4" fillId="4" borderId="38" xfId="0" applyNumberFormat="1" applyFont="1" applyFill="1" applyBorder="1" applyAlignment="1" applyProtection="1">
      <alignment horizontal="center"/>
    </xf>
    <xf numFmtId="165" fontId="4" fillId="4" borderId="35" xfId="0" applyNumberFormat="1" applyFont="1" applyFill="1" applyBorder="1" applyAlignment="1" applyProtection="1">
      <alignment horizontal="center"/>
    </xf>
    <xf numFmtId="165" fontId="4" fillId="4" borderId="44" xfId="0" applyNumberFormat="1" applyFont="1" applyFill="1" applyBorder="1" applyAlignment="1" applyProtection="1">
      <alignment horizontal="center"/>
    </xf>
    <xf numFmtId="165" fontId="4" fillId="4" borderId="145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Protection="1"/>
    <xf numFmtId="0" fontId="2" fillId="0" borderId="146" xfId="0" applyFont="1" applyBorder="1" applyAlignment="1" applyProtection="1">
      <alignment horizontal="center" vertical="center"/>
    </xf>
    <xf numFmtId="165" fontId="4" fillId="4" borderId="57" xfId="0" applyNumberFormat="1" applyFont="1" applyFill="1" applyBorder="1" applyAlignment="1" applyProtection="1">
      <alignment horizontal="center" vertical="center"/>
    </xf>
    <xf numFmtId="165" fontId="10" fillId="0" borderId="10" xfId="0" applyNumberFormat="1" applyFont="1" applyFill="1" applyBorder="1" applyAlignment="1" applyProtection="1">
      <alignment horizontal="center" vertical="center"/>
    </xf>
    <xf numFmtId="165" fontId="4" fillId="0" borderId="10" xfId="0" applyNumberFormat="1" applyFont="1" applyFill="1" applyBorder="1" applyAlignment="1" applyProtection="1">
      <alignment horizontal="center" vertical="center"/>
    </xf>
    <xf numFmtId="0" fontId="9" fillId="26" borderId="46" xfId="0" applyFont="1" applyFill="1" applyBorder="1" applyAlignment="1" applyProtection="1">
      <alignment horizontal="center" vertical="center" wrapText="1"/>
    </xf>
    <xf numFmtId="165" fontId="9" fillId="26" borderId="47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16" fillId="22" borderId="126" xfId="0" applyFont="1" applyFill="1" applyBorder="1" applyAlignment="1" applyProtection="1">
      <alignment horizontal="center"/>
    </xf>
    <xf numFmtId="0" fontId="16" fillId="22" borderId="128" xfId="0" applyFont="1" applyFill="1" applyBorder="1" applyAlignment="1" applyProtection="1">
      <alignment horizontal="center"/>
    </xf>
    <xf numFmtId="0" fontId="0" fillId="22" borderId="4" xfId="0" applyFill="1" applyBorder="1" applyAlignment="1" applyProtection="1">
      <alignment horizontal="center"/>
    </xf>
    <xf numFmtId="0" fontId="0" fillId="22" borderId="144" xfId="0" applyFill="1" applyBorder="1" applyAlignment="1" applyProtection="1">
      <alignment horizontal="center"/>
    </xf>
    <xf numFmtId="0" fontId="9" fillId="26" borderId="41" xfId="0" applyFont="1" applyFill="1" applyBorder="1" applyAlignment="1" applyProtection="1">
      <alignment horizontal="center" vertical="center" wrapText="1"/>
    </xf>
    <xf numFmtId="165" fontId="9" fillId="26" borderId="48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98" xfId="0" applyBorder="1" applyProtection="1"/>
    <xf numFmtId="0" fontId="4" fillId="22" borderId="90" xfId="0" applyFont="1" applyFill="1" applyBorder="1" applyAlignment="1" applyProtection="1">
      <alignment horizontal="left"/>
    </xf>
    <xf numFmtId="0" fontId="4" fillId="22" borderId="130" xfId="0" applyFont="1" applyFill="1" applyBorder="1" applyAlignment="1" applyProtection="1">
      <alignment horizontal="left"/>
    </xf>
    <xf numFmtId="167" fontId="0" fillId="22" borderId="30" xfId="0" applyNumberFormat="1" applyFill="1" applyBorder="1" applyProtection="1"/>
    <xf numFmtId="167" fontId="0" fillId="22" borderId="131" xfId="0" applyNumberFormat="1" applyFill="1" applyBorder="1" applyAlignment="1" applyProtection="1">
      <alignment horizontal="right"/>
    </xf>
    <xf numFmtId="0" fontId="9" fillId="26" borderId="51" xfId="0" applyFont="1" applyFill="1" applyBorder="1" applyAlignment="1" applyProtection="1">
      <alignment horizontal="center" vertical="center" wrapText="1"/>
    </xf>
    <xf numFmtId="165" fontId="9" fillId="26" borderId="52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168" fontId="0" fillId="22" borderId="131" xfId="0" applyNumberFormat="1" applyFill="1" applyBorder="1" applyAlignment="1" applyProtection="1">
      <alignment horizontal="right"/>
    </xf>
    <xf numFmtId="0" fontId="0" fillId="0" borderId="58" xfId="0" applyBorder="1" applyProtection="1"/>
    <xf numFmtId="0" fontId="9" fillId="2" borderId="53" xfId="0" applyFont="1" applyFill="1" applyBorder="1" applyAlignment="1" applyProtection="1">
      <alignment horizontal="center" vertical="center" wrapText="1"/>
    </xf>
    <xf numFmtId="4" fontId="9" fillId="2" borderId="54" xfId="0" applyNumberFormat="1" applyFont="1" applyFill="1" applyBorder="1" applyAlignment="1" applyProtection="1">
      <alignment horizontal="center" vertical="center"/>
    </xf>
    <xf numFmtId="165" fontId="9" fillId="2" borderId="54" xfId="0" applyNumberFormat="1" applyFont="1" applyFill="1" applyBorder="1" applyAlignment="1" applyProtection="1">
      <alignment horizontal="center" vertical="center"/>
    </xf>
    <xf numFmtId="0" fontId="9" fillId="2" borderId="49" xfId="0" applyFont="1" applyFill="1" applyBorder="1" applyAlignment="1" applyProtection="1">
      <alignment horizontal="center" vertical="center" wrapText="1"/>
    </xf>
    <xf numFmtId="165" fontId="9" fillId="2" borderId="50" xfId="0" applyNumberFormat="1" applyFont="1" applyFill="1" applyBorder="1" applyAlignment="1" applyProtection="1">
      <alignment horizontal="center" vertical="center"/>
    </xf>
    <xf numFmtId="0" fontId="0" fillId="0" borderId="62" xfId="0" applyBorder="1" applyProtection="1"/>
    <xf numFmtId="0" fontId="0" fillId="0" borderId="29" xfId="0" applyBorder="1" applyProtection="1"/>
    <xf numFmtId="0" fontId="0" fillId="0" borderId="57" xfId="0" applyBorder="1" applyProtection="1"/>
    <xf numFmtId="167" fontId="0" fillId="22" borderId="2" xfId="0" applyNumberFormat="1" applyFill="1" applyBorder="1" applyProtection="1"/>
    <xf numFmtId="167" fontId="0" fillId="22" borderId="150" xfId="0" applyNumberFormat="1" applyFill="1" applyBorder="1" applyAlignment="1" applyProtection="1">
      <alignment horizontal="right"/>
    </xf>
    <xf numFmtId="0" fontId="0" fillId="0" borderId="96" xfId="0" applyBorder="1" applyProtection="1"/>
    <xf numFmtId="0" fontId="0" fillId="0" borderId="95" xfId="0" applyFill="1" applyBorder="1" applyProtection="1"/>
    <xf numFmtId="167" fontId="0" fillId="0" borderId="0" xfId="0" applyNumberFormat="1" applyFill="1" applyBorder="1" applyProtection="1"/>
    <xf numFmtId="167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Protection="1"/>
    <xf numFmtId="0" fontId="18" fillId="0" borderId="0" xfId="0" applyFont="1" applyProtection="1"/>
    <xf numFmtId="0" fontId="18" fillId="0" borderId="0" xfId="0" applyFont="1" applyFill="1" applyProtection="1"/>
    <xf numFmtId="165" fontId="4" fillId="6" borderId="31" xfId="0" applyNumberFormat="1" applyFont="1" applyFill="1" applyBorder="1" applyProtection="1"/>
    <xf numFmtId="165" fontId="4" fillId="6" borderId="30" xfId="0" applyNumberFormat="1" applyFont="1" applyFill="1" applyBorder="1" applyProtection="1"/>
    <xf numFmtId="165" fontId="4" fillId="6" borderId="37" xfId="0" applyNumberFormat="1" applyFont="1" applyFill="1" applyBorder="1" applyProtection="1"/>
    <xf numFmtId="165" fontId="4" fillId="6" borderId="32" xfId="0" applyNumberFormat="1" applyFont="1" applyFill="1" applyBorder="1" applyProtection="1"/>
    <xf numFmtId="165" fontId="4" fillId="6" borderId="42" xfId="0" applyNumberFormat="1" applyFont="1" applyFill="1" applyBorder="1" applyProtection="1"/>
    <xf numFmtId="167" fontId="0" fillId="22" borderId="3" xfId="0" applyNumberFormat="1" applyFill="1" applyBorder="1" applyProtection="1"/>
    <xf numFmtId="167" fontId="0" fillId="22" borderId="133" xfId="0" applyNumberFormat="1" applyFill="1" applyBorder="1" applyAlignment="1" applyProtection="1">
      <alignment horizontal="right"/>
    </xf>
    <xf numFmtId="0" fontId="0" fillId="0" borderId="0" xfId="0" applyBorder="1" applyAlignment="1" applyProtection="1">
      <alignment vertical="center"/>
    </xf>
    <xf numFmtId="167" fontId="0" fillId="0" borderId="95" xfId="0" applyNumberFormat="1" applyFill="1" applyBorder="1" applyProtection="1"/>
    <xf numFmtId="167" fontId="0" fillId="0" borderId="95" xfId="0" applyNumberFormat="1" applyFill="1" applyBorder="1" applyAlignment="1" applyProtection="1">
      <alignment horizontal="right"/>
    </xf>
    <xf numFmtId="165" fontId="12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</xf>
    <xf numFmtId="2" fontId="0" fillId="7" borderId="44" xfId="0" applyNumberFormat="1" applyFill="1" applyBorder="1" applyProtection="1"/>
    <xf numFmtId="0" fontId="12" fillId="0" borderId="0" xfId="0" applyFont="1" applyFill="1" applyBorder="1" applyAlignment="1" applyProtection="1">
      <alignment vertical="center" wrapText="1"/>
    </xf>
    <xf numFmtId="0" fontId="13" fillId="0" borderId="0" xfId="0" applyFont="1" applyBorder="1" applyAlignment="1" applyProtection="1">
      <alignment vertical="center" wrapText="1"/>
    </xf>
    <xf numFmtId="0" fontId="0" fillId="0" borderId="0" xfId="0" applyFill="1" applyProtection="1"/>
    <xf numFmtId="0" fontId="16" fillId="0" borderId="160" xfId="0" applyFont="1" applyBorder="1" applyAlignment="1">
      <alignment horizontal="center" vertical="center" textRotation="75"/>
    </xf>
    <xf numFmtId="0" fontId="16" fillId="0" borderId="162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58" xfId="0" applyBorder="1" applyAlignment="1"/>
    <xf numFmtId="0" fontId="16" fillId="0" borderId="152" xfId="0" applyFont="1" applyBorder="1" applyAlignment="1">
      <alignment horizontal="center" vertical="center" textRotation="75"/>
    </xf>
    <xf numFmtId="0" fontId="16" fillId="0" borderId="153" xfId="0" applyFont="1" applyBorder="1" applyAlignment="1">
      <alignment horizontal="center" vertical="center" textRotation="75"/>
    </xf>
    <xf numFmtId="0" fontId="0" fillId="0" borderId="154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 applyProtection="1">
      <alignment vertical="center" wrapText="1"/>
    </xf>
    <xf numFmtId="0" fontId="0" fillId="0" borderId="122" xfId="0" applyBorder="1" applyAlignment="1" applyProtection="1">
      <alignment vertical="center"/>
    </xf>
    <xf numFmtId="0" fontId="0" fillId="0" borderId="147" xfId="0" applyBorder="1" applyAlignment="1" applyProtection="1">
      <alignment vertical="center"/>
    </xf>
    <xf numFmtId="165" fontId="10" fillId="0" borderId="66" xfId="0" applyNumberFormat="1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165" fontId="10" fillId="0" borderId="29" xfId="0" applyNumberFormat="1" applyFont="1" applyFill="1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165" fontId="10" fillId="0" borderId="55" xfId="0" applyNumberFormat="1" applyFont="1" applyFill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22" borderId="116" xfId="0" applyFont="1" applyFill="1" applyBorder="1" applyAlignment="1" applyProtection="1">
      <alignment horizontal="left"/>
    </xf>
    <xf numFmtId="0" fontId="4" fillId="22" borderId="26" xfId="0" applyFont="1" applyFill="1" applyBorder="1" applyAlignment="1" applyProtection="1">
      <alignment horizontal="left"/>
    </xf>
    <xf numFmtId="0" fontId="4" fillId="0" borderId="95" xfId="0" applyFont="1" applyFill="1" applyBorder="1" applyAlignment="1" applyProtection="1">
      <alignment horizontal="left"/>
    </xf>
    <xf numFmtId="1" fontId="14" fillId="22" borderId="86" xfId="0" applyNumberFormat="1" applyFont="1" applyFill="1" applyBorder="1" applyAlignment="1" applyProtection="1">
      <alignment horizontal="center" vertical="center"/>
    </xf>
    <xf numFmtId="0" fontId="0" fillId="0" borderId="87" xfId="0" applyBorder="1" applyAlignment="1" applyProtection="1">
      <alignment horizontal="center" vertical="center"/>
    </xf>
    <xf numFmtId="0" fontId="0" fillId="0" borderId="88" xfId="0" applyBorder="1" applyAlignment="1" applyProtection="1">
      <alignment horizontal="center" vertical="center"/>
    </xf>
    <xf numFmtId="165" fontId="10" fillId="0" borderId="59" xfId="0" applyNumberFormat="1" applyFont="1" applyFill="1" applyBorder="1" applyAlignment="1" applyProtection="1">
      <alignment horizontal="left" vertical="center"/>
    </xf>
    <xf numFmtId="0" fontId="0" fillId="0" borderId="60" xfId="0" applyBorder="1" applyAlignment="1" applyProtection="1">
      <alignment horizontal="left" vertical="center"/>
    </xf>
    <xf numFmtId="0" fontId="0" fillId="0" borderId="61" xfId="0" applyBorder="1" applyAlignment="1" applyProtection="1">
      <alignment horizontal="left" vertical="center"/>
    </xf>
    <xf numFmtId="49" fontId="11" fillId="0" borderId="55" xfId="0" applyNumberFormat="1" applyFont="1" applyFill="1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12" xfId="0" applyFont="1" applyBorder="1" applyAlignment="1" applyProtection="1"/>
    <xf numFmtId="0" fontId="2" fillId="0" borderId="2" xfId="0" applyFont="1" applyBorder="1" applyAlignment="1" applyProtection="1"/>
    <xf numFmtId="0" fontId="2" fillId="0" borderId="13" xfId="0" applyFont="1" applyBorder="1" applyAlignment="1" applyProtection="1"/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2" fillId="0" borderId="14" xfId="0" applyFont="1" applyBorder="1" applyAlignment="1" applyProtection="1"/>
    <xf numFmtId="0" fontId="2" fillId="0" borderId="5" xfId="0" applyFont="1" applyBorder="1" applyAlignment="1" applyProtection="1"/>
    <xf numFmtId="0" fontId="0" fillId="0" borderId="5" xfId="0" applyBorder="1" applyAlignment="1" applyProtection="1"/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Border="1" applyAlignment="1" applyProtection="1">
      <alignment horizontal="left" vertical="center" wrapText="1"/>
    </xf>
    <xf numFmtId="0" fontId="9" fillId="0" borderId="1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/>
    </xf>
    <xf numFmtId="0" fontId="4" fillId="0" borderId="148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</xf>
    <xf numFmtId="0" fontId="4" fillId="22" borderId="149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Utilities%20Department/Divisions/Water%20Treatment/Binney/BWPF%20Operating%20Reports/BWPF%20Flow%20Reports%20and%20Query%20Tool/BWPF%20Monthly%20Plant%20Flows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Microsoft_Office_Word_Document2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V47"/>
  <sheetViews>
    <sheetView workbookViewId="0">
      <selection sqref="A1:XFD1048576"/>
    </sheetView>
  </sheetViews>
  <sheetFormatPr defaultRowHeight="15"/>
  <sheetData>
    <row r="47" spans="22:22">
      <c r="V47" s="173" t="s">
        <v>231</v>
      </c>
    </row>
  </sheetData>
  <sheetProtection password="A25B" sheet="1" objects="1" scenarios="1"/>
  <pageMargins left="0.7" right="0.7" top="0.75" bottom="0.75" header="0.3" footer="0.3"/>
  <pageSetup paperSize="17" scale="95" orientation="landscape" r:id="rId1"/>
  <legacyDrawing r:id="rId2"/>
  <oleObjects>
    <oleObject progId="Word.Document.12" shapeId="33793" r:id="rId3"/>
    <oleObject progId="Word.Document.12" shapeId="33794" r:id="rId4"/>
  </oleObjec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topLeftCell="A37" zoomScaleNormal="100" workbookViewId="0">
      <selection activeCell="A3" sqref="A3"/>
    </sheetView>
  </sheetViews>
  <sheetFormatPr defaultRowHeight="15"/>
  <cols>
    <col min="1" max="1" width="35.28515625" style="208" bestFit="1" customWidth="1"/>
    <col min="2" max="2" width="26.5703125" style="208" bestFit="1" customWidth="1"/>
    <col min="3" max="3" width="27.85546875" style="208" bestFit="1" customWidth="1"/>
    <col min="4" max="4" width="29.5703125" style="208" customWidth="1"/>
    <col min="5" max="5" width="24.28515625" style="208" bestFit="1" customWidth="1"/>
    <col min="6" max="6" width="15.140625" style="208" bestFit="1" customWidth="1"/>
    <col min="7" max="7" width="35.5703125" style="208" customWidth="1"/>
    <col min="8" max="8" width="19.7109375" style="208" bestFit="1" customWidth="1"/>
    <col min="9" max="10" width="25.42578125" style="208" bestFit="1" customWidth="1"/>
    <col min="11" max="11" width="22.5703125" style="208" bestFit="1" customWidth="1"/>
    <col min="12" max="12" width="17.140625" style="208" bestFit="1" customWidth="1"/>
    <col min="13" max="13" width="16.140625" style="208" bestFit="1" customWidth="1"/>
    <col min="14" max="14" width="20.28515625" style="208" bestFit="1" customWidth="1"/>
    <col min="15" max="16" width="16.28515625" style="208" bestFit="1" customWidth="1"/>
    <col min="17" max="17" width="24" style="208" bestFit="1" customWidth="1"/>
    <col min="18" max="18" width="24.42578125" style="208" bestFit="1" customWidth="1"/>
    <col min="19" max="19" width="26" style="208" bestFit="1" customWidth="1"/>
    <col min="20" max="20" width="25.85546875" style="208" bestFit="1" customWidth="1"/>
    <col min="21" max="21" width="13.85546875" style="208" bestFit="1" customWidth="1"/>
    <col min="22" max="22" width="11.5703125" style="208" bestFit="1" customWidth="1"/>
    <col min="23" max="23" width="20.28515625" style="208" bestFit="1" customWidth="1"/>
    <col min="24" max="24" width="20" style="208" bestFit="1" customWidth="1"/>
    <col min="25" max="25" width="22.5703125" style="208" bestFit="1" customWidth="1"/>
    <col min="26" max="26" width="22.28515625" style="208" bestFit="1" customWidth="1"/>
    <col min="27" max="27" width="21.28515625" style="208" bestFit="1" customWidth="1"/>
    <col min="28" max="28" width="32.85546875" style="208" bestFit="1" customWidth="1"/>
    <col min="29" max="29" width="36.7109375" style="208" customWidth="1"/>
    <col min="30" max="30" width="33.28515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3" style="208" bestFit="1" customWidth="1"/>
    <col min="35" max="35" width="17" style="208" bestFit="1" customWidth="1"/>
    <col min="36" max="36" width="17.5703125" style="208" bestFit="1" customWidth="1"/>
    <col min="37" max="38" width="15.85546875" style="208" bestFit="1" customWidth="1"/>
    <col min="39" max="39" width="21.85546875" style="208" bestFit="1" customWidth="1"/>
    <col min="40" max="40" width="18.7109375" style="208" bestFit="1" customWidth="1"/>
    <col min="41" max="43" width="15.8554687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40725</v>
      </c>
      <c r="B8" s="233"/>
      <c r="C8" s="234">
        <v>0</v>
      </c>
      <c r="D8" s="234">
        <v>0</v>
      </c>
      <c r="E8" s="234">
        <v>0</v>
      </c>
      <c r="F8" s="234">
        <v>0</v>
      </c>
      <c r="G8" s="234">
        <v>0</v>
      </c>
      <c r="H8" s="235">
        <v>0</v>
      </c>
      <c r="I8" s="233">
        <v>272.22045302391047</v>
      </c>
      <c r="J8" s="234">
        <v>673.79273996352958</v>
      </c>
      <c r="K8" s="234">
        <v>9.3919677411516442</v>
      </c>
      <c r="L8" s="234">
        <v>0</v>
      </c>
      <c r="M8" s="234">
        <v>0</v>
      </c>
      <c r="N8" s="235">
        <v>6.8718529105186468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198.83061172697086</v>
      </c>
      <c r="V8" s="238">
        <v>0</v>
      </c>
      <c r="W8" s="238">
        <v>21.787575600544596</v>
      </c>
      <c r="X8" s="238">
        <v>0</v>
      </c>
      <c r="Y8" s="238">
        <v>173.53644255797073</v>
      </c>
      <c r="Z8" s="238">
        <v>0</v>
      </c>
      <c r="AA8" s="239">
        <v>0</v>
      </c>
      <c r="AB8" s="240">
        <v>0</v>
      </c>
      <c r="AC8" s="241">
        <v>0</v>
      </c>
      <c r="AD8" s="241">
        <v>8.9343329628308705</v>
      </c>
      <c r="AE8" s="242">
        <v>8.7919537573210249</v>
      </c>
      <c r="AF8" s="242">
        <v>0</v>
      </c>
      <c r="AG8" s="242">
        <v>1</v>
      </c>
      <c r="AH8" s="241">
        <v>359.75292064348855</v>
      </c>
      <c r="AI8" s="241">
        <v>695.29755729039493</v>
      </c>
      <c r="AJ8" s="241">
        <v>1956.9542754491169</v>
      </c>
      <c r="AK8" s="241">
        <v>1007.9239735921224</v>
      </c>
      <c r="AL8" s="241">
        <v>1186.4244310379027</v>
      </c>
      <c r="AM8" s="241">
        <v>1649.5663899103799</v>
      </c>
      <c r="AN8" s="241">
        <v>464.89923828442898</v>
      </c>
      <c r="AO8" s="241">
        <v>1803.1410924275717</v>
      </c>
      <c r="AP8" s="241">
        <v>1070.8324341932937</v>
      </c>
      <c r="AQ8" s="241">
        <v>924.61057446797679</v>
      </c>
    </row>
    <row r="9" spans="1:47">
      <c r="A9" s="232">
        <f>A8+1</f>
        <v>40726</v>
      </c>
      <c r="B9" s="243"/>
      <c r="C9" s="244">
        <v>0</v>
      </c>
      <c r="D9" s="244">
        <v>0</v>
      </c>
      <c r="E9" s="244">
        <v>0</v>
      </c>
      <c r="F9" s="244">
        <v>0</v>
      </c>
      <c r="G9" s="244">
        <v>0</v>
      </c>
      <c r="H9" s="245">
        <v>0</v>
      </c>
      <c r="I9" s="243">
        <v>379.55210816065488</v>
      </c>
      <c r="J9" s="244">
        <v>947.9131296793629</v>
      </c>
      <c r="K9" s="244">
        <v>15.618990682065505</v>
      </c>
      <c r="L9" s="244">
        <v>0</v>
      </c>
      <c r="M9" s="244">
        <v>0</v>
      </c>
      <c r="N9" s="245">
        <v>0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277.34986205631168</v>
      </c>
      <c r="V9" s="246">
        <v>0</v>
      </c>
      <c r="W9" s="246">
        <v>29.604527381062507</v>
      </c>
      <c r="X9" s="246">
        <v>0</v>
      </c>
      <c r="Y9" s="250">
        <v>235.74839151700323</v>
      </c>
      <c r="Z9" s="250">
        <v>0</v>
      </c>
      <c r="AA9" s="251">
        <v>0</v>
      </c>
      <c r="AB9" s="252">
        <v>0</v>
      </c>
      <c r="AC9" s="253">
        <v>0</v>
      </c>
      <c r="AD9" s="253">
        <v>12.469533591800255</v>
      </c>
      <c r="AE9" s="252">
        <v>12.27981184463528</v>
      </c>
      <c r="AF9" s="252">
        <v>0</v>
      </c>
      <c r="AG9" s="252">
        <v>1</v>
      </c>
      <c r="AH9" s="253">
        <v>317.7964932759603</v>
      </c>
      <c r="AI9" s="253">
        <v>643.66532608668001</v>
      </c>
      <c r="AJ9" s="253">
        <v>1305.2348793029787</v>
      </c>
      <c r="AK9" s="253">
        <v>1004.6392675399779</v>
      </c>
      <c r="AL9" s="253">
        <v>1185.4484189987181</v>
      </c>
      <c r="AM9" s="253">
        <v>1636.7286637624104</v>
      </c>
      <c r="AN9" s="253">
        <v>558.75570513407388</v>
      </c>
      <c r="AO9" s="253">
        <v>2013.2355255126954</v>
      </c>
      <c r="AP9" s="253">
        <v>106.90694332520168</v>
      </c>
      <c r="AQ9" s="253">
        <v>898.80571050643903</v>
      </c>
    </row>
    <row r="10" spans="1:47">
      <c r="A10" s="232">
        <f t="shared" ref="A10:A38" si="0">A9+1</f>
        <v>40727</v>
      </c>
      <c r="B10" s="243"/>
      <c r="C10" s="244">
        <v>0</v>
      </c>
      <c r="D10" s="244">
        <v>0</v>
      </c>
      <c r="E10" s="244">
        <v>0</v>
      </c>
      <c r="F10" s="244">
        <v>0</v>
      </c>
      <c r="G10" s="244">
        <v>0</v>
      </c>
      <c r="H10" s="245">
        <v>0</v>
      </c>
      <c r="I10" s="243">
        <v>405.20440580050183</v>
      </c>
      <c r="J10" s="244">
        <v>983.67697970072402</v>
      </c>
      <c r="K10" s="244">
        <v>16.898048753539769</v>
      </c>
      <c r="L10" s="244">
        <v>0</v>
      </c>
      <c r="M10" s="244">
        <v>0</v>
      </c>
      <c r="N10" s="245">
        <v>0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313.5830000559472</v>
      </c>
      <c r="V10" s="246">
        <v>0</v>
      </c>
      <c r="W10" s="246">
        <v>32.358480598529169</v>
      </c>
      <c r="X10" s="246">
        <v>0</v>
      </c>
      <c r="Y10" s="250">
        <v>250.90163439114809</v>
      </c>
      <c r="Z10" s="250">
        <v>0</v>
      </c>
      <c r="AA10" s="251">
        <v>0</v>
      </c>
      <c r="AB10" s="252">
        <v>0</v>
      </c>
      <c r="AC10" s="253">
        <v>0</v>
      </c>
      <c r="AD10" s="253">
        <v>13.228252053923063</v>
      </c>
      <c r="AE10" s="252">
        <v>12.99906692632009</v>
      </c>
      <c r="AF10" s="252">
        <v>0</v>
      </c>
      <c r="AG10" s="252">
        <v>1</v>
      </c>
      <c r="AH10" s="253">
        <v>311.50114588737489</v>
      </c>
      <c r="AI10" s="253">
        <v>656.96082855860379</v>
      </c>
      <c r="AJ10" s="253">
        <v>1388.6097709655758</v>
      </c>
      <c r="AK10" s="253">
        <v>1009.3681699752808</v>
      </c>
      <c r="AL10" s="253">
        <v>1194.8788701375322</v>
      </c>
      <c r="AM10" s="253">
        <v>1634.4395704269409</v>
      </c>
      <c r="AN10" s="253">
        <v>583.23747523625707</v>
      </c>
      <c r="AO10" s="253">
        <v>2100.7509155273437</v>
      </c>
      <c r="AP10" s="253">
        <v>108.64489229520161</v>
      </c>
      <c r="AQ10" s="253">
        <v>919.15089114507043</v>
      </c>
    </row>
    <row r="11" spans="1:47">
      <c r="A11" s="232">
        <f t="shared" si="0"/>
        <v>40728</v>
      </c>
      <c r="B11" s="243"/>
      <c r="C11" s="244">
        <v>0</v>
      </c>
      <c r="D11" s="244">
        <v>0</v>
      </c>
      <c r="E11" s="244">
        <v>0</v>
      </c>
      <c r="F11" s="244">
        <v>0</v>
      </c>
      <c r="G11" s="244">
        <v>0</v>
      </c>
      <c r="H11" s="245">
        <v>0</v>
      </c>
      <c r="I11" s="243">
        <v>408.09096624056548</v>
      </c>
      <c r="J11" s="244">
        <v>976.81786537170387</v>
      </c>
      <c r="K11" s="244">
        <v>20.601815152665019</v>
      </c>
      <c r="L11" s="244">
        <v>0</v>
      </c>
      <c r="M11" s="244">
        <v>0</v>
      </c>
      <c r="N11" s="245">
        <v>0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315.84471092224874</v>
      </c>
      <c r="V11" s="246">
        <v>0</v>
      </c>
      <c r="W11" s="246">
        <v>32.426558212439176</v>
      </c>
      <c r="X11" s="246">
        <v>0</v>
      </c>
      <c r="Y11" s="250">
        <v>245.51150757471768</v>
      </c>
      <c r="Z11" s="250">
        <v>0</v>
      </c>
      <c r="AA11" s="251">
        <v>0</v>
      </c>
      <c r="AB11" s="252">
        <v>0</v>
      </c>
      <c r="AC11" s="253">
        <v>0</v>
      </c>
      <c r="AD11" s="253">
        <v>13.232090847359753</v>
      </c>
      <c r="AE11" s="252">
        <v>12.999792389345746</v>
      </c>
      <c r="AF11" s="252">
        <v>0</v>
      </c>
      <c r="AG11" s="252">
        <v>1</v>
      </c>
      <c r="AH11" s="253">
        <v>303.59350200494129</v>
      </c>
      <c r="AI11" s="253">
        <v>661.18075037002563</v>
      </c>
      <c r="AJ11" s="253">
        <v>1362.7792239507041</v>
      </c>
      <c r="AK11" s="253">
        <v>1010.9662301381429</v>
      </c>
      <c r="AL11" s="253">
        <v>1163.0437050183616</v>
      </c>
      <c r="AM11" s="253">
        <v>1652.7629304885863</v>
      </c>
      <c r="AN11" s="253">
        <v>582.7961399714153</v>
      </c>
      <c r="AO11" s="253">
        <v>2103.3529172261556</v>
      </c>
      <c r="AP11" s="253">
        <v>114.35754668315251</v>
      </c>
      <c r="AQ11" s="253">
        <v>992.76555449167893</v>
      </c>
    </row>
    <row r="12" spans="1:47">
      <c r="A12" s="232">
        <f t="shared" si="0"/>
        <v>40729</v>
      </c>
      <c r="B12" s="243"/>
      <c r="C12" s="244">
        <v>0</v>
      </c>
      <c r="D12" s="244">
        <v>0</v>
      </c>
      <c r="E12" s="244">
        <v>0</v>
      </c>
      <c r="F12" s="244">
        <v>0</v>
      </c>
      <c r="G12" s="244">
        <v>0</v>
      </c>
      <c r="H12" s="245">
        <v>0</v>
      </c>
      <c r="I12" s="243">
        <v>429.57562521298763</v>
      </c>
      <c r="J12" s="244">
        <v>998.20713253021108</v>
      </c>
      <c r="K12" s="244">
        <v>24.542594187955068</v>
      </c>
      <c r="L12" s="244">
        <v>0</v>
      </c>
      <c r="M12" s="244">
        <v>0</v>
      </c>
      <c r="N12" s="245">
        <v>0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310.49769837061581</v>
      </c>
      <c r="V12" s="246">
        <v>0</v>
      </c>
      <c r="W12" s="246">
        <v>31.526236738761288</v>
      </c>
      <c r="X12" s="246">
        <v>0</v>
      </c>
      <c r="Y12" s="250">
        <v>238.95222589174878</v>
      </c>
      <c r="Z12" s="250">
        <v>0</v>
      </c>
      <c r="AA12" s="251">
        <v>0</v>
      </c>
      <c r="AB12" s="252">
        <v>0</v>
      </c>
      <c r="AC12" s="253">
        <v>0</v>
      </c>
      <c r="AD12" s="253">
        <v>13.019960285557614</v>
      </c>
      <c r="AE12" s="252">
        <v>12.802759495704452</v>
      </c>
      <c r="AF12" s="252">
        <v>0</v>
      </c>
      <c r="AG12" s="252">
        <v>1</v>
      </c>
      <c r="AH12" s="253">
        <v>493.43519964218143</v>
      </c>
      <c r="AI12" s="253">
        <v>830.85195407867434</v>
      </c>
      <c r="AJ12" s="253">
        <v>1254.2859970728557</v>
      </c>
      <c r="AK12" s="253">
        <v>1002.469427172343</v>
      </c>
      <c r="AL12" s="253">
        <v>1178.4303073247277</v>
      </c>
      <c r="AM12" s="253">
        <v>1756.0071973800661</v>
      </c>
      <c r="AN12" s="253">
        <v>559.31697986920688</v>
      </c>
      <c r="AO12" s="253">
        <v>1993.080953470866</v>
      </c>
      <c r="AP12" s="253">
        <v>238.46176840861634</v>
      </c>
      <c r="AQ12" s="253">
        <v>962.7831320126852</v>
      </c>
    </row>
    <row r="13" spans="1:47">
      <c r="A13" s="232">
        <f t="shared" si="0"/>
        <v>40730</v>
      </c>
      <c r="B13" s="243"/>
      <c r="C13" s="244">
        <v>0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243">
        <v>403.37233953475999</v>
      </c>
      <c r="J13" s="244">
        <v>972.34110717773456</v>
      </c>
      <c r="K13" s="244">
        <v>16.937925432622457</v>
      </c>
      <c r="L13" s="244">
        <v>0</v>
      </c>
      <c r="M13" s="244">
        <v>0</v>
      </c>
      <c r="N13" s="245">
        <v>33.794728319346895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321.81851579877525</v>
      </c>
      <c r="V13" s="246">
        <v>0</v>
      </c>
      <c r="W13" s="246">
        <v>31.084715014696148</v>
      </c>
      <c r="X13" s="246">
        <v>0</v>
      </c>
      <c r="Y13" s="250">
        <v>242.65325748125696</v>
      </c>
      <c r="Z13" s="250">
        <v>0</v>
      </c>
      <c r="AA13" s="251">
        <v>0</v>
      </c>
      <c r="AB13" s="252">
        <v>0</v>
      </c>
      <c r="AC13" s="253">
        <v>0</v>
      </c>
      <c r="AD13" s="253">
        <v>13.21263275014028</v>
      </c>
      <c r="AE13" s="252">
        <v>12.997695703203211</v>
      </c>
      <c r="AF13" s="252">
        <v>0</v>
      </c>
      <c r="AG13" s="252">
        <v>1</v>
      </c>
      <c r="AH13" s="253">
        <v>495.73798732757569</v>
      </c>
      <c r="AI13" s="253">
        <v>796.90909751256299</v>
      </c>
      <c r="AJ13" s="253">
        <v>1158.5485812505087</v>
      </c>
      <c r="AK13" s="253">
        <v>1027.7108865737914</v>
      </c>
      <c r="AL13" s="253">
        <v>1186.159170691172</v>
      </c>
      <c r="AM13" s="253">
        <v>1732.3802638371787</v>
      </c>
      <c r="AN13" s="253">
        <v>532.36543760299685</v>
      </c>
      <c r="AO13" s="253">
        <v>1973.9163513183594</v>
      </c>
      <c r="AP13" s="253">
        <v>282.01084917386373</v>
      </c>
      <c r="AQ13" s="253">
        <v>970.83231166203848</v>
      </c>
    </row>
    <row r="14" spans="1:47">
      <c r="A14" s="232">
        <f t="shared" si="0"/>
        <v>40731</v>
      </c>
      <c r="B14" s="243"/>
      <c r="C14" s="244">
        <v>0</v>
      </c>
      <c r="D14" s="244">
        <v>0</v>
      </c>
      <c r="E14" s="244">
        <v>0</v>
      </c>
      <c r="F14" s="244">
        <v>0</v>
      </c>
      <c r="G14" s="244">
        <v>0</v>
      </c>
      <c r="H14" s="245">
        <v>0</v>
      </c>
      <c r="I14" s="243">
        <v>484.28335375785736</v>
      </c>
      <c r="J14" s="244">
        <v>1208.997920354205</v>
      </c>
      <c r="K14" s="244">
        <v>15.172004996736801</v>
      </c>
      <c r="L14" s="244">
        <v>0</v>
      </c>
      <c r="M14" s="244">
        <v>0</v>
      </c>
      <c r="N14" s="245">
        <v>0.25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354.81065828535168</v>
      </c>
      <c r="V14" s="246">
        <v>0</v>
      </c>
      <c r="W14" s="246">
        <v>37.574435595671346</v>
      </c>
      <c r="X14" s="246">
        <v>0</v>
      </c>
      <c r="Y14" s="250">
        <v>272.240785137812</v>
      </c>
      <c r="Z14" s="250">
        <v>0</v>
      </c>
      <c r="AA14" s="251">
        <v>0</v>
      </c>
      <c r="AB14" s="252">
        <v>0</v>
      </c>
      <c r="AC14" s="253">
        <v>0</v>
      </c>
      <c r="AD14" s="253">
        <v>14.508993558751211</v>
      </c>
      <c r="AE14" s="252">
        <v>14.333666228740682</v>
      </c>
      <c r="AF14" s="252">
        <v>0</v>
      </c>
      <c r="AG14" s="252">
        <v>1</v>
      </c>
      <c r="AH14" s="253">
        <v>481.19121662775672</v>
      </c>
      <c r="AI14" s="253">
        <v>777.68127018610642</v>
      </c>
      <c r="AJ14" s="253">
        <v>1252.4684512456258</v>
      </c>
      <c r="AK14" s="253">
        <v>1023.5023448944092</v>
      </c>
      <c r="AL14" s="253">
        <v>1165.191612084707</v>
      </c>
      <c r="AM14" s="253">
        <v>1771.7747468312584</v>
      </c>
      <c r="AN14" s="253">
        <v>644.46641751925154</v>
      </c>
      <c r="AO14" s="253">
        <v>2269.9175287882485</v>
      </c>
      <c r="AP14" s="253">
        <v>350.14557380676268</v>
      </c>
      <c r="AQ14" s="253">
        <v>984.37627118428554</v>
      </c>
    </row>
    <row r="15" spans="1:47">
      <c r="A15" s="232">
        <f t="shared" si="0"/>
        <v>40732</v>
      </c>
      <c r="B15" s="243"/>
      <c r="C15" s="244">
        <v>0</v>
      </c>
      <c r="D15" s="244">
        <v>0</v>
      </c>
      <c r="E15" s="244">
        <v>0</v>
      </c>
      <c r="F15" s="244">
        <v>0</v>
      </c>
      <c r="G15" s="244">
        <v>0</v>
      </c>
      <c r="H15" s="245">
        <v>0</v>
      </c>
      <c r="I15" s="243">
        <v>370.36521628697744</v>
      </c>
      <c r="J15" s="244">
        <v>1010.9676026662178</v>
      </c>
      <c r="K15" s="244">
        <v>16.271976015965155</v>
      </c>
      <c r="L15" s="244">
        <v>0</v>
      </c>
      <c r="M15" s="244">
        <v>0</v>
      </c>
      <c r="N15" s="245">
        <v>0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282.88753377067076</v>
      </c>
      <c r="V15" s="246">
        <v>0</v>
      </c>
      <c r="W15" s="246">
        <v>29.997608374555924</v>
      </c>
      <c r="X15" s="246">
        <v>0</v>
      </c>
      <c r="Y15" s="250">
        <v>234.46097854773231</v>
      </c>
      <c r="Z15" s="250">
        <v>0</v>
      </c>
      <c r="AA15" s="251">
        <v>0</v>
      </c>
      <c r="AB15" s="252">
        <v>0</v>
      </c>
      <c r="AC15" s="253">
        <v>0</v>
      </c>
      <c r="AD15" s="253">
        <v>12.253333685795466</v>
      </c>
      <c r="AE15" s="252">
        <v>12.069754815961623</v>
      </c>
      <c r="AF15" s="252">
        <v>0</v>
      </c>
      <c r="AG15" s="252">
        <v>1</v>
      </c>
      <c r="AH15" s="253">
        <v>481.36610347429911</v>
      </c>
      <c r="AI15" s="253">
        <v>727.16173265775046</v>
      </c>
      <c r="AJ15" s="253">
        <v>1327.935075632731</v>
      </c>
      <c r="AK15" s="253">
        <v>1003.8447483698528</v>
      </c>
      <c r="AL15" s="253">
        <v>1166.3430845578512</v>
      </c>
      <c r="AM15" s="253">
        <v>1735.0415550231935</v>
      </c>
      <c r="AN15" s="253">
        <v>685.87073171933491</v>
      </c>
      <c r="AO15" s="253">
        <v>2104.578602218628</v>
      </c>
      <c r="AP15" s="253">
        <v>357.3256795088451</v>
      </c>
      <c r="AQ15" s="253">
        <v>1023.4071862538657</v>
      </c>
    </row>
    <row r="16" spans="1:47">
      <c r="A16" s="232">
        <f t="shared" si="0"/>
        <v>40733</v>
      </c>
      <c r="B16" s="243"/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5">
        <v>0</v>
      </c>
      <c r="I16" s="243">
        <v>301.9742601712544</v>
      </c>
      <c r="J16" s="244">
        <v>763.74601186116467</v>
      </c>
      <c r="K16" s="244">
        <v>13.777735167741822</v>
      </c>
      <c r="L16" s="244">
        <v>0</v>
      </c>
      <c r="M16" s="244">
        <v>0</v>
      </c>
      <c r="N16" s="245">
        <v>0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204.71607659658233</v>
      </c>
      <c r="V16" s="246">
        <v>0</v>
      </c>
      <c r="W16" s="246">
        <v>22.151846477389345</v>
      </c>
      <c r="X16" s="246">
        <v>0</v>
      </c>
      <c r="Y16" s="250">
        <v>169.63602399826036</v>
      </c>
      <c r="Z16" s="250">
        <v>0</v>
      </c>
      <c r="AA16" s="251">
        <v>0</v>
      </c>
      <c r="AB16" s="252">
        <v>0</v>
      </c>
      <c r="AC16" s="253">
        <v>0</v>
      </c>
      <c r="AD16" s="253">
        <v>9.1193319618702215</v>
      </c>
      <c r="AE16" s="252">
        <v>9.0010424536344757</v>
      </c>
      <c r="AF16" s="252">
        <v>0</v>
      </c>
      <c r="AG16" s="252">
        <v>1</v>
      </c>
      <c r="AH16" s="253">
        <v>495.00587924321491</v>
      </c>
      <c r="AI16" s="253">
        <v>722.39790344238281</v>
      </c>
      <c r="AJ16" s="253">
        <v>1356.1599677403769</v>
      </c>
      <c r="AK16" s="253">
        <v>1013.3355643590291</v>
      </c>
      <c r="AL16" s="253">
        <v>1166.0635354995729</v>
      </c>
      <c r="AM16" s="253">
        <v>1723.6463258107501</v>
      </c>
      <c r="AN16" s="253">
        <v>525.84926226933806</v>
      </c>
      <c r="AO16" s="253">
        <v>2050.4774780273437</v>
      </c>
      <c r="AP16" s="253">
        <v>326.25527674357102</v>
      </c>
      <c r="AQ16" s="253">
        <v>1094.6100466410319</v>
      </c>
    </row>
    <row r="17" spans="1:43">
      <c r="A17" s="232">
        <f t="shared" si="0"/>
        <v>40734</v>
      </c>
      <c r="B17" s="233"/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5">
        <v>0</v>
      </c>
      <c r="I17" s="233">
        <v>307.18086764017733</v>
      </c>
      <c r="J17" s="234">
        <v>799.32815272013261</v>
      </c>
      <c r="K17" s="234">
        <v>14.570722692211485</v>
      </c>
      <c r="L17" s="244">
        <v>0</v>
      </c>
      <c r="M17" s="234">
        <v>0</v>
      </c>
      <c r="N17" s="235">
        <v>0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209.66438050799658</v>
      </c>
      <c r="V17" s="250">
        <v>0</v>
      </c>
      <c r="W17" s="246">
        <v>22.192166821161905</v>
      </c>
      <c r="X17" s="246">
        <v>0</v>
      </c>
      <c r="Y17" s="250">
        <v>174.79580067793543</v>
      </c>
      <c r="Z17" s="250">
        <v>0</v>
      </c>
      <c r="AA17" s="251">
        <v>0</v>
      </c>
      <c r="AB17" s="252">
        <v>0</v>
      </c>
      <c r="AC17" s="253">
        <v>0</v>
      </c>
      <c r="AD17" s="253">
        <v>9.4927094015810471</v>
      </c>
      <c r="AE17" s="252">
        <v>9.400081010545275</v>
      </c>
      <c r="AF17" s="252">
        <v>0</v>
      </c>
      <c r="AG17" s="252">
        <v>1</v>
      </c>
      <c r="AH17" s="253">
        <v>493.51688712437948</v>
      </c>
      <c r="AI17" s="253">
        <v>729.18758106231701</v>
      </c>
      <c r="AJ17" s="253">
        <v>1078.6795888900758</v>
      </c>
      <c r="AK17" s="253">
        <v>1008.0584244410197</v>
      </c>
      <c r="AL17" s="253">
        <v>1168.6637014706928</v>
      </c>
      <c r="AM17" s="253">
        <v>1777.3475255966184</v>
      </c>
      <c r="AN17" s="253">
        <v>466.13631156285612</v>
      </c>
      <c r="AO17" s="253">
        <v>2050.4774780273437</v>
      </c>
      <c r="AP17" s="253">
        <v>314.37551182111105</v>
      </c>
      <c r="AQ17" s="253">
        <v>1005.1875441869097</v>
      </c>
    </row>
    <row r="18" spans="1:43">
      <c r="A18" s="232">
        <f t="shared" si="0"/>
        <v>40735</v>
      </c>
      <c r="B18" s="243"/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5">
        <v>0</v>
      </c>
      <c r="I18" s="243">
        <v>490.47042770385684</v>
      </c>
      <c r="J18" s="244">
        <v>1135.1550161997468</v>
      </c>
      <c r="K18" s="244">
        <v>24.685118164618821</v>
      </c>
      <c r="L18" s="244">
        <v>0</v>
      </c>
      <c r="M18" s="244">
        <v>0</v>
      </c>
      <c r="N18" s="245">
        <v>0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304.67787231869448</v>
      </c>
      <c r="V18" s="246">
        <v>0</v>
      </c>
      <c r="W18" s="246">
        <v>32.112836047013602</v>
      </c>
      <c r="X18" s="246">
        <v>0</v>
      </c>
      <c r="Y18" s="250">
        <v>247.65850529670661</v>
      </c>
      <c r="Z18" s="250">
        <v>0</v>
      </c>
      <c r="AA18" s="251">
        <v>0</v>
      </c>
      <c r="AB18" s="252">
        <v>0</v>
      </c>
      <c r="AC18" s="253">
        <v>0</v>
      </c>
      <c r="AD18" s="253">
        <v>13.217217981815351</v>
      </c>
      <c r="AE18" s="252">
        <v>13.070700484959008</v>
      </c>
      <c r="AF18" s="252">
        <v>0</v>
      </c>
      <c r="AG18" s="252">
        <v>1</v>
      </c>
      <c r="AH18" s="253">
        <v>472.64649397532145</v>
      </c>
      <c r="AI18" s="253">
        <v>752.21600054105124</v>
      </c>
      <c r="AJ18" s="253">
        <v>1121.4239539464315</v>
      </c>
      <c r="AK18" s="253">
        <v>985.74248930613203</v>
      </c>
      <c r="AL18" s="253">
        <v>1150.2651672363281</v>
      </c>
      <c r="AM18" s="253">
        <v>1815.2640860875445</v>
      </c>
      <c r="AN18" s="253">
        <v>479.51993611653637</v>
      </c>
      <c r="AO18" s="253">
        <v>1933.3713401794435</v>
      </c>
      <c r="AP18" s="253">
        <v>311.39863446553551</v>
      </c>
      <c r="AQ18" s="253">
        <v>1008.0839086214702</v>
      </c>
    </row>
    <row r="19" spans="1:43">
      <c r="A19" s="232">
        <f t="shared" si="0"/>
        <v>40736</v>
      </c>
      <c r="B19" s="243"/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5">
        <v>0</v>
      </c>
      <c r="I19" s="243">
        <v>472.08698466618807</v>
      </c>
      <c r="J19" s="244">
        <v>1086.8412949244196</v>
      </c>
      <c r="K19" s="244">
        <v>26.29855826894439</v>
      </c>
      <c r="L19" s="244">
        <v>0</v>
      </c>
      <c r="M19" s="244">
        <v>0</v>
      </c>
      <c r="N19" s="245">
        <v>0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304.89379174974226</v>
      </c>
      <c r="V19" s="246">
        <v>0</v>
      </c>
      <c r="W19" s="246">
        <v>33.219842700163561</v>
      </c>
      <c r="X19" s="246">
        <v>0</v>
      </c>
      <c r="Y19" s="250">
        <v>249.70947844187353</v>
      </c>
      <c r="Z19" s="250">
        <v>0</v>
      </c>
      <c r="AA19" s="251">
        <v>0</v>
      </c>
      <c r="AB19" s="252">
        <v>0</v>
      </c>
      <c r="AC19" s="253">
        <v>0</v>
      </c>
      <c r="AD19" s="253">
        <v>13.156536969873638</v>
      </c>
      <c r="AE19" s="252">
        <v>13.000507174770016</v>
      </c>
      <c r="AF19" s="252">
        <v>0</v>
      </c>
      <c r="AG19" s="252">
        <v>1</v>
      </c>
      <c r="AH19" s="253">
        <v>475.40890005429583</v>
      </c>
      <c r="AI19" s="253">
        <v>697.64964432716363</v>
      </c>
      <c r="AJ19" s="253">
        <v>1297.8875218709309</v>
      </c>
      <c r="AK19" s="253">
        <v>982.3642169952393</v>
      </c>
      <c r="AL19" s="253">
        <v>1159.8525095939638</v>
      </c>
      <c r="AM19" s="253">
        <v>1751.1521361668906</v>
      </c>
      <c r="AN19" s="253">
        <v>570.22414862314861</v>
      </c>
      <c r="AO19" s="253">
        <v>1991.4192392985026</v>
      </c>
      <c r="AP19" s="253">
        <v>341.44812860488889</v>
      </c>
      <c r="AQ19" s="253">
        <v>939.74795837402348</v>
      </c>
    </row>
    <row r="20" spans="1:43">
      <c r="A20" s="232">
        <f t="shared" si="0"/>
        <v>40737</v>
      </c>
      <c r="B20" s="243"/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5">
        <v>0</v>
      </c>
      <c r="I20" s="243">
        <v>319.26211727460219</v>
      </c>
      <c r="J20" s="244">
        <v>731.14782840410703</v>
      </c>
      <c r="K20" s="244">
        <v>17.405326275030799</v>
      </c>
      <c r="L20" s="244">
        <v>0</v>
      </c>
      <c r="M20" s="244">
        <v>0</v>
      </c>
      <c r="N20" s="245">
        <v>0.75343084335327148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192.66789740456477</v>
      </c>
      <c r="V20" s="246">
        <v>0</v>
      </c>
      <c r="W20" s="246">
        <v>20.928216506044109</v>
      </c>
      <c r="X20" s="246">
        <v>0</v>
      </c>
      <c r="Y20" s="250">
        <v>162.86450797716748</v>
      </c>
      <c r="Z20" s="250">
        <v>0</v>
      </c>
      <c r="AA20" s="251">
        <v>0</v>
      </c>
      <c r="AB20" s="252">
        <v>0</v>
      </c>
      <c r="AC20" s="253">
        <v>0</v>
      </c>
      <c r="AD20" s="253">
        <v>8.5278114620182155</v>
      </c>
      <c r="AE20" s="252">
        <v>8.3467104797818443</v>
      </c>
      <c r="AF20" s="252">
        <v>0</v>
      </c>
      <c r="AG20" s="252">
        <v>1</v>
      </c>
      <c r="AH20" s="253">
        <v>179.08802417914072</v>
      </c>
      <c r="AI20" s="253">
        <v>404.12600859006244</v>
      </c>
      <c r="AJ20" s="253">
        <v>1355.9946318944296</v>
      </c>
      <c r="AK20" s="253">
        <v>1001.6810927073159</v>
      </c>
      <c r="AL20" s="253">
        <v>1169.253820927938</v>
      </c>
      <c r="AM20" s="253">
        <v>1787.4732270558675</v>
      </c>
      <c r="AN20" s="253">
        <v>601.66836818059289</v>
      </c>
      <c r="AO20" s="253">
        <v>2178.4945063273112</v>
      </c>
      <c r="AP20" s="253">
        <v>380.47077751159674</v>
      </c>
      <c r="AQ20" s="253">
        <v>957.4460205396017</v>
      </c>
    </row>
    <row r="21" spans="1:43">
      <c r="A21" s="232">
        <f t="shared" si="0"/>
        <v>40738</v>
      </c>
      <c r="B21" s="243"/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5">
        <v>0</v>
      </c>
      <c r="I21" s="243">
        <v>285.67218003273035</v>
      </c>
      <c r="J21" s="244">
        <v>643.61215209960881</v>
      </c>
      <c r="K21" s="244">
        <v>15.217745961745598</v>
      </c>
      <c r="L21" s="244">
        <v>0</v>
      </c>
      <c r="M21" s="244">
        <v>0</v>
      </c>
      <c r="N21" s="245">
        <v>37.828859254221122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177.54905440542473</v>
      </c>
      <c r="V21" s="246">
        <v>0</v>
      </c>
      <c r="W21" s="246">
        <v>18.592852096756268</v>
      </c>
      <c r="X21" s="246">
        <v>0</v>
      </c>
      <c r="Y21" s="250">
        <v>132.99486955006952</v>
      </c>
      <c r="Z21" s="250">
        <v>0</v>
      </c>
      <c r="AA21" s="251">
        <v>0</v>
      </c>
      <c r="AB21" s="252">
        <v>0</v>
      </c>
      <c r="AC21" s="253">
        <v>0</v>
      </c>
      <c r="AD21" s="253">
        <v>7.4056861443652089</v>
      </c>
      <c r="AE21" s="252">
        <v>7.3679873532379228</v>
      </c>
      <c r="AF21" s="252">
        <v>0</v>
      </c>
      <c r="AG21" s="252">
        <v>1</v>
      </c>
      <c r="AH21" s="253">
        <v>177.25326623121899</v>
      </c>
      <c r="AI21" s="253">
        <v>404.1711818059286</v>
      </c>
      <c r="AJ21" s="253">
        <v>1337.7096778233847</v>
      </c>
      <c r="AK21" s="253">
        <v>1007.9400700887045</v>
      </c>
      <c r="AL21" s="253">
        <v>1156.1083904266357</v>
      </c>
      <c r="AM21" s="253">
        <v>1765.5627112070717</v>
      </c>
      <c r="AN21" s="253">
        <v>602.43330985705063</v>
      </c>
      <c r="AO21" s="253">
        <v>1545.4082217534385</v>
      </c>
      <c r="AP21" s="253">
        <v>460.63366686503093</v>
      </c>
      <c r="AQ21" s="253">
        <v>967.27421286900847</v>
      </c>
    </row>
    <row r="22" spans="1:43">
      <c r="A22" s="232">
        <f t="shared" si="0"/>
        <v>40739</v>
      </c>
      <c r="B22" s="243"/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5">
        <v>0</v>
      </c>
      <c r="I22" s="243">
        <v>369.99003686904865</v>
      </c>
      <c r="J22" s="244">
        <v>765.5169359842921</v>
      </c>
      <c r="K22" s="244">
        <v>18.208531758189235</v>
      </c>
      <c r="L22" s="244">
        <v>0</v>
      </c>
      <c r="M22" s="244">
        <v>0</v>
      </c>
      <c r="N22" s="245">
        <v>116.09020717193677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210.68548222647706</v>
      </c>
      <c r="V22" s="246">
        <v>0</v>
      </c>
      <c r="W22" s="246">
        <v>22.538692732652041</v>
      </c>
      <c r="X22" s="246">
        <v>0</v>
      </c>
      <c r="Y22" s="250">
        <v>163.48784347375243</v>
      </c>
      <c r="Z22" s="250">
        <v>0</v>
      </c>
      <c r="AA22" s="251">
        <v>0</v>
      </c>
      <c r="AB22" s="252">
        <v>0</v>
      </c>
      <c r="AC22" s="253">
        <v>0</v>
      </c>
      <c r="AD22" s="253">
        <v>9.0814000818464482</v>
      </c>
      <c r="AE22" s="252">
        <v>9.0015028560045209</v>
      </c>
      <c r="AF22" s="252">
        <v>0</v>
      </c>
      <c r="AG22" s="252">
        <v>1</v>
      </c>
      <c r="AH22" s="253">
        <v>180.57876601219178</v>
      </c>
      <c r="AI22" s="253">
        <v>406.09313713709514</v>
      </c>
      <c r="AJ22" s="253">
        <v>1302.6054937998454</v>
      </c>
      <c r="AK22" s="253">
        <v>1011.6294324239094</v>
      </c>
      <c r="AL22" s="253">
        <v>1167.7950652122497</v>
      </c>
      <c r="AM22" s="253">
        <v>1789.0542086283365</v>
      </c>
      <c r="AN22" s="253">
        <v>697.57049853007015</v>
      </c>
      <c r="AO22" s="253">
        <v>1549.3160750706991</v>
      </c>
      <c r="AP22" s="253">
        <v>211.4809817592303</v>
      </c>
      <c r="AQ22" s="253">
        <v>988.47437032063795</v>
      </c>
    </row>
    <row r="23" spans="1:43">
      <c r="A23" s="232">
        <f t="shared" si="0"/>
        <v>40740</v>
      </c>
      <c r="B23" s="243"/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5">
        <v>0</v>
      </c>
      <c r="I23" s="243">
        <v>364.10961829821275</v>
      </c>
      <c r="J23" s="244">
        <v>762.73458964029942</v>
      </c>
      <c r="K23" s="244">
        <v>18.195797184109697</v>
      </c>
      <c r="L23" s="244">
        <v>0</v>
      </c>
      <c r="M23" s="244">
        <v>0</v>
      </c>
      <c r="N23" s="245">
        <v>114.66629375467701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209.81109404034106</v>
      </c>
      <c r="V23" s="246">
        <v>0</v>
      </c>
      <c r="W23" s="246">
        <v>21.910062882304196</v>
      </c>
      <c r="X23" s="246">
        <v>0</v>
      </c>
      <c r="Y23" s="250">
        <v>168.64882011413599</v>
      </c>
      <c r="Z23" s="250">
        <v>0</v>
      </c>
      <c r="AA23" s="251">
        <v>0</v>
      </c>
      <c r="AB23" s="252">
        <v>0</v>
      </c>
      <c r="AC23" s="253">
        <v>0</v>
      </c>
      <c r="AD23" s="253">
        <v>9.0787621034516128</v>
      </c>
      <c r="AE23" s="252">
        <v>8.9991967483481012</v>
      </c>
      <c r="AF23" s="252">
        <v>0</v>
      </c>
      <c r="AG23" s="252">
        <v>1</v>
      </c>
      <c r="AH23" s="253">
        <v>196.86325942675273</v>
      </c>
      <c r="AI23" s="253">
        <v>418.03571950594585</v>
      </c>
      <c r="AJ23" s="253">
        <v>1378.565591430664</v>
      </c>
      <c r="AK23" s="253">
        <v>1016.7163381576539</v>
      </c>
      <c r="AL23" s="253">
        <v>1172.341405804952</v>
      </c>
      <c r="AM23" s="253">
        <v>1759.9136238098147</v>
      </c>
      <c r="AN23" s="253">
        <v>668.13073348999023</v>
      </c>
      <c r="AO23" s="253">
        <v>1516.1910751342773</v>
      </c>
      <c r="AP23" s="253">
        <v>125.91415910323461</v>
      </c>
      <c r="AQ23" s="253">
        <v>920.41218706766756</v>
      </c>
    </row>
    <row r="24" spans="1:43">
      <c r="A24" s="232">
        <f t="shared" si="0"/>
        <v>40741</v>
      </c>
      <c r="B24" s="243"/>
      <c r="C24" s="244">
        <v>0</v>
      </c>
      <c r="D24" s="244">
        <v>0</v>
      </c>
      <c r="E24" s="244">
        <v>0</v>
      </c>
      <c r="F24" s="244">
        <v>0</v>
      </c>
      <c r="G24" s="244">
        <v>0</v>
      </c>
      <c r="H24" s="245">
        <v>0</v>
      </c>
      <c r="I24" s="243">
        <v>371.91884311040178</v>
      </c>
      <c r="J24" s="244">
        <v>762.88398303985548</v>
      </c>
      <c r="K24" s="244">
        <v>18.230353494485243</v>
      </c>
      <c r="L24" s="244">
        <v>0</v>
      </c>
      <c r="M24" s="244">
        <v>0</v>
      </c>
      <c r="N24" s="245">
        <v>116.45849902629851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209.78073154025554</v>
      </c>
      <c r="V24" s="246">
        <v>0</v>
      </c>
      <c r="W24" s="246">
        <v>21.638953426480306</v>
      </c>
      <c r="X24" s="246">
        <v>0</v>
      </c>
      <c r="Y24" s="250">
        <v>170.2273939530053</v>
      </c>
      <c r="Z24" s="250">
        <v>0</v>
      </c>
      <c r="AA24" s="251">
        <v>0</v>
      </c>
      <c r="AB24" s="252">
        <v>0</v>
      </c>
      <c r="AC24" s="253">
        <v>0</v>
      </c>
      <c r="AD24" s="253">
        <v>9.0775816990269611</v>
      </c>
      <c r="AE24" s="252">
        <v>8.9994439805407325</v>
      </c>
      <c r="AF24" s="252">
        <v>0</v>
      </c>
      <c r="AG24" s="252">
        <v>1</v>
      </c>
      <c r="AH24" s="253">
        <v>204.29566955566406</v>
      </c>
      <c r="AI24" s="253">
        <v>431.51995155016579</v>
      </c>
      <c r="AJ24" s="253">
        <v>1434.2739182790122</v>
      </c>
      <c r="AK24" s="253">
        <v>1018.9896370569865</v>
      </c>
      <c r="AL24" s="253">
        <v>1169.6232606569924</v>
      </c>
      <c r="AM24" s="253">
        <v>1793.2489345550534</v>
      </c>
      <c r="AN24" s="253">
        <v>690.64327112833644</v>
      </c>
      <c r="AO24" s="253">
        <v>1602.6040607452392</v>
      </c>
      <c r="AP24" s="253">
        <v>134.09733717441557</v>
      </c>
      <c r="AQ24" s="253">
        <v>985.34051233927403</v>
      </c>
    </row>
    <row r="25" spans="1:43">
      <c r="A25" s="232">
        <f t="shared" si="0"/>
        <v>40742</v>
      </c>
      <c r="B25" s="243"/>
      <c r="C25" s="244">
        <v>0</v>
      </c>
      <c r="D25" s="244">
        <v>0</v>
      </c>
      <c r="E25" s="244">
        <v>0</v>
      </c>
      <c r="F25" s="244">
        <v>0</v>
      </c>
      <c r="G25" s="244">
        <v>0</v>
      </c>
      <c r="H25" s="245">
        <v>0</v>
      </c>
      <c r="I25" s="243">
        <v>457.36230802536073</v>
      </c>
      <c r="J25" s="244">
        <v>977.50377998352133</v>
      </c>
      <c r="K25" s="244">
        <v>23.21483963976295</v>
      </c>
      <c r="L25" s="244">
        <v>0</v>
      </c>
      <c r="M25" s="244">
        <v>0</v>
      </c>
      <c r="N25" s="245">
        <v>117.55436322440711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256.97599298159264</v>
      </c>
      <c r="V25" s="246">
        <v>0</v>
      </c>
      <c r="W25" s="246">
        <v>26.521412391463922</v>
      </c>
      <c r="X25" s="246">
        <v>0</v>
      </c>
      <c r="Y25" s="250">
        <v>207.04339451789835</v>
      </c>
      <c r="Z25" s="250">
        <v>0</v>
      </c>
      <c r="AA25" s="251">
        <v>0</v>
      </c>
      <c r="AB25" s="252">
        <v>0</v>
      </c>
      <c r="AC25" s="253">
        <v>0</v>
      </c>
      <c r="AD25" s="253">
        <v>11.180908424655589</v>
      </c>
      <c r="AE25" s="252">
        <v>10.985134103257938</v>
      </c>
      <c r="AF25" s="252">
        <v>0</v>
      </c>
      <c r="AG25" s="252">
        <v>1</v>
      </c>
      <c r="AH25" s="253">
        <v>338.86651976903278</v>
      </c>
      <c r="AI25" s="253">
        <v>572.33086802164712</v>
      </c>
      <c r="AJ25" s="253">
        <v>1450.2264763514204</v>
      </c>
      <c r="AK25" s="253">
        <v>1023.6250305811565</v>
      </c>
      <c r="AL25" s="253">
        <v>1149.3016248067222</v>
      </c>
      <c r="AM25" s="253">
        <v>1848.0150545756021</v>
      </c>
      <c r="AN25" s="253">
        <v>687.29433927536002</v>
      </c>
      <c r="AO25" s="253">
        <v>1538.8510446548462</v>
      </c>
      <c r="AP25" s="253">
        <v>145.12374267578122</v>
      </c>
      <c r="AQ25" s="253">
        <v>1157.9517373085021</v>
      </c>
    </row>
    <row r="26" spans="1:43">
      <c r="A26" s="232">
        <f t="shared" si="0"/>
        <v>40743</v>
      </c>
      <c r="B26" s="243"/>
      <c r="C26" s="244">
        <v>0</v>
      </c>
      <c r="D26" s="244">
        <v>0</v>
      </c>
      <c r="E26" s="244">
        <v>0</v>
      </c>
      <c r="F26" s="244">
        <v>0</v>
      </c>
      <c r="G26" s="244">
        <v>0</v>
      </c>
      <c r="H26" s="245">
        <v>0</v>
      </c>
      <c r="I26" s="243">
        <v>526.79956068992669</v>
      </c>
      <c r="J26" s="244">
        <v>1344.3411427815727</v>
      </c>
      <c r="K26" s="244">
        <v>28.035489182174157</v>
      </c>
      <c r="L26" s="244">
        <v>0</v>
      </c>
      <c r="M26" s="244">
        <v>0</v>
      </c>
      <c r="N26" s="245">
        <v>116.47513626664852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338.16111440791229</v>
      </c>
      <c r="V26" s="246">
        <v>0</v>
      </c>
      <c r="W26" s="246">
        <v>37.417372232675604</v>
      </c>
      <c r="X26" s="246">
        <v>0</v>
      </c>
      <c r="Y26" s="250">
        <v>286.15932440757854</v>
      </c>
      <c r="Z26" s="250">
        <v>0</v>
      </c>
      <c r="AA26" s="251">
        <v>0</v>
      </c>
      <c r="AB26" s="252">
        <v>0</v>
      </c>
      <c r="AC26" s="253">
        <v>0</v>
      </c>
      <c r="AD26" s="253">
        <v>14.994899713330803</v>
      </c>
      <c r="AE26" s="252">
        <v>14.657135532491885</v>
      </c>
      <c r="AF26" s="252">
        <v>0</v>
      </c>
      <c r="AG26" s="252">
        <v>1</v>
      </c>
      <c r="AH26" s="253">
        <v>474.90898981889092</v>
      </c>
      <c r="AI26" s="253">
        <v>686.41368536949153</v>
      </c>
      <c r="AJ26" s="253">
        <v>1441.5141780853271</v>
      </c>
      <c r="AK26" s="253">
        <v>1051.7659765243532</v>
      </c>
      <c r="AL26" s="253">
        <v>1122.5561605135597</v>
      </c>
      <c r="AM26" s="253">
        <v>2139.083353169759</v>
      </c>
      <c r="AN26" s="253">
        <v>704.78802700042729</v>
      </c>
      <c r="AO26" s="253">
        <v>2486.2339172363281</v>
      </c>
      <c r="AP26" s="253">
        <v>146.29331030845646</v>
      </c>
      <c r="AQ26" s="253">
        <v>1100.0735518773395</v>
      </c>
    </row>
    <row r="27" spans="1:43">
      <c r="A27" s="232">
        <f t="shared" si="0"/>
        <v>40744</v>
      </c>
      <c r="B27" s="243"/>
      <c r="C27" s="244">
        <v>0</v>
      </c>
      <c r="D27" s="244">
        <v>0</v>
      </c>
      <c r="E27" s="244">
        <v>0</v>
      </c>
      <c r="F27" s="244">
        <v>0</v>
      </c>
      <c r="G27" s="244">
        <v>0</v>
      </c>
      <c r="H27" s="245">
        <v>0</v>
      </c>
      <c r="I27" s="243">
        <v>469.93981305758132</v>
      </c>
      <c r="J27" s="244">
        <v>1119.4213977177956</v>
      </c>
      <c r="K27" s="244">
        <v>20.481462278962123</v>
      </c>
      <c r="L27" s="244">
        <v>0</v>
      </c>
      <c r="M27" s="244">
        <v>0</v>
      </c>
      <c r="N27" s="245">
        <v>115.57653538783393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288.07100387678918</v>
      </c>
      <c r="V27" s="246">
        <v>0</v>
      </c>
      <c r="W27" s="246">
        <v>30.456348418196008</v>
      </c>
      <c r="X27" s="246">
        <v>0</v>
      </c>
      <c r="Y27" s="246">
        <v>244.36435427665666</v>
      </c>
      <c r="Z27" s="246">
        <v>0</v>
      </c>
      <c r="AA27" s="256">
        <v>0</v>
      </c>
      <c r="AB27" s="253">
        <v>0</v>
      </c>
      <c r="AC27" s="253">
        <v>0</v>
      </c>
      <c r="AD27" s="253">
        <v>12.897048378984147</v>
      </c>
      <c r="AE27" s="253">
        <v>12.555253649354286</v>
      </c>
      <c r="AF27" s="253">
        <v>0</v>
      </c>
      <c r="AG27" s="253">
        <v>1</v>
      </c>
      <c r="AH27" s="253">
        <v>466.70428989728288</v>
      </c>
      <c r="AI27" s="253">
        <v>671.17135901451115</v>
      </c>
      <c r="AJ27" s="253">
        <v>1392.1007024765017</v>
      </c>
      <c r="AK27" s="253">
        <v>1025.8303754170736</v>
      </c>
      <c r="AL27" s="253">
        <v>1113.0888744036361</v>
      </c>
      <c r="AM27" s="253">
        <v>2097.4062436421709</v>
      </c>
      <c r="AN27" s="253">
        <v>711.39727865854888</v>
      </c>
      <c r="AO27" s="253">
        <v>1939.8438117980959</v>
      </c>
      <c r="AP27" s="253">
        <v>126.86163308620453</v>
      </c>
      <c r="AQ27" s="253">
        <v>1044.0185363133749</v>
      </c>
    </row>
    <row r="28" spans="1:43">
      <c r="A28" s="232">
        <f t="shared" si="0"/>
        <v>40745</v>
      </c>
      <c r="B28" s="243"/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5">
        <v>0</v>
      </c>
      <c r="I28" s="243">
        <v>504.70233119328714</v>
      </c>
      <c r="J28" s="244">
        <v>1148.2950258254991</v>
      </c>
      <c r="K28" s="244">
        <v>20.958607564369839</v>
      </c>
      <c r="L28" s="244">
        <v>0</v>
      </c>
      <c r="M28" s="244">
        <v>0</v>
      </c>
      <c r="N28" s="245">
        <v>115.07514714548994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314.77187824248944</v>
      </c>
      <c r="V28" s="246">
        <v>0</v>
      </c>
      <c r="W28" s="246">
        <v>32.810684122641923</v>
      </c>
      <c r="X28" s="246">
        <v>0</v>
      </c>
      <c r="Y28" s="250">
        <v>271.62675770123798</v>
      </c>
      <c r="Z28" s="250">
        <v>0</v>
      </c>
      <c r="AA28" s="251">
        <v>0</v>
      </c>
      <c r="AB28" s="252">
        <v>0</v>
      </c>
      <c r="AC28" s="253">
        <v>0</v>
      </c>
      <c r="AD28" s="253">
        <v>13.944262282053653</v>
      </c>
      <c r="AE28" s="252">
        <v>13.665962163089727</v>
      </c>
      <c r="AF28" s="252">
        <v>0</v>
      </c>
      <c r="AG28" s="252">
        <v>1</v>
      </c>
      <c r="AH28" s="253">
        <v>482.64827550252272</v>
      </c>
      <c r="AI28" s="253">
        <v>1034.3781241893766</v>
      </c>
      <c r="AJ28" s="253">
        <v>2267.2197188695268</v>
      </c>
      <c r="AK28" s="253">
        <v>1024.1992759704592</v>
      </c>
      <c r="AL28" s="253">
        <v>1280.0441258748369</v>
      </c>
      <c r="AM28" s="253">
        <v>2038.806890360514</v>
      </c>
      <c r="AN28" s="253">
        <v>730.08978643417367</v>
      </c>
      <c r="AO28" s="253">
        <v>2109.4099156697589</v>
      </c>
      <c r="AP28" s="253">
        <v>130.26077540715536</v>
      </c>
      <c r="AQ28" s="253">
        <v>1043.4306682586666</v>
      </c>
    </row>
    <row r="29" spans="1:43">
      <c r="A29" s="232">
        <f t="shared" si="0"/>
        <v>40746</v>
      </c>
      <c r="B29" s="243"/>
      <c r="C29" s="244">
        <v>0</v>
      </c>
      <c r="D29" s="244">
        <v>0</v>
      </c>
      <c r="E29" s="244">
        <v>0</v>
      </c>
      <c r="F29" s="244">
        <v>0</v>
      </c>
      <c r="G29" s="244">
        <v>0</v>
      </c>
      <c r="H29" s="245">
        <v>0</v>
      </c>
      <c r="I29" s="243">
        <v>567.62267951965316</v>
      </c>
      <c r="J29" s="244">
        <v>1175.4109209060678</v>
      </c>
      <c r="K29" s="244">
        <v>21.454046635826515</v>
      </c>
      <c r="L29" s="244">
        <v>0</v>
      </c>
      <c r="M29" s="244">
        <v>0</v>
      </c>
      <c r="N29" s="245">
        <v>115.34771532515683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322.94334797329481</v>
      </c>
      <c r="V29" s="246">
        <v>0</v>
      </c>
      <c r="W29" s="246">
        <v>32.602331660191197</v>
      </c>
      <c r="X29" s="246">
        <v>0</v>
      </c>
      <c r="Y29" s="250">
        <v>285.6313346227015</v>
      </c>
      <c r="Z29" s="250">
        <v>0</v>
      </c>
      <c r="AA29" s="251">
        <v>0</v>
      </c>
      <c r="AB29" s="252">
        <v>0</v>
      </c>
      <c r="AC29" s="253">
        <v>0</v>
      </c>
      <c r="AD29" s="253">
        <v>14.281784298022595</v>
      </c>
      <c r="AE29" s="252">
        <v>13.997905465566669</v>
      </c>
      <c r="AF29" s="252">
        <v>0</v>
      </c>
      <c r="AG29" s="252">
        <v>1</v>
      </c>
      <c r="AH29" s="253">
        <v>489.65556459426875</v>
      </c>
      <c r="AI29" s="253">
        <v>1276.2356933593749</v>
      </c>
      <c r="AJ29" s="253">
        <v>3241.2624978383383</v>
      </c>
      <c r="AK29" s="253">
        <v>1030.2629524866741</v>
      </c>
      <c r="AL29" s="253">
        <v>1394.8638313293457</v>
      </c>
      <c r="AM29" s="253">
        <v>1988.9758398691813</v>
      </c>
      <c r="AN29" s="253">
        <v>702.03122660319025</v>
      </c>
      <c r="AO29" s="253">
        <v>2243.9604452768963</v>
      </c>
      <c r="AP29" s="253">
        <v>133.28558703660966</v>
      </c>
      <c r="AQ29" s="253">
        <v>1057.563465499878</v>
      </c>
    </row>
    <row r="30" spans="1:43">
      <c r="A30" s="232">
        <f t="shared" si="0"/>
        <v>40747</v>
      </c>
      <c r="B30" s="243"/>
      <c r="C30" s="244">
        <v>0</v>
      </c>
      <c r="D30" s="244">
        <v>0</v>
      </c>
      <c r="E30" s="244">
        <v>0</v>
      </c>
      <c r="F30" s="244">
        <v>0</v>
      </c>
      <c r="G30" s="244">
        <v>0</v>
      </c>
      <c r="H30" s="245">
        <v>0</v>
      </c>
      <c r="I30" s="243">
        <v>971.52613186836049</v>
      </c>
      <c r="J30" s="244">
        <v>1156.4280325571676</v>
      </c>
      <c r="K30" s="244">
        <v>21.44564784069852</v>
      </c>
      <c r="L30" s="244">
        <v>0</v>
      </c>
      <c r="M30" s="244">
        <v>0</v>
      </c>
      <c r="N30" s="245">
        <v>114.6919219116371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322.75525900523189</v>
      </c>
      <c r="V30" s="246">
        <v>0</v>
      </c>
      <c r="W30" s="246">
        <v>32.333443925777992</v>
      </c>
      <c r="X30" s="246">
        <v>0</v>
      </c>
      <c r="Y30" s="250">
        <v>290.0617952187863</v>
      </c>
      <c r="Z30" s="250">
        <v>0</v>
      </c>
      <c r="AA30" s="251">
        <v>0</v>
      </c>
      <c r="AB30" s="252">
        <v>0</v>
      </c>
      <c r="AC30" s="253">
        <v>0</v>
      </c>
      <c r="AD30" s="253">
        <v>14.286211646927729</v>
      </c>
      <c r="AE30" s="252">
        <v>14.0002648821172</v>
      </c>
      <c r="AF30" s="252">
        <v>0</v>
      </c>
      <c r="AG30" s="252">
        <v>1</v>
      </c>
      <c r="AH30" s="253">
        <v>490.10947407086695</v>
      </c>
      <c r="AI30" s="253">
        <v>1275.0564387003581</v>
      </c>
      <c r="AJ30" s="253">
        <v>2882.6078633626307</v>
      </c>
      <c r="AK30" s="253">
        <v>1032.2361753463745</v>
      </c>
      <c r="AL30" s="253">
        <v>1409.690681521098</v>
      </c>
      <c r="AM30" s="253">
        <v>1809.1620432535806</v>
      </c>
      <c r="AN30" s="253">
        <v>555.52757315635665</v>
      </c>
      <c r="AO30" s="253">
        <v>2384.1205444335937</v>
      </c>
      <c r="AP30" s="253">
        <v>108.65685558517775</v>
      </c>
      <c r="AQ30" s="253">
        <v>986.35168228149416</v>
      </c>
    </row>
    <row r="31" spans="1:43">
      <c r="A31" s="232">
        <f t="shared" si="0"/>
        <v>40748</v>
      </c>
      <c r="B31" s="243"/>
      <c r="C31" s="244">
        <v>0</v>
      </c>
      <c r="D31" s="244">
        <v>0</v>
      </c>
      <c r="E31" s="244">
        <v>0</v>
      </c>
      <c r="F31" s="244">
        <v>0</v>
      </c>
      <c r="G31" s="244">
        <v>0</v>
      </c>
      <c r="H31" s="245">
        <v>0</v>
      </c>
      <c r="I31" s="243">
        <v>846.54747095108007</v>
      </c>
      <c r="J31" s="244">
        <v>1146.2952383041393</v>
      </c>
      <c r="K31" s="244">
        <v>21.453097807367669</v>
      </c>
      <c r="L31" s="244">
        <v>0</v>
      </c>
      <c r="M31" s="244">
        <v>0</v>
      </c>
      <c r="N31" s="245">
        <v>116.43220121860497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322.80204703013533</v>
      </c>
      <c r="V31" s="246">
        <v>0</v>
      </c>
      <c r="W31" s="246">
        <v>32.880033083756743</v>
      </c>
      <c r="X31" s="246">
        <v>0</v>
      </c>
      <c r="Y31" s="250">
        <v>289.81218465169309</v>
      </c>
      <c r="Z31" s="250">
        <v>0</v>
      </c>
      <c r="AA31" s="251">
        <v>0</v>
      </c>
      <c r="AB31" s="252">
        <v>0</v>
      </c>
      <c r="AC31" s="253">
        <v>0</v>
      </c>
      <c r="AD31" s="253">
        <v>14.287620925241038</v>
      </c>
      <c r="AE31" s="252">
        <v>13.999146554146723</v>
      </c>
      <c r="AF31" s="252">
        <v>0</v>
      </c>
      <c r="AG31" s="252">
        <v>1</v>
      </c>
      <c r="AH31" s="253">
        <v>489.7411759535471</v>
      </c>
      <c r="AI31" s="253">
        <v>1278.4724431355794</v>
      </c>
      <c r="AJ31" s="253">
        <v>2857.6240230560302</v>
      </c>
      <c r="AK31" s="253">
        <v>1030.2653188705444</v>
      </c>
      <c r="AL31" s="253">
        <v>1407.1904609680173</v>
      </c>
      <c r="AM31" s="253">
        <v>1795.86174214681</v>
      </c>
      <c r="AN31" s="253">
        <v>516.29826288223262</v>
      </c>
      <c r="AO31" s="253">
        <v>2110.8891000111898</v>
      </c>
      <c r="AP31" s="253">
        <v>101.699854973952</v>
      </c>
      <c r="AQ31" s="253">
        <v>1035.3711526552838</v>
      </c>
    </row>
    <row r="32" spans="1:43">
      <c r="A32" s="232">
        <f t="shared" si="0"/>
        <v>40749</v>
      </c>
      <c r="B32" s="243"/>
      <c r="C32" s="244">
        <v>0</v>
      </c>
      <c r="D32" s="244">
        <v>0</v>
      </c>
      <c r="E32" s="244">
        <v>0</v>
      </c>
      <c r="F32" s="244">
        <v>0</v>
      </c>
      <c r="G32" s="244">
        <v>0</v>
      </c>
      <c r="H32" s="245">
        <v>0</v>
      </c>
      <c r="I32" s="243">
        <v>602.24919150670337</v>
      </c>
      <c r="J32" s="244">
        <v>1264.6009569168086</v>
      </c>
      <c r="K32" s="244">
        <v>23.179725707570736</v>
      </c>
      <c r="L32" s="244">
        <v>0</v>
      </c>
      <c r="M32" s="244">
        <v>0</v>
      </c>
      <c r="N32" s="245">
        <v>115.80813740491864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345.09363205167932</v>
      </c>
      <c r="V32" s="246">
        <v>0</v>
      </c>
      <c r="W32" s="246">
        <v>36.23613241016858</v>
      </c>
      <c r="X32" s="246">
        <v>0</v>
      </c>
      <c r="Y32" s="250">
        <v>322.73721261024502</v>
      </c>
      <c r="Z32" s="250">
        <v>0</v>
      </c>
      <c r="AA32" s="251">
        <v>0</v>
      </c>
      <c r="AB32" s="252">
        <v>0</v>
      </c>
      <c r="AC32" s="253">
        <v>0</v>
      </c>
      <c r="AD32" s="253">
        <v>15.135230065054371</v>
      </c>
      <c r="AE32" s="252">
        <v>14.939106592528439</v>
      </c>
      <c r="AF32" s="252">
        <v>0</v>
      </c>
      <c r="AG32" s="252">
        <v>1</v>
      </c>
      <c r="AH32" s="253">
        <v>485.4481393178304</v>
      </c>
      <c r="AI32" s="253">
        <v>1264.4926602045698</v>
      </c>
      <c r="AJ32" s="253">
        <v>2978.2965347290037</v>
      </c>
      <c r="AK32" s="253">
        <v>1026.0138558069866</v>
      </c>
      <c r="AL32" s="253">
        <v>2416.1729354222616</v>
      </c>
      <c r="AM32" s="253">
        <v>1764.2534797032677</v>
      </c>
      <c r="AN32" s="253">
        <v>514.56997067133591</v>
      </c>
      <c r="AO32" s="253">
        <v>2235.7933194478355</v>
      </c>
      <c r="AP32" s="253">
        <v>94.725295394659042</v>
      </c>
      <c r="AQ32" s="253">
        <v>1068.2015422185261</v>
      </c>
    </row>
    <row r="33" spans="1:43">
      <c r="A33" s="232">
        <f t="shared" si="0"/>
        <v>40750</v>
      </c>
      <c r="B33" s="243"/>
      <c r="C33" s="244">
        <v>92.031666163603646</v>
      </c>
      <c r="D33" s="244">
        <v>557.96492884953841</v>
      </c>
      <c r="E33" s="244">
        <v>7.911207993825272</v>
      </c>
      <c r="F33" s="244">
        <v>0</v>
      </c>
      <c r="G33" s="244">
        <v>1728.4691582361813</v>
      </c>
      <c r="H33" s="245">
        <v>30.723929540316345</v>
      </c>
      <c r="I33" s="243">
        <v>614.63664121627789</v>
      </c>
      <c r="J33" s="244">
        <v>1343.3450239181509</v>
      </c>
      <c r="K33" s="244">
        <v>24.460711447397877</v>
      </c>
      <c r="L33" s="244">
        <v>0</v>
      </c>
      <c r="M33" s="244">
        <v>0</v>
      </c>
      <c r="N33" s="245">
        <v>115.52264133195075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351.49273662057965</v>
      </c>
      <c r="V33" s="246">
        <v>26.495426098295699</v>
      </c>
      <c r="W33" s="246">
        <v>37.706559978310239</v>
      </c>
      <c r="X33" s="246">
        <v>2.8423101510763322</v>
      </c>
      <c r="Y33" s="250">
        <v>320.15783502391628</v>
      </c>
      <c r="Z33" s="250">
        <v>24.133409808758657</v>
      </c>
      <c r="AA33" s="251">
        <v>0</v>
      </c>
      <c r="AB33" s="252">
        <v>0</v>
      </c>
      <c r="AC33" s="253">
        <v>0</v>
      </c>
      <c r="AD33" s="253">
        <v>16.483610033988953</v>
      </c>
      <c r="AE33" s="252">
        <v>15.536068312441376</v>
      </c>
      <c r="AF33" s="252">
        <v>0.81859733475346541</v>
      </c>
      <c r="AG33" s="252">
        <v>0.92990408507051214</v>
      </c>
      <c r="AH33" s="253">
        <v>490.7643110434214</v>
      </c>
      <c r="AI33" s="253">
        <v>1254.6512087504068</v>
      </c>
      <c r="AJ33" s="253">
        <v>3013.0978064219153</v>
      </c>
      <c r="AK33" s="253">
        <v>1010.9229150136312</v>
      </c>
      <c r="AL33" s="253">
        <v>3148.2388197580981</v>
      </c>
      <c r="AM33" s="253">
        <v>2059.2768353144329</v>
      </c>
      <c r="AN33" s="253">
        <v>501.36840098698923</v>
      </c>
      <c r="AO33" s="253">
        <v>2619.4628407796226</v>
      </c>
      <c r="AP33" s="253">
        <v>88.648988121747962</v>
      </c>
      <c r="AQ33" s="253">
        <v>1036.1882328987122</v>
      </c>
    </row>
    <row r="34" spans="1:43">
      <c r="A34" s="232">
        <f t="shared" si="0"/>
        <v>40751</v>
      </c>
      <c r="B34" s="243"/>
      <c r="C34" s="244">
        <v>92.7021389245986</v>
      </c>
      <c r="D34" s="244">
        <v>567.32409168879224</v>
      </c>
      <c r="E34" s="244">
        <v>8.7420214762290094</v>
      </c>
      <c r="F34" s="244">
        <v>0</v>
      </c>
      <c r="G34" s="244">
        <v>1772.3632977803491</v>
      </c>
      <c r="H34" s="245">
        <v>30.312179446220483</v>
      </c>
      <c r="I34" s="243">
        <v>523.12093146642007</v>
      </c>
      <c r="J34" s="244">
        <v>1206.0972549120577</v>
      </c>
      <c r="K34" s="244">
        <v>21.888830609122923</v>
      </c>
      <c r="L34" s="244">
        <v>0</v>
      </c>
      <c r="M34" s="244">
        <v>0</v>
      </c>
      <c r="N34" s="245">
        <v>75.318219125270744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316.12650286276147</v>
      </c>
      <c r="V34" s="246">
        <v>66.084008906423975</v>
      </c>
      <c r="W34" s="246">
        <v>34.546369672009604</v>
      </c>
      <c r="X34" s="246">
        <v>7.2216741728889131</v>
      </c>
      <c r="Y34" s="250">
        <v>294.47050792929355</v>
      </c>
      <c r="Z34" s="250">
        <v>61.556976376405288</v>
      </c>
      <c r="AA34" s="251">
        <v>0</v>
      </c>
      <c r="AB34" s="252">
        <v>0</v>
      </c>
      <c r="AC34" s="253">
        <v>0</v>
      </c>
      <c r="AD34" s="253">
        <v>17.359239548444776</v>
      </c>
      <c r="AE34" s="252">
        <v>14.17515336479766</v>
      </c>
      <c r="AF34" s="252">
        <v>2.9632155251971448</v>
      </c>
      <c r="AG34" s="252">
        <v>0.8271004933890157</v>
      </c>
      <c r="AH34" s="253">
        <v>484.50368434588114</v>
      </c>
      <c r="AI34" s="253">
        <v>1242.3885768890382</v>
      </c>
      <c r="AJ34" s="253">
        <v>2931.1274926503502</v>
      </c>
      <c r="AK34" s="253">
        <v>995.8828317006429</v>
      </c>
      <c r="AL34" s="253">
        <v>3364.9437180837003</v>
      </c>
      <c r="AM34" s="253">
        <v>2236.268363316854</v>
      </c>
      <c r="AN34" s="253">
        <v>528.96598114967344</v>
      </c>
      <c r="AO34" s="253">
        <v>2860.8046817779541</v>
      </c>
      <c r="AP34" s="253">
        <v>81.619035792350772</v>
      </c>
      <c r="AQ34" s="253">
        <v>911.63156782786064</v>
      </c>
    </row>
    <row r="35" spans="1:43">
      <c r="A35" s="232">
        <f t="shared" si="0"/>
        <v>40752</v>
      </c>
      <c r="B35" s="243"/>
      <c r="C35" s="244">
        <v>92.275405450662007</v>
      </c>
      <c r="D35" s="244">
        <v>594.89666825731717</v>
      </c>
      <c r="E35" s="244">
        <v>8.6149798482656088</v>
      </c>
      <c r="F35" s="244">
        <v>0</v>
      </c>
      <c r="G35" s="244">
        <v>1907.7891295115096</v>
      </c>
      <c r="H35" s="245">
        <v>29.060497949520798</v>
      </c>
      <c r="I35" s="243">
        <v>376.7411172072093</v>
      </c>
      <c r="J35" s="244">
        <v>838.13154735565172</v>
      </c>
      <c r="K35" s="244">
        <v>15.069705711801827</v>
      </c>
      <c r="L35" s="244">
        <v>0</v>
      </c>
      <c r="M35" s="244">
        <v>0</v>
      </c>
      <c r="N35" s="245">
        <v>39.558848601082893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221.9924694225673</v>
      </c>
      <c r="V35" s="246">
        <v>66.612176603194428</v>
      </c>
      <c r="W35" s="246">
        <v>22.35636084856004</v>
      </c>
      <c r="X35" s="246">
        <v>6.7083620490490103</v>
      </c>
      <c r="Y35" s="250">
        <v>205.46732519241641</v>
      </c>
      <c r="Z35" s="250">
        <v>61.653558733339032</v>
      </c>
      <c r="AA35" s="251">
        <v>0</v>
      </c>
      <c r="AB35" s="252">
        <v>0</v>
      </c>
      <c r="AC35" s="253">
        <v>0</v>
      </c>
      <c r="AD35" s="253">
        <v>13.151900347736113</v>
      </c>
      <c r="AE35" s="252">
        <v>9.9997518559398788</v>
      </c>
      <c r="AF35" s="252">
        <v>3.0005758229034489</v>
      </c>
      <c r="AG35" s="252">
        <v>0.76919229291531077</v>
      </c>
      <c r="AH35" s="253">
        <v>503.38375269571947</v>
      </c>
      <c r="AI35" s="253">
        <v>1296.2318358103435</v>
      </c>
      <c r="AJ35" s="253">
        <v>2995.5792332967121</v>
      </c>
      <c r="AK35" s="253">
        <v>973.57615858713768</v>
      </c>
      <c r="AL35" s="253">
        <v>3418.0978192647299</v>
      </c>
      <c r="AM35" s="253">
        <v>2234.8458396911619</v>
      </c>
      <c r="AN35" s="253">
        <v>572.05442055066419</v>
      </c>
      <c r="AO35" s="253">
        <v>1941.4660034179687</v>
      </c>
      <c r="AP35" s="253">
        <v>246.69957420627276</v>
      </c>
      <c r="AQ35" s="253">
        <v>831.77691020965563</v>
      </c>
    </row>
    <row r="36" spans="1:43">
      <c r="A36" s="232">
        <f t="shared" si="0"/>
        <v>40753</v>
      </c>
      <c r="B36" s="243"/>
      <c r="C36" s="244">
        <v>91.431250099341099</v>
      </c>
      <c r="D36" s="244">
        <v>603.24265397389877</v>
      </c>
      <c r="E36" s="244">
        <v>8.6170961062113385</v>
      </c>
      <c r="F36" s="244">
        <v>0</v>
      </c>
      <c r="G36" s="244">
        <v>2188.5493437449145</v>
      </c>
      <c r="H36" s="245">
        <v>32.831339999040033</v>
      </c>
      <c r="I36" s="243">
        <v>532.43353745142701</v>
      </c>
      <c r="J36" s="244">
        <v>1133.8617245992029</v>
      </c>
      <c r="K36" s="244">
        <v>20.371183441082678</v>
      </c>
      <c r="L36" s="244">
        <v>0</v>
      </c>
      <c r="M36" s="244">
        <v>0</v>
      </c>
      <c r="N36" s="245">
        <v>91.925197783112509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291.26883911086458</v>
      </c>
      <c r="V36" s="246">
        <v>66.729645670191317</v>
      </c>
      <c r="W36" s="246">
        <v>30.29709872752753</v>
      </c>
      <c r="X36" s="246">
        <v>6.9410605991847918</v>
      </c>
      <c r="Y36" s="250">
        <v>266.74834496177129</v>
      </c>
      <c r="Z36" s="250">
        <v>61.112004280120757</v>
      </c>
      <c r="AA36" s="251">
        <v>0</v>
      </c>
      <c r="AB36" s="252">
        <v>0</v>
      </c>
      <c r="AC36" s="253">
        <v>0</v>
      </c>
      <c r="AD36" s="253">
        <v>16.238960839642417</v>
      </c>
      <c r="AE36" s="252">
        <v>13.094120958343003</v>
      </c>
      <c r="AF36" s="252">
        <v>2.9998610719228931</v>
      </c>
      <c r="AG36" s="252">
        <v>0.81360355278877305</v>
      </c>
      <c r="AH36" s="253">
        <v>282.13383059501643</v>
      </c>
      <c r="AI36" s="253">
        <v>1057.7933258056642</v>
      </c>
      <c r="AJ36" s="253">
        <v>3034.9647126515706</v>
      </c>
      <c r="AK36" s="253">
        <v>980.18469333648682</v>
      </c>
      <c r="AL36" s="253">
        <v>3322.7038216908777</v>
      </c>
      <c r="AM36" s="253">
        <v>2209.2613669077555</v>
      </c>
      <c r="AN36" s="253">
        <v>560.67307988802577</v>
      </c>
      <c r="AO36" s="253">
        <v>2161.8351858774822</v>
      </c>
      <c r="AP36" s="253">
        <v>368.33605449994405</v>
      </c>
      <c r="AQ36" s="253">
        <v>1056.7198611577351</v>
      </c>
    </row>
    <row r="37" spans="1:43">
      <c r="A37" s="232">
        <f t="shared" si="0"/>
        <v>40754</v>
      </c>
      <c r="B37" s="243"/>
      <c r="C37" s="244">
        <v>90.72089614868176</v>
      </c>
      <c r="D37" s="244">
        <v>588.62186339696188</v>
      </c>
      <c r="E37" s="244">
        <v>8.6942302758494989</v>
      </c>
      <c r="F37" s="244">
        <v>0</v>
      </c>
      <c r="G37" s="244">
        <v>1926.0375122706025</v>
      </c>
      <c r="H37" s="245">
        <v>31.595052418112832</v>
      </c>
      <c r="I37" s="243">
        <v>552.46304588317889</v>
      </c>
      <c r="J37" s="244">
        <v>1174.9606119155878</v>
      </c>
      <c r="K37" s="244">
        <v>21.365525300304103</v>
      </c>
      <c r="L37" s="244">
        <v>0</v>
      </c>
      <c r="M37" s="244">
        <v>0</v>
      </c>
      <c r="N37" s="245">
        <v>123.65370249897232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311.62477263784393</v>
      </c>
      <c r="V37" s="246">
        <v>66.779685196188836</v>
      </c>
      <c r="W37" s="246">
        <v>33.911032322648936</v>
      </c>
      <c r="X37" s="246">
        <v>7.2669706070385427</v>
      </c>
      <c r="Y37" s="250">
        <v>281.6265506267768</v>
      </c>
      <c r="Z37" s="250">
        <v>60.351210959730899</v>
      </c>
      <c r="AA37" s="251">
        <v>0</v>
      </c>
      <c r="AB37" s="252">
        <v>0</v>
      </c>
      <c r="AC37" s="253">
        <v>0</v>
      </c>
      <c r="AD37" s="253">
        <v>17.181894310315464</v>
      </c>
      <c r="AE37" s="252">
        <v>14.000268162835219</v>
      </c>
      <c r="AF37" s="252">
        <v>3.0001899164252199</v>
      </c>
      <c r="AG37" s="252">
        <v>0.82352299553120423</v>
      </c>
      <c r="AH37" s="253">
        <v>487.19398374557494</v>
      </c>
      <c r="AI37" s="253">
        <v>1255.0455032984419</v>
      </c>
      <c r="AJ37" s="253">
        <v>3129.2927733103438</v>
      </c>
      <c r="AK37" s="253">
        <v>992.81289234161352</v>
      </c>
      <c r="AL37" s="253">
        <v>3343.7445976257331</v>
      </c>
      <c r="AM37" s="253">
        <v>2194.6705164591472</v>
      </c>
      <c r="AN37" s="253">
        <v>563.18249061902372</v>
      </c>
      <c r="AO37" s="253">
        <v>2691.3262114206946</v>
      </c>
      <c r="AP37" s="253">
        <v>400.44157298405963</v>
      </c>
      <c r="AQ37" s="253">
        <v>1053.0726428667704</v>
      </c>
    </row>
    <row r="38" spans="1:43" ht="15.75" thickBot="1">
      <c r="A38" s="232">
        <f t="shared" si="0"/>
        <v>40755</v>
      </c>
      <c r="B38" s="257"/>
      <c r="C38" s="258">
        <v>90.175771594047688</v>
      </c>
      <c r="D38" s="258">
        <v>582.63821894327793</v>
      </c>
      <c r="E38" s="258">
        <v>8.6004222482443282</v>
      </c>
      <c r="F38" s="258">
        <v>0</v>
      </c>
      <c r="G38" s="258">
        <v>1961.0333511352519</v>
      </c>
      <c r="H38" s="259">
        <v>33.494179681936927</v>
      </c>
      <c r="I38" s="260">
        <v>560.86978805859792</v>
      </c>
      <c r="J38" s="258">
        <v>1200.7108818689958</v>
      </c>
      <c r="K38" s="258">
        <v>21.919934052228967</v>
      </c>
      <c r="L38" s="258">
        <v>0</v>
      </c>
      <c r="M38" s="258">
        <v>0</v>
      </c>
      <c r="N38" s="259">
        <v>123.66913588990766</v>
      </c>
      <c r="O38" s="260">
        <v>0</v>
      </c>
      <c r="P38" s="258">
        <v>0</v>
      </c>
      <c r="Q38" s="258">
        <v>0</v>
      </c>
      <c r="R38" s="261">
        <v>0</v>
      </c>
      <c r="S38" s="258">
        <v>0</v>
      </c>
      <c r="T38" s="262">
        <v>0</v>
      </c>
      <c r="U38" s="263">
        <v>307.90234744328683</v>
      </c>
      <c r="V38" s="264">
        <v>65.958306879019787</v>
      </c>
      <c r="W38" s="265">
        <v>32.757920560165353</v>
      </c>
      <c r="X38" s="265">
        <v>7.0173449308434179</v>
      </c>
      <c r="Y38" s="264">
        <v>278.60011839324494</v>
      </c>
      <c r="Z38" s="264">
        <v>59.681234190322641</v>
      </c>
      <c r="AA38" s="266">
        <v>0</v>
      </c>
      <c r="AB38" s="267">
        <v>0</v>
      </c>
      <c r="AC38" s="268">
        <v>0</v>
      </c>
      <c r="AD38" s="269">
        <v>17.182778000831583</v>
      </c>
      <c r="AE38" s="267">
        <v>14.001921550164599</v>
      </c>
      <c r="AF38" s="267">
        <v>2.9994673511601793</v>
      </c>
      <c r="AG38" s="267">
        <v>0.82357515797274328</v>
      </c>
      <c r="AH38" s="268">
        <v>222.81207704544067</v>
      </c>
      <c r="AI38" s="268">
        <v>974.9594078063966</v>
      </c>
      <c r="AJ38" s="268">
        <v>3094.8996915181488</v>
      </c>
      <c r="AK38" s="268">
        <v>996.81486695607498</v>
      </c>
      <c r="AL38" s="268">
        <v>3139.469653956095</v>
      </c>
      <c r="AM38" s="268">
        <v>2203.7631739298508</v>
      </c>
      <c r="AN38" s="268">
        <v>586.88910854657479</v>
      </c>
      <c r="AO38" s="268">
        <v>2822.237269592285</v>
      </c>
      <c r="AP38" s="268">
        <v>436.15787094434108</v>
      </c>
      <c r="AQ38" s="268">
        <v>1056.3772696812948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549.3371283809347</v>
      </c>
      <c r="D39" s="272">
        <f t="shared" si="1"/>
        <v>3494.6884251097863</v>
      </c>
      <c r="E39" s="272">
        <f t="shared" si="1"/>
        <v>51.179957948625052</v>
      </c>
      <c r="F39" s="272">
        <f t="shared" si="1"/>
        <v>0</v>
      </c>
      <c r="G39" s="272">
        <f t="shared" si="1"/>
        <v>11484.241792678808</v>
      </c>
      <c r="H39" s="273">
        <f t="shared" si="1"/>
        <v>188.01717903514742</v>
      </c>
      <c r="I39" s="271">
        <f t="shared" si="1"/>
        <v>14542.344351879752</v>
      </c>
      <c r="J39" s="272">
        <f t="shared" si="1"/>
        <v>31453.083981879536</v>
      </c>
      <c r="K39" s="272">
        <f t="shared" si="1"/>
        <v>607.32401914844945</v>
      </c>
      <c r="L39" s="272">
        <f t="shared" si="1"/>
        <v>0</v>
      </c>
      <c r="M39" s="272">
        <f t="shared" si="1"/>
        <v>0</v>
      </c>
      <c r="N39" s="273">
        <f t="shared" si="1"/>
        <v>1923.3227743953464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8712.0509154440006</v>
      </c>
      <c r="V39" s="275">
        <f t="shared" si="1"/>
        <v>358.65924935331407</v>
      </c>
      <c r="W39" s="275">
        <f t="shared" si="1"/>
        <v>914.47870756031909</v>
      </c>
      <c r="X39" s="275">
        <f t="shared" si="1"/>
        <v>37.997722510081005</v>
      </c>
      <c r="Y39" s="275">
        <f t="shared" si="1"/>
        <v>7378.5355067165137</v>
      </c>
      <c r="Z39" s="275">
        <f t="shared" si="1"/>
        <v>328.48839434867728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12307.905783081054</v>
      </c>
      <c r="AI39" s="278">
        <f t="shared" si="2"/>
        <v>25894.726775058116</v>
      </c>
      <c r="AJ39" s="278">
        <f t="shared" si="2"/>
        <v>59379.930305163063</v>
      </c>
      <c r="AK39" s="278">
        <f t="shared" si="2"/>
        <v>31331.275632731125</v>
      </c>
      <c r="AL39" s="278">
        <f t="shared" si="2"/>
        <v>50935.993581899005</v>
      </c>
      <c r="AM39" s="278">
        <f t="shared" si="2"/>
        <v>58151.014838918054</v>
      </c>
      <c r="AN39" s="278">
        <f t="shared" si="2"/>
        <v>18349.013911517461</v>
      </c>
      <c r="AO39" s="278">
        <f t="shared" si="2"/>
        <v>64925.967652448024</v>
      </c>
      <c r="AP39" s="278">
        <f t="shared" si="2"/>
        <v>7843.5703124602633</v>
      </c>
      <c r="AQ39" s="278">
        <f t="shared" si="2"/>
        <v>30982.03721373876</v>
      </c>
    </row>
    <row r="40" spans="1:43" ht="15.75" thickBot="1">
      <c r="A40" s="280" t="s">
        <v>182</v>
      </c>
      <c r="B40" s="281">
        <f>Projection!$AC$30</f>
        <v>0.91139353199999984</v>
      </c>
      <c r="C40" s="282">
        <f>Projection!$AC$28</f>
        <v>1.3599037199999999</v>
      </c>
      <c r="D40" s="282">
        <f>Projection!$AC$31</f>
        <v>2.1063504000000002</v>
      </c>
      <c r="E40" s="282">
        <f>Projection!$AC$26</f>
        <v>3.1224959999999999</v>
      </c>
      <c r="F40" s="282">
        <f>Projection!$AC$23</f>
        <v>5.8379999999999994E-2</v>
      </c>
      <c r="G40" s="282">
        <f>Projection!$AC$24</f>
        <v>4.9500000000000002E-2</v>
      </c>
      <c r="H40" s="283">
        <f>Projection!$AC$29</f>
        <v>3.6371774160000006</v>
      </c>
      <c r="I40" s="281">
        <f>Projection!$AC$30</f>
        <v>0.91139353199999984</v>
      </c>
      <c r="J40" s="282">
        <f>Projection!$AC$28</f>
        <v>1.3599037199999999</v>
      </c>
      <c r="K40" s="282">
        <f>Projection!$AC$26</f>
        <v>3.1224959999999999</v>
      </c>
      <c r="L40" s="282">
        <f>Projection!$AC$25</f>
        <v>0.37613399999999997</v>
      </c>
      <c r="M40" s="282">
        <f>Projection!$AC$23</f>
        <v>5.8379999999999994E-2</v>
      </c>
      <c r="N40" s="283">
        <f>Projection!$AC$23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Projection!$AC$28</f>
        <v>1.3599037199999999</v>
      </c>
      <c r="T40" s="346">
        <f>Projection!$AC$28</f>
        <v>1.3599037199999999</v>
      </c>
      <c r="U40" s="344">
        <f>Projection!$AC$27</f>
        <v>0.29749999999999999</v>
      </c>
      <c r="V40" s="345">
        <f>Projection!$AC$27</f>
        <v>0.29749999999999999</v>
      </c>
      <c r="W40" s="345">
        <f>Projection!$AC$22</f>
        <v>1.02</v>
      </c>
      <c r="X40" s="345">
        <f>Projection!$AC$22</f>
        <v>1.02</v>
      </c>
      <c r="Y40" s="345">
        <f>Projection!$AC$31</f>
        <v>2.1063504000000002</v>
      </c>
      <c r="Z40" s="345">
        <f>Projection!$AC$31</f>
        <v>2.1063504000000002</v>
      </c>
      <c r="AA40" s="347">
        <v>0</v>
      </c>
      <c r="AB40" s="348">
        <f>Projection!$AC$27</f>
        <v>0.29749999999999999</v>
      </c>
      <c r="AC40" s="348">
        <f>Projection!$AC$30</f>
        <v>0.91139353199999984</v>
      </c>
      <c r="AD40" s="289">
        <f>SUM(AD8:AD38)</f>
        <v>397.62251635723635</v>
      </c>
      <c r="AE40" s="289">
        <f>SUM(AE8:AE38)</f>
        <v>376.06886685012864</v>
      </c>
      <c r="AF40" s="289">
        <f>SUM(AF8:AF38)</f>
        <v>15.781907022362352</v>
      </c>
      <c r="AG40" s="289">
        <f>IF(SUM(AE40:AF40)&gt;0, AE40/(AE40+AF40), "")</f>
        <v>0.95972470114988773</v>
      </c>
      <c r="AH40" s="290">
        <v>8.1000000000000003E-2</v>
      </c>
      <c r="AI40" s="290">
        <f t="shared" ref="AI40:AQ40" si="3">$AH$40</f>
        <v>8.1000000000000003E-2</v>
      </c>
      <c r="AJ40" s="290">
        <f t="shared" si="3"/>
        <v>8.1000000000000003E-2</v>
      </c>
      <c r="AK40" s="290">
        <f t="shared" si="3"/>
        <v>8.1000000000000003E-2</v>
      </c>
      <c r="AL40" s="290">
        <f t="shared" si="3"/>
        <v>8.1000000000000003E-2</v>
      </c>
      <c r="AM40" s="290">
        <f t="shared" si="3"/>
        <v>8.1000000000000003E-2</v>
      </c>
      <c r="AN40" s="290">
        <f t="shared" si="3"/>
        <v>8.1000000000000003E-2</v>
      </c>
      <c r="AO40" s="290">
        <f t="shared" si="3"/>
        <v>8.1000000000000003E-2</v>
      </c>
      <c r="AP40" s="290">
        <f t="shared" si="3"/>
        <v>8.1000000000000003E-2</v>
      </c>
      <c r="AQ40" s="290">
        <f t="shared" si="3"/>
        <v>8.1000000000000003E-2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747.04560441935064</v>
      </c>
      <c r="D41" s="293">
        <f t="shared" si="4"/>
        <v>7361.0383621053688</v>
      </c>
      <c r="E41" s="293">
        <f t="shared" si="4"/>
        <v>159.80921397474992</v>
      </c>
      <c r="F41" s="293">
        <f t="shared" si="4"/>
        <v>0</v>
      </c>
      <c r="G41" s="293">
        <f t="shared" si="4"/>
        <v>568.46996873760099</v>
      </c>
      <c r="H41" s="294">
        <f t="shared" si="4"/>
        <v>683.85183740666696</v>
      </c>
      <c r="I41" s="292">
        <f t="shared" si="4"/>
        <v>13253.798582419935</v>
      </c>
      <c r="J41" s="293">
        <f t="shared" si="4"/>
        <v>42773.165912430391</v>
      </c>
      <c r="K41" s="293">
        <f t="shared" si="4"/>
        <v>1896.3668204949568</v>
      </c>
      <c r="L41" s="293">
        <f t="shared" si="4"/>
        <v>0</v>
      </c>
      <c r="M41" s="293">
        <f t="shared" si="4"/>
        <v>0</v>
      </c>
      <c r="N41" s="294">
        <f t="shared" si="4"/>
        <v>112.28358356920032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2591.83514734459</v>
      </c>
      <c r="V41" s="296">
        <f t="shared" si="4"/>
        <v>106.70112668261093</v>
      </c>
      <c r="W41" s="296">
        <f t="shared" si="4"/>
        <v>932.76828171152545</v>
      </c>
      <c r="X41" s="296">
        <f t="shared" si="4"/>
        <v>38.757676960282623</v>
      </c>
      <c r="Y41" s="296">
        <f t="shared" si="4"/>
        <v>15541.781215986533</v>
      </c>
      <c r="Z41" s="296">
        <f t="shared" si="4"/>
        <v>691.91166083169412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996.94036842956541</v>
      </c>
      <c r="AI41" s="300">
        <f t="shared" si="5"/>
        <v>2097.4728687797074</v>
      </c>
      <c r="AJ41" s="300">
        <f t="shared" si="5"/>
        <v>4809.7743547182081</v>
      </c>
      <c r="AK41" s="300">
        <f t="shared" si="5"/>
        <v>2537.833326251221</v>
      </c>
      <c r="AL41" s="300">
        <f t="shared" si="5"/>
        <v>4125.8154801338196</v>
      </c>
      <c r="AM41" s="300">
        <f t="shared" si="5"/>
        <v>4710.2322019523626</v>
      </c>
      <c r="AN41" s="300">
        <f t="shared" si="5"/>
        <v>1486.2701268329145</v>
      </c>
      <c r="AO41" s="300">
        <f t="shared" si="5"/>
        <v>5259.00337984829</v>
      </c>
      <c r="AP41" s="300">
        <f t="shared" si="5"/>
        <v>635.32919530928132</v>
      </c>
      <c r="AQ41" s="300">
        <f t="shared" si="5"/>
        <v>2509.5450143128396</v>
      </c>
    </row>
    <row r="42" spans="1:43" ht="49.5" customHeight="1" thickTop="1" thickBot="1">
      <c r="A42" s="544" t="s">
        <v>58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358.38</v>
      </c>
      <c r="AI42" s="300" t="s">
        <v>207</v>
      </c>
      <c r="AJ42" s="300">
        <v>1686.59</v>
      </c>
      <c r="AK42" s="300">
        <v>284.24</v>
      </c>
      <c r="AL42" s="300">
        <v>247.99</v>
      </c>
      <c r="AM42" s="300">
        <v>2413.98</v>
      </c>
      <c r="AN42" s="300">
        <v>175.51</v>
      </c>
      <c r="AO42" s="300" t="s">
        <v>207</v>
      </c>
      <c r="AP42" s="300">
        <v>21.13</v>
      </c>
      <c r="AQ42" s="300">
        <v>63.41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87459.584995075464</v>
      </c>
      <c r="C44" s="309"/>
      <c r="D44" s="307" t="s">
        <v>143</v>
      </c>
      <c r="E44" s="308">
        <f>SUM(B41:H41)+P41+R41+T41+V41+X41+Z41</f>
        <v>10357.585451118324</v>
      </c>
      <c r="F44" s="309"/>
      <c r="G44" s="307" t="s">
        <v>143</v>
      </c>
      <c r="H44" s="308">
        <f>SUM(I41:N41)+O41+Q41+S41+U41+W41+Y41</f>
        <v>77101.999543957136</v>
      </c>
      <c r="I44" s="309"/>
      <c r="J44" s="307" t="s">
        <v>208</v>
      </c>
      <c r="K44" s="308">
        <v>182990.58999999997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29168.21631656821</v>
      </c>
      <c r="C45" s="309"/>
      <c r="D45" s="314" t="s">
        <v>193</v>
      </c>
      <c r="E45" s="315">
        <f>AH41*(1-$AG$40)+AI41+AJ41*0.5+AL41+AM41*(1-$AG$40)+AN41*(1-$AG$40)+AO41*(1-$AG$40)+AP41*0.5+AQ41*0.5</f>
        <v>10702.138618252317</v>
      </c>
      <c r="F45" s="316"/>
      <c r="G45" s="314" t="s">
        <v>193</v>
      </c>
      <c r="H45" s="315">
        <f>AH41*AG40+AJ41*0.5+AK41+AM41*AG40+AN41*AG40+AO41*AG40+AP41*0.5+AQ41*0.5</f>
        <v>18466.077698315894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952.47643007040006</v>
      </c>
      <c r="U45" s="321">
        <f>(T45*8.34*0.895)/27000</f>
        <v>0.26331740062868469</v>
      </c>
    </row>
    <row r="46" spans="1:43" ht="32.25" thickBot="1">
      <c r="A46" s="322" t="s">
        <v>194</v>
      </c>
      <c r="B46" s="323">
        <f>SUM(AH42:AQ42)</f>
        <v>5251.2300000000005</v>
      </c>
      <c r="C46" s="309"/>
      <c r="D46" s="322" t="s">
        <v>194</v>
      </c>
      <c r="E46" s="323">
        <f>AH42*(1-$AG$40)+AJ42*0.5+AL42+AM42*(1-$AG$40)+AN42*(1-$AG$40)+AP42*0.5+AQ42*0.5</f>
        <v>1252.2813452212804</v>
      </c>
      <c r="F46" s="324"/>
      <c r="G46" s="322" t="s">
        <v>194</v>
      </c>
      <c r="H46" s="323">
        <f>AH42*AG40+AJ42*0.5+AK42+AM42*AG40+AN42*AG40+AP42*0.5+AQ42*0.5</f>
        <v>3998.9486547787196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1923.3227743953464</v>
      </c>
      <c r="U46" s="325">
        <f>(((T46*8.34)*0.005)/(8.34*1.055))/400</f>
        <v>2.2788184530750551E-2</v>
      </c>
    </row>
    <row r="47" spans="1:43" ht="24.75" thickTop="1" thickBot="1">
      <c r="A47" s="322" t="s">
        <v>195</v>
      </c>
      <c r="B47" s="323">
        <f>K44</f>
        <v>182990.58999999997</v>
      </c>
      <c r="C47" s="309"/>
      <c r="D47" s="322" t="s">
        <v>197</v>
      </c>
      <c r="E47" s="323">
        <f>K44*0.5</f>
        <v>91495.294999999984</v>
      </c>
      <c r="F47" s="316"/>
      <c r="G47" s="322" t="s">
        <v>195</v>
      </c>
      <c r="H47" s="323">
        <f>K44*0.5</f>
        <v>91495.294999999984</v>
      </c>
      <c r="I47" s="309"/>
      <c r="J47" s="307" t="s">
        <v>208</v>
      </c>
      <c r="K47" s="308">
        <v>34021.689999999995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11484.241792678808</v>
      </c>
      <c r="U47" s="321">
        <f>T47/40000</f>
        <v>0.28710604481697016</v>
      </c>
    </row>
    <row r="48" spans="1:43" ht="24" thickBot="1">
      <c r="A48" s="322" t="s">
        <v>196</v>
      </c>
      <c r="B48" s="323">
        <f>K47</f>
        <v>34021.689999999995</v>
      </c>
      <c r="C48" s="309"/>
      <c r="D48" s="322" t="s">
        <v>196</v>
      </c>
      <c r="E48" s="323">
        <f>K47*0.5</f>
        <v>17010.844999999998</v>
      </c>
      <c r="F48" s="324"/>
      <c r="G48" s="322" t="s">
        <v>196</v>
      </c>
      <c r="H48" s="323">
        <f>K47*0.5</f>
        <v>17010.844999999998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397.62251635723635</v>
      </c>
      <c r="C49" s="309"/>
      <c r="D49" s="327" t="s">
        <v>205</v>
      </c>
      <c r="E49" s="328">
        <f>AF40</f>
        <v>15.781907022362352</v>
      </c>
      <c r="F49" s="324"/>
      <c r="G49" s="327" t="s">
        <v>206</v>
      </c>
      <c r="H49" s="328">
        <f>AE40</f>
        <v>376.06886685012864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658.50397709707454</v>
      </c>
      <c r="U49" s="321">
        <f>(T49*8.34*1.04)/45000</f>
        <v>0.12692444657220414</v>
      </c>
    </row>
    <row r="50" spans="1:25" ht="48" thickTop="1" thickBot="1">
      <c r="A50" s="327" t="s">
        <v>200</v>
      </c>
      <c r="B50" s="329">
        <f>(SUM(B44:B48)/AD40)</f>
        <v>852.2940662826378</v>
      </c>
      <c r="C50" s="309"/>
      <c r="D50" s="327" t="s">
        <v>198</v>
      </c>
      <c r="E50" s="329">
        <f>SUM(E44:E48)/AF40</f>
        <v>8289.1215383050767</v>
      </c>
      <c r="F50" s="324"/>
      <c r="G50" s="327" t="s">
        <v>199</v>
      </c>
      <c r="H50" s="329">
        <f>SUM(H44:H48)/AE40</f>
        <v>553.28474180760418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9070.7101647973141</v>
      </c>
      <c r="U50" s="321">
        <f>T50/2000/8</f>
        <v>0.5669193852998321</v>
      </c>
    </row>
    <row r="51" spans="1:25" ht="47.25" customHeight="1" thickTop="1" thickBot="1">
      <c r="A51" s="330" t="s">
        <v>201</v>
      </c>
      <c r="B51" s="331">
        <f>B50/1000</f>
        <v>0.85229406628263782</v>
      </c>
      <c r="C51" s="309"/>
      <c r="D51" s="330" t="s">
        <v>202</v>
      </c>
      <c r="E51" s="331">
        <f>E50/1000</f>
        <v>8.2891215383050767</v>
      </c>
      <c r="F51" s="309"/>
      <c r="G51" s="330" t="s">
        <v>203</v>
      </c>
      <c r="H51" s="331">
        <f>H50/1000</f>
        <v>0.55328474180760423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32002.421110260471</v>
      </c>
      <c r="U51" s="321">
        <f>(T51*8.34*1.4)/45000</f>
        <v>8.3035615307422503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188.01717903514742</v>
      </c>
      <c r="U52" s="321">
        <f>(T52*8.34*1.135)/45000</f>
        <v>3.9550040333973378E-2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14542.344351879752</v>
      </c>
      <c r="U53" s="321">
        <f>(T53*8.34*1.029*0.03)/3300</f>
        <v>1.1345487572692978</v>
      </c>
    </row>
    <row r="54" spans="1:25" ht="51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11201.712326174977</v>
      </c>
      <c r="U54" s="350">
        <f>(T54*1.54*8.34)/45000</f>
        <v>3.1971180540546871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</row>
    <row r="62" spans="1:25">
      <c r="A62" s="309"/>
      <c r="B62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1"/>
  <sheetViews>
    <sheetView topLeftCell="A37" zoomScaleNormal="100" workbookViewId="0">
      <selection activeCell="C16" sqref="C16"/>
    </sheetView>
  </sheetViews>
  <sheetFormatPr defaultRowHeight="15"/>
  <cols>
    <col min="1" max="1" width="35.140625" style="208" bestFit="1" customWidth="1"/>
    <col min="2" max="2" width="19.140625" style="208" customWidth="1"/>
    <col min="3" max="3" width="27.7109375" style="208" bestFit="1" customWidth="1"/>
    <col min="4" max="4" width="29.5703125" style="208" customWidth="1"/>
    <col min="5" max="5" width="24.140625" style="208" bestFit="1" customWidth="1"/>
    <col min="6" max="6" width="15" style="208" bestFit="1" customWidth="1"/>
    <col min="7" max="7" width="35.5703125" style="208" customWidth="1"/>
    <col min="8" max="8" width="23" style="208" bestFit="1" customWidth="1"/>
    <col min="9" max="10" width="25.28515625" style="208" bestFit="1" customWidth="1"/>
    <col min="11" max="11" width="23" style="208" bestFit="1" customWidth="1"/>
    <col min="12" max="12" width="17" style="208" bestFit="1" customWidth="1"/>
    <col min="13" max="13" width="16" style="208" bestFit="1" customWidth="1"/>
    <col min="14" max="14" width="20.7109375" style="208" bestFit="1" customWidth="1"/>
    <col min="15" max="16" width="16.1406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40756</v>
      </c>
      <c r="B8" s="233"/>
      <c r="C8" s="234">
        <v>91.246902302900892</v>
      </c>
      <c r="D8" s="234">
        <v>571.42376883824613</v>
      </c>
      <c r="E8" s="234">
        <v>8.4551011895140107</v>
      </c>
      <c r="F8" s="234">
        <v>0</v>
      </c>
      <c r="G8" s="234">
        <v>1935.807837295529</v>
      </c>
      <c r="H8" s="235">
        <v>30.153941192229631</v>
      </c>
      <c r="I8" s="233">
        <v>578.54967037836775</v>
      </c>
      <c r="J8" s="234">
        <v>1182.9995573679585</v>
      </c>
      <c r="K8" s="234">
        <v>21.661509544650698</v>
      </c>
      <c r="L8" s="234">
        <v>0</v>
      </c>
      <c r="M8" s="234">
        <v>0</v>
      </c>
      <c r="N8" s="235">
        <v>123.8159321546555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298.27448242907815</v>
      </c>
      <c r="V8" s="238">
        <v>63.909936270399157</v>
      </c>
      <c r="W8" s="238">
        <v>31.204869949387398</v>
      </c>
      <c r="X8" s="238">
        <v>6.686127601497506</v>
      </c>
      <c r="Y8" s="238">
        <v>281.30104980667181</v>
      </c>
      <c r="Z8" s="238">
        <v>60.273114949467576</v>
      </c>
      <c r="AA8" s="239">
        <v>0</v>
      </c>
      <c r="AB8" s="240">
        <v>0</v>
      </c>
      <c r="AC8" s="241">
        <v>0</v>
      </c>
      <c r="AD8" s="241">
        <v>17.259266186422774</v>
      </c>
      <c r="AE8" s="242">
        <v>13.903336841856692</v>
      </c>
      <c r="AF8" s="242">
        <v>2.9790056603994941</v>
      </c>
      <c r="AG8" s="242">
        <v>0.82354310961281729</v>
      </c>
      <c r="AH8" s="241">
        <v>213.4774531364441</v>
      </c>
      <c r="AI8" s="241">
        <v>974.29165986378973</v>
      </c>
      <c r="AJ8" s="241">
        <v>3202.9214909871412</v>
      </c>
      <c r="AK8" s="241">
        <v>995.34721361796062</v>
      </c>
      <c r="AL8" s="241">
        <v>3084.4964744567874</v>
      </c>
      <c r="AM8" s="241">
        <v>2198.6034268697099</v>
      </c>
      <c r="AN8" s="241">
        <v>589.66436735789011</v>
      </c>
      <c r="AO8" s="241">
        <v>2851.561287053426</v>
      </c>
      <c r="AP8" s="241">
        <v>425.86565372149147</v>
      </c>
      <c r="AQ8" s="241">
        <v>1062.8804061253863</v>
      </c>
    </row>
    <row r="9" spans="1:47">
      <c r="A9" s="232">
        <f>A8+1</f>
        <v>40757</v>
      </c>
      <c r="B9" s="243"/>
      <c r="C9" s="244">
        <v>88.622403184572789</v>
      </c>
      <c r="D9" s="244">
        <v>570.0936989148455</v>
      </c>
      <c r="E9" s="244">
        <v>8.5825501953562195</v>
      </c>
      <c r="F9" s="244">
        <v>0</v>
      </c>
      <c r="G9" s="244">
        <v>1986.8137993494645</v>
      </c>
      <c r="H9" s="245">
        <v>28.838320630788857</v>
      </c>
      <c r="I9" s="243">
        <v>569.76865043640112</v>
      </c>
      <c r="J9" s="244">
        <v>1167.6896385192867</v>
      </c>
      <c r="K9" s="244">
        <v>21.617482498288158</v>
      </c>
      <c r="L9" s="244">
        <v>0</v>
      </c>
      <c r="M9" s="244">
        <v>0</v>
      </c>
      <c r="N9" s="245">
        <v>123.61406675974524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292.88456266010314</v>
      </c>
      <c r="V9" s="246">
        <v>59.049065549330905</v>
      </c>
      <c r="W9" s="246">
        <v>30.572014667730336</v>
      </c>
      <c r="X9" s="246">
        <v>6.1636874326658599</v>
      </c>
      <c r="Y9" s="250">
        <v>284.22070177988019</v>
      </c>
      <c r="Z9" s="250">
        <v>57.302326546154823</v>
      </c>
      <c r="AA9" s="251">
        <v>0</v>
      </c>
      <c r="AB9" s="252">
        <v>0</v>
      </c>
      <c r="AC9" s="253">
        <v>0</v>
      </c>
      <c r="AD9" s="253">
        <v>16.771713073386074</v>
      </c>
      <c r="AE9" s="252">
        <v>13.651277553977634</v>
      </c>
      <c r="AF9" s="252">
        <v>2.7522624470051729</v>
      </c>
      <c r="AG9" s="252">
        <v>0.83221533602866993</v>
      </c>
      <c r="AH9" s="253">
        <v>486.16154603958131</v>
      </c>
      <c r="AI9" s="253">
        <v>1233.5729372024539</v>
      </c>
      <c r="AJ9" s="253">
        <v>3176.369234085083</v>
      </c>
      <c r="AK9" s="253">
        <v>984.88731123606374</v>
      </c>
      <c r="AL9" s="253">
        <v>3128.5594240824389</v>
      </c>
      <c r="AM9" s="253">
        <v>2259.8019353230798</v>
      </c>
      <c r="AN9" s="253">
        <v>558.77512594858797</v>
      </c>
      <c r="AO9" s="253">
        <v>2803.3860312143961</v>
      </c>
      <c r="AP9" s="253">
        <v>397.12270538012189</v>
      </c>
      <c r="AQ9" s="253">
        <v>994.65309171676631</v>
      </c>
    </row>
    <row r="10" spans="1:47">
      <c r="A10" s="232">
        <f t="shared" ref="A10:A38" si="0">A9+1</f>
        <v>40758</v>
      </c>
      <c r="B10" s="243"/>
      <c r="C10" s="244">
        <v>91.774940725167923</v>
      </c>
      <c r="D10" s="244">
        <v>578.0943314234413</v>
      </c>
      <c r="E10" s="244">
        <v>8.7084959869583418</v>
      </c>
      <c r="F10" s="244">
        <v>0</v>
      </c>
      <c r="G10" s="244">
        <v>2013.1965142567947</v>
      </c>
      <c r="H10" s="245">
        <v>31.131489329536752</v>
      </c>
      <c r="I10" s="243">
        <v>536.85515085856082</v>
      </c>
      <c r="J10" s="244">
        <v>1101.5608167012554</v>
      </c>
      <c r="K10" s="244">
        <v>20.060602473219316</v>
      </c>
      <c r="L10" s="244">
        <v>0</v>
      </c>
      <c r="M10" s="244">
        <v>0</v>
      </c>
      <c r="N10" s="245">
        <v>122.84750099927183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279.54220627983506</v>
      </c>
      <c r="V10" s="246">
        <v>64.313598693339102</v>
      </c>
      <c r="W10" s="246">
        <v>29.278533023359838</v>
      </c>
      <c r="X10" s="246">
        <v>6.7360412162915413</v>
      </c>
      <c r="Y10" s="250">
        <v>277.71478531562474</v>
      </c>
      <c r="Z10" s="250">
        <v>63.893168375856497</v>
      </c>
      <c r="AA10" s="251">
        <v>0</v>
      </c>
      <c r="AB10" s="252">
        <v>0</v>
      </c>
      <c r="AC10" s="253">
        <v>0</v>
      </c>
      <c r="AD10" s="253">
        <v>16.396239691972724</v>
      </c>
      <c r="AE10" s="252">
        <v>13.039182573061829</v>
      </c>
      <c r="AF10" s="252">
        <v>2.9998931698120912</v>
      </c>
      <c r="AG10" s="252">
        <v>0.81296346386138074</v>
      </c>
      <c r="AH10" s="253">
        <v>193.73005549112958</v>
      </c>
      <c r="AI10" s="253">
        <v>963.8893950144452</v>
      </c>
      <c r="AJ10" s="253">
        <v>3155.4391941070558</v>
      </c>
      <c r="AK10" s="253">
        <v>978.29519309997534</v>
      </c>
      <c r="AL10" s="253">
        <v>3176.2106825510655</v>
      </c>
      <c r="AM10" s="253">
        <v>2374.4894718170158</v>
      </c>
      <c r="AN10" s="253">
        <v>543.2915210723877</v>
      </c>
      <c r="AO10" s="253">
        <v>2467.0302876790365</v>
      </c>
      <c r="AP10" s="253">
        <v>378.29681374231978</v>
      </c>
      <c r="AQ10" s="253">
        <v>995.39025055567424</v>
      </c>
    </row>
    <row r="11" spans="1:47">
      <c r="A11" s="232">
        <f t="shared" si="0"/>
        <v>40759</v>
      </c>
      <c r="B11" s="243"/>
      <c r="C11" s="244">
        <v>98.555405441920129</v>
      </c>
      <c r="D11" s="244">
        <v>586.77257000605266</v>
      </c>
      <c r="E11" s="244">
        <v>8.6365056633949084</v>
      </c>
      <c r="F11" s="244">
        <v>0</v>
      </c>
      <c r="G11" s="244">
        <v>1681.5915740330956</v>
      </c>
      <c r="H11" s="245">
        <v>29.761166895429358</v>
      </c>
      <c r="I11" s="243">
        <v>493.95266755421954</v>
      </c>
      <c r="J11" s="244">
        <v>1018.3928860982249</v>
      </c>
      <c r="K11" s="244">
        <v>18.42682447334133</v>
      </c>
      <c r="L11" s="244">
        <v>0</v>
      </c>
      <c r="M11" s="244">
        <v>0</v>
      </c>
      <c r="N11" s="245">
        <v>121.49172824919219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258.03849719640414</v>
      </c>
      <c r="V11" s="246">
        <v>64.518545497697744</v>
      </c>
      <c r="W11" s="246">
        <v>27.722254929175985</v>
      </c>
      <c r="X11" s="246">
        <v>6.9315221774270235</v>
      </c>
      <c r="Y11" s="250">
        <v>249.98191122722636</v>
      </c>
      <c r="Z11" s="250">
        <v>62.504120464006469</v>
      </c>
      <c r="AA11" s="251">
        <v>0</v>
      </c>
      <c r="AB11" s="252">
        <v>0</v>
      </c>
      <c r="AC11" s="253">
        <v>0</v>
      </c>
      <c r="AD11" s="253">
        <v>15.316627470652247</v>
      </c>
      <c r="AE11" s="252">
        <v>12.000071261957066</v>
      </c>
      <c r="AF11" s="252">
        <v>3.0004326955171132</v>
      </c>
      <c r="AG11" s="252">
        <v>0.79997787380855878</v>
      </c>
      <c r="AH11" s="253">
        <v>477.73053955237066</v>
      </c>
      <c r="AI11" s="253">
        <v>1234.1769302368164</v>
      </c>
      <c r="AJ11" s="253">
        <v>3146.1905853271483</v>
      </c>
      <c r="AK11" s="253">
        <v>993.77192675272636</v>
      </c>
      <c r="AL11" s="253">
        <v>3638.0204770406081</v>
      </c>
      <c r="AM11" s="253">
        <v>2146.2914859771731</v>
      </c>
      <c r="AN11" s="253">
        <v>622.72646490732825</v>
      </c>
      <c r="AO11" s="253">
        <v>2318.9119122823076</v>
      </c>
      <c r="AP11" s="253">
        <v>369.89429953893028</v>
      </c>
      <c r="AQ11" s="253">
        <v>985.42889738082886</v>
      </c>
    </row>
    <row r="12" spans="1:47">
      <c r="A12" s="232">
        <f t="shared" si="0"/>
        <v>40760</v>
      </c>
      <c r="B12" s="243"/>
      <c r="C12" s="244">
        <v>93.168144992987422</v>
      </c>
      <c r="D12" s="244">
        <v>627.43127667109286</v>
      </c>
      <c r="E12" s="244">
        <v>9.2379150291283878</v>
      </c>
      <c r="F12" s="244">
        <v>0</v>
      </c>
      <c r="G12" s="244">
        <v>1786.1153935114496</v>
      </c>
      <c r="H12" s="245">
        <v>29.304559977849394</v>
      </c>
      <c r="I12" s="243">
        <v>514.97354609171487</v>
      </c>
      <c r="J12" s="244">
        <v>1103.9907308578479</v>
      </c>
      <c r="K12" s="244">
        <v>19.926470374067637</v>
      </c>
      <c r="L12" s="244">
        <v>0</v>
      </c>
      <c r="M12" s="244">
        <v>0</v>
      </c>
      <c r="N12" s="245">
        <v>126.41813098937266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273.6312614194282</v>
      </c>
      <c r="V12" s="246">
        <v>54.481278952781814</v>
      </c>
      <c r="W12" s="246">
        <v>29.243336263825217</v>
      </c>
      <c r="X12" s="246">
        <v>5.8224866275690159</v>
      </c>
      <c r="Y12" s="250">
        <v>262.26046215904302</v>
      </c>
      <c r="Z12" s="250">
        <v>52.217299014204727</v>
      </c>
      <c r="AA12" s="251">
        <v>0</v>
      </c>
      <c r="AB12" s="252">
        <v>0</v>
      </c>
      <c r="AC12" s="253">
        <v>0</v>
      </c>
      <c r="AD12" s="253">
        <v>15.622005885177154</v>
      </c>
      <c r="AE12" s="252">
        <v>12.766911613315006</v>
      </c>
      <c r="AF12" s="252">
        <v>2.5419525143523645</v>
      </c>
      <c r="AG12" s="252">
        <v>0.83395551145049684</v>
      </c>
      <c r="AH12" s="253">
        <v>194.02777206897736</v>
      </c>
      <c r="AI12" s="253">
        <v>945.00466095606475</v>
      </c>
      <c r="AJ12" s="253">
        <v>3079.8884408315025</v>
      </c>
      <c r="AK12" s="253">
        <v>1001.423900604248</v>
      </c>
      <c r="AL12" s="253">
        <v>4277.1710492451994</v>
      </c>
      <c r="AM12" s="253">
        <v>2155.2503398895265</v>
      </c>
      <c r="AN12" s="253">
        <v>587.47861901919055</v>
      </c>
      <c r="AO12" s="253">
        <v>2386.7634530385335</v>
      </c>
      <c r="AP12" s="253">
        <v>396.59839967091881</v>
      </c>
      <c r="AQ12" s="253">
        <v>986.8748007138571</v>
      </c>
    </row>
    <row r="13" spans="1:47">
      <c r="A13" s="232">
        <f t="shared" si="0"/>
        <v>40761</v>
      </c>
      <c r="B13" s="243"/>
      <c r="C13" s="244">
        <v>91.535588006178685</v>
      </c>
      <c r="D13" s="244">
        <v>603.36580336491352</v>
      </c>
      <c r="E13" s="244">
        <v>9.9471807256340856</v>
      </c>
      <c r="F13" s="244">
        <v>0</v>
      </c>
      <c r="G13" s="244">
        <v>1710.7579176584863</v>
      </c>
      <c r="H13" s="245">
        <v>32.137180986007088</v>
      </c>
      <c r="I13" s="243">
        <v>578.11311391194636</v>
      </c>
      <c r="J13" s="244">
        <v>1174.9893658955887</v>
      </c>
      <c r="K13" s="244">
        <v>21.461730090777106</v>
      </c>
      <c r="L13" s="244">
        <v>0</v>
      </c>
      <c r="M13" s="244">
        <v>0</v>
      </c>
      <c r="N13" s="245">
        <v>121.98829595297585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300.5135855747294</v>
      </c>
      <c r="V13" s="246">
        <v>64.396413954791612</v>
      </c>
      <c r="W13" s="246">
        <v>31.857312649714416</v>
      </c>
      <c r="X13" s="246">
        <v>6.8266354379778225</v>
      </c>
      <c r="Y13" s="250">
        <v>287.27008422445107</v>
      </c>
      <c r="Z13" s="250">
        <v>61.55849235623117</v>
      </c>
      <c r="AA13" s="251">
        <v>0</v>
      </c>
      <c r="AB13" s="252">
        <v>0</v>
      </c>
      <c r="AC13" s="253">
        <v>0</v>
      </c>
      <c r="AD13" s="253">
        <v>17.336518891652442</v>
      </c>
      <c r="AE13" s="252">
        <v>14.001699922638934</v>
      </c>
      <c r="AF13" s="252">
        <v>3.000394350107717</v>
      </c>
      <c r="AG13" s="252">
        <v>0.82352795473454277</v>
      </c>
      <c r="AH13" s="253">
        <v>487.74870260556531</v>
      </c>
      <c r="AI13" s="253">
        <v>1229.8032553354901</v>
      </c>
      <c r="AJ13" s="253">
        <v>3159.4236277262371</v>
      </c>
      <c r="AK13" s="253">
        <v>1005.6760917663574</v>
      </c>
      <c r="AL13" s="253">
        <v>4313.885196685791</v>
      </c>
      <c r="AM13" s="253">
        <v>2177.5245595296224</v>
      </c>
      <c r="AN13" s="253">
        <v>580.19852790832522</v>
      </c>
      <c r="AO13" s="253">
        <v>2702.2076314290362</v>
      </c>
      <c r="AP13" s="253">
        <v>424.58505045572917</v>
      </c>
      <c r="AQ13" s="253">
        <v>959.95380770365398</v>
      </c>
    </row>
    <row r="14" spans="1:47">
      <c r="A14" s="232">
        <f t="shared" si="0"/>
        <v>40762</v>
      </c>
      <c r="B14" s="243"/>
      <c r="C14" s="244">
        <v>98.511352002620768</v>
      </c>
      <c r="D14" s="244">
        <v>606.63957529068114</v>
      </c>
      <c r="E14" s="244">
        <v>10.167385530968508</v>
      </c>
      <c r="F14" s="244">
        <v>0</v>
      </c>
      <c r="G14" s="244">
        <v>1741.3135698318454</v>
      </c>
      <c r="H14" s="245">
        <v>30.737430899341952</v>
      </c>
      <c r="I14" s="243">
        <v>584.35154369672136</v>
      </c>
      <c r="J14" s="244">
        <v>1174.3384731928493</v>
      </c>
      <c r="K14" s="244">
        <v>21.471710955103259</v>
      </c>
      <c r="L14" s="244">
        <v>0</v>
      </c>
      <c r="M14" s="244">
        <v>0</v>
      </c>
      <c r="N14" s="245">
        <v>123.32610821326577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300.2151573836324</v>
      </c>
      <c r="V14" s="246">
        <v>64.323431309775444</v>
      </c>
      <c r="W14" s="246">
        <v>31.613093954603283</v>
      </c>
      <c r="X14" s="246">
        <v>6.7733511365647816</v>
      </c>
      <c r="Y14" s="250">
        <v>287.88434010043363</v>
      </c>
      <c r="Z14" s="250">
        <v>61.681457848403255</v>
      </c>
      <c r="AA14" s="251">
        <v>0</v>
      </c>
      <c r="AB14" s="252">
        <v>0</v>
      </c>
      <c r="AC14" s="253">
        <v>0</v>
      </c>
      <c r="AD14" s="253">
        <v>17.334425359302113</v>
      </c>
      <c r="AE14" s="252">
        <v>14.001098220912212</v>
      </c>
      <c r="AF14" s="252">
        <v>2.9998441368615798</v>
      </c>
      <c r="AG14" s="252">
        <v>0.82354836139480936</v>
      </c>
      <c r="AH14" s="253">
        <v>210.00845319430033</v>
      </c>
      <c r="AI14" s="253">
        <v>966.99776280721039</v>
      </c>
      <c r="AJ14" s="253">
        <v>3256.5682484944659</v>
      </c>
      <c r="AK14" s="253">
        <v>1009.9267896016438</v>
      </c>
      <c r="AL14" s="253">
        <v>4197.3380045572912</v>
      </c>
      <c r="AM14" s="253">
        <v>2187.1433851877846</v>
      </c>
      <c r="AN14" s="253">
        <v>586.17233648300169</v>
      </c>
      <c r="AO14" s="253">
        <v>2757.6352945963545</v>
      </c>
      <c r="AP14" s="253">
        <v>427.95456625620528</v>
      </c>
      <c r="AQ14" s="253">
        <v>932.27657782236713</v>
      </c>
    </row>
    <row r="15" spans="1:47">
      <c r="A15" s="232">
        <f t="shared" si="0"/>
        <v>40763</v>
      </c>
      <c r="B15" s="243"/>
      <c r="C15" s="244">
        <v>92.688513592878564</v>
      </c>
      <c r="D15" s="244">
        <v>613.03403994242365</v>
      </c>
      <c r="E15" s="244">
        <v>10.068532074491195</v>
      </c>
      <c r="F15" s="244">
        <v>0</v>
      </c>
      <c r="G15" s="244">
        <v>1875.6155942916855</v>
      </c>
      <c r="H15" s="245">
        <v>32.76133547226592</v>
      </c>
      <c r="I15" s="243">
        <v>640.07821997006704</v>
      </c>
      <c r="J15" s="244">
        <v>1351.4915499369304</v>
      </c>
      <c r="K15" s="244">
        <v>24.714095576604173</v>
      </c>
      <c r="L15" s="244">
        <v>0</v>
      </c>
      <c r="M15" s="244">
        <v>0</v>
      </c>
      <c r="N15" s="245">
        <v>133.64383704861027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333.2048294325354</v>
      </c>
      <c r="V15" s="246">
        <v>63.701940023267511</v>
      </c>
      <c r="W15" s="246">
        <v>30.850724410064167</v>
      </c>
      <c r="X15" s="246">
        <v>5.8980267464645815</v>
      </c>
      <c r="Y15" s="250">
        <v>326.95296016824364</v>
      </c>
      <c r="Z15" s="250">
        <v>62.506710645633717</v>
      </c>
      <c r="AA15" s="251">
        <v>0</v>
      </c>
      <c r="AB15" s="252">
        <v>0</v>
      </c>
      <c r="AC15" s="253">
        <v>0</v>
      </c>
      <c r="AD15" s="253">
        <v>18.735035575760744</v>
      </c>
      <c r="AE15" s="252">
        <v>15.529389205285966</v>
      </c>
      <c r="AF15" s="252">
        <v>2.9689012054172523</v>
      </c>
      <c r="AG15" s="252">
        <v>0.83950402229065291</v>
      </c>
      <c r="AH15" s="253">
        <v>205.10240689913434</v>
      </c>
      <c r="AI15" s="253">
        <v>955.24646116892495</v>
      </c>
      <c r="AJ15" s="253">
        <v>3247.7122085571295</v>
      </c>
      <c r="AK15" s="253">
        <v>1026.0789107640585</v>
      </c>
      <c r="AL15" s="253">
        <v>4053.7537968953452</v>
      </c>
      <c r="AM15" s="253">
        <v>2218.410676320394</v>
      </c>
      <c r="AN15" s="253">
        <v>575.68242791493742</v>
      </c>
      <c r="AO15" s="253">
        <v>2879.2564876556403</v>
      </c>
      <c r="AP15" s="253">
        <v>317.20064190228794</v>
      </c>
      <c r="AQ15" s="253">
        <v>984.43873221079502</v>
      </c>
    </row>
    <row r="16" spans="1:47">
      <c r="A16" s="232">
        <f t="shared" si="0"/>
        <v>40764</v>
      </c>
      <c r="B16" s="243"/>
      <c r="C16" s="244">
        <v>76.127361750602702</v>
      </c>
      <c r="D16" s="244">
        <v>607.94556198120142</v>
      </c>
      <c r="E16" s="244">
        <v>10.00897222012278</v>
      </c>
      <c r="F16" s="244">
        <v>0</v>
      </c>
      <c r="G16" s="244">
        <v>2371.2209460576373</v>
      </c>
      <c r="H16" s="245">
        <v>33.788198647896515</v>
      </c>
      <c r="I16" s="243">
        <v>735.8113332430521</v>
      </c>
      <c r="J16" s="244">
        <v>1484.3896635691333</v>
      </c>
      <c r="K16" s="244">
        <v>27.425238174200004</v>
      </c>
      <c r="L16" s="244">
        <v>0</v>
      </c>
      <c r="M16" s="244">
        <v>0</v>
      </c>
      <c r="N16" s="245">
        <v>164.13205409049988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378.50774372528167</v>
      </c>
      <c r="V16" s="246">
        <v>60.18529390119582</v>
      </c>
      <c r="W16" s="246">
        <v>30.04</v>
      </c>
      <c r="X16" s="246">
        <v>4.774</v>
      </c>
      <c r="Y16" s="250">
        <v>371.01526710943233</v>
      </c>
      <c r="Z16" s="250">
        <v>58.993939392211139</v>
      </c>
      <c r="AA16" s="251">
        <v>0</v>
      </c>
      <c r="AB16" s="252">
        <v>0</v>
      </c>
      <c r="AC16" s="253">
        <v>0</v>
      </c>
      <c r="AD16" s="253">
        <v>20.67343613571591</v>
      </c>
      <c r="AE16" s="252">
        <v>17.664877492761857</v>
      </c>
      <c r="AF16" s="252">
        <v>2.8088351196379477</v>
      </c>
      <c r="AG16" s="252">
        <v>0.86280772946198381</v>
      </c>
      <c r="AH16" s="253">
        <v>481.60900039672856</v>
      </c>
      <c r="AI16" s="253">
        <v>1221.4645104090371</v>
      </c>
      <c r="AJ16" s="253">
        <v>3262.7137953440351</v>
      </c>
      <c r="AK16" s="253">
        <v>1046.6009475072226</v>
      </c>
      <c r="AL16" s="253">
        <v>4058.8192801157638</v>
      </c>
      <c r="AM16" s="253">
        <v>2309.4267615000408</v>
      </c>
      <c r="AN16" s="253">
        <v>568.92306666374202</v>
      </c>
      <c r="AO16" s="253">
        <v>3629.0746734619142</v>
      </c>
      <c r="AP16" s="253">
        <v>303.91463605165484</v>
      </c>
      <c r="AQ16" s="253">
        <v>996.3706776936848</v>
      </c>
    </row>
    <row r="17" spans="1:43">
      <c r="A17" s="232">
        <f t="shared" si="0"/>
        <v>40765</v>
      </c>
      <c r="B17" s="233"/>
      <c r="C17" s="234">
        <v>78.049448370933462</v>
      </c>
      <c r="D17" s="234">
        <v>623.12053499221804</v>
      </c>
      <c r="E17" s="234">
        <v>9.9309048056602069</v>
      </c>
      <c r="F17" s="234">
        <v>0</v>
      </c>
      <c r="G17" s="234">
        <v>2579.8350210825556</v>
      </c>
      <c r="H17" s="235">
        <v>31.537577711542529</v>
      </c>
      <c r="I17" s="233">
        <v>642.14436940352277</v>
      </c>
      <c r="J17" s="234">
        <v>1594.8716282844548</v>
      </c>
      <c r="K17" s="234">
        <v>29.289277476072314</v>
      </c>
      <c r="L17" s="244">
        <v>0</v>
      </c>
      <c r="M17" s="234">
        <v>0</v>
      </c>
      <c r="N17" s="235">
        <v>163.26256988495581</v>
      </c>
      <c r="O17" s="233">
        <v>9.8398886967607712E-4</v>
      </c>
      <c r="P17" s="234">
        <v>1.5352848719648148E-4</v>
      </c>
      <c r="Q17" s="234">
        <v>4.9199443483803856E-4</v>
      </c>
      <c r="R17" s="254">
        <v>7.676424359824074E-5</v>
      </c>
      <c r="S17" s="234">
        <v>8.7856149078221174E-2</v>
      </c>
      <c r="T17" s="236">
        <v>1.370790064254299E-2</v>
      </c>
      <c r="U17" s="255">
        <v>412.97</v>
      </c>
      <c r="V17" s="250">
        <v>61.7</v>
      </c>
      <c r="W17" s="246">
        <v>33.65</v>
      </c>
      <c r="X17" s="246">
        <v>5.0259999999999998</v>
      </c>
      <c r="Y17" s="250">
        <v>424.11</v>
      </c>
      <c r="Z17" s="250">
        <v>63.37</v>
      </c>
      <c r="AA17" s="251">
        <v>0</v>
      </c>
      <c r="AB17" s="252">
        <v>0</v>
      </c>
      <c r="AC17" s="253">
        <v>0.10156404972076416</v>
      </c>
      <c r="AD17" s="253">
        <v>22.47720606972775</v>
      </c>
      <c r="AE17" s="252">
        <v>19.552104295858388</v>
      </c>
      <c r="AF17" s="252">
        <v>2.9251017738693612</v>
      </c>
      <c r="AG17" s="252">
        <v>0.86986364031209018</v>
      </c>
      <c r="AH17" s="253">
        <v>188.18839486440024</v>
      </c>
      <c r="AI17" s="253">
        <v>916.33244466781605</v>
      </c>
      <c r="AJ17" s="253">
        <v>2991.5668194452928</v>
      </c>
      <c r="AK17" s="253">
        <v>1044.3153522491457</v>
      </c>
      <c r="AL17" s="253">
        <v>4247.9450935681662</v>
      </c>
      <c r="AM17" s="253">
        <v>1980.9577676137287</v>
      </c>
      <c r="AN17" s="253">
        <v>622.38777197202046</v>
      </c>
      <c r="AO17" s="253">
        <v>3453.6714036623634</v>
      </c>
      <c r="AP17" s="253">
        <v>400.28459501266479</v>
      </c>
      <c r="AQ17" s="253">
        <v>944.62340122858677</v>
      </c>
    </row>
    <row r="18" spans="1:43">
      <c r="A18" s="232">
        <f t="shared" si="0"/>
        <v>40766</v>
      </c>
      <c r="B18" s="243"/>
      <c r="C18" s="244">
        <v>94.78422505060847</v>
      </c>
      <c r="D18" s="244">
        <v>752.77350705464733</v>
      </c>
      <c r="E18" s="244">
        <v>12.121341315408626</v>
      </c>
      <c r="F18" s="244">
        <v>0</v>
      </c>
      <c r="G18" s="244">
        <v>3323.2769182205125</v>
      </c>
      <c r="H18" s="245">
        <v>38.169105992714655</v>
      </c>
      <c r="I18" s="243">
        <v>622.54939918518073</v>
      </c>
      <c r="J18" s="244">
        <v>1614.1775039037036</v>
      </c>
      <c r="K18" s="244">
        <v>29.307040512561745</v>
      </c>
      <c r="L18" s="244">
        <v>0</v>
      </c>
      <c r="M18" s="244">
        <v>0</v>
      </c>
      <c r="N18" s="245">
        <v>164.53206438074531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420.25812452527623</v>
      </c>
      <c r="V18" s="246">
        <v>74.163198445636979</v>
      </c>
      <c r="W18" s="246">
        <v>37.11</v>
      </c>
      <c r="X18" s="246">
        <v>6.55</v>
      </c>
      <c r="Y18" s="250">
        <v>446.99075463930814</v>
      </c>
      <c r="Z18" s="250">
        <v>78.880721406936729</v>
      </c>
      <c r="AA18" s="251">
        <v>0</v>
      </c>
      <c r="AB18" s="252">
        <v>0</v>
      </c>
      <c r="AC18" s="253">
        <v>0</v>
      </c>
      <c r="AD18" s="253">
        <v>23.20724896192548</v>
      </c>
      <c r="AE18" s="252">
        <v>19.635685200084335</v>
      </c>
      <c r="AF18" s="252">
        <v>3.5715637618411442</v>
      </c>
      <c r="AG18" s="252">
        <v>0.84610137256247986</v>
      </c>
      <c r="AH18" s="253">
        <v>450.16746114095054</v>
      </c>
      <c r="AI18" s="253">
        <v>1182.4283383051554</v>
      </c>
      <c r="AJ18" s="253">
        <v>2984.3181786855062</v>
      </c>
      <c r="AK18" s="253">
        <v>1044.8442027409872</v>
      </c>
      <c r="AL18" s="253">
        <v>4900.907270558675</v>
      </c>
      <c r="AM18" s="253">
        <v>2063.1735129038498</v>
      </c>
      <c r="AN18" s="253">
        <v>554.54050413767493</v>
      </c>
      <c r="AO18" s="253">
        <v>3119.972845458984</v>
      </c>
      <c r="AP18" s="253">
        <v>386.79014647801711</v>
      </c>
      <c r="AQ18" s="253">
        <v>979.16983006795249</v>
      </c>
    </row>
    <row r="19" spans="1:43">
      <c r="A19" s="232">
        <f t="shared" si="0"/>
        <v>40767</v>
      </c>
      <c r="B19" s="243"/>
      <c r="C19" s="244">
        <v>103.25100390911129</v>
      </c>
      <c r="D19" s="244">
        <v>819.10640487670742</v>
      </c>
      <c r="E19" s="244">
        <v>13.283945254981511</v>
      </c>
      <c r="F19" s="244">
        <v>0</v>
      </c>
      <c r="G19" s="244">
        <v>3753.0135857899977</v>
      </c>
      <c r="H19" s="245">
        <v>33.273081929485024</v>
      </c>
      <c r="I19" s="243">
        <v>576.51904516220054</v>
      </c>
      <c r="J19" s="244">
        <v>1532.6644316991137</v>
      </c>
      <c r="K19" s="244">
        <v>27.323966292540238</v>
      </c>
      <c r="L19" s="244">
        <v>0</v>
      </c>
      <c r="M19" s="244">
        <v>0</v>
      </c>
      <c r="N19" s="245">
        <v>161.59522348046301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380.74342208396075</v>
      </c>
      <c r="V19" s="246">
        <v>83.577824359893825</v>
      </c>
      <c r="W19" s="246">
        <v>39.21</v>
      </c>
      <c r="X19" s="246">
        <v>8.6</v>
      </c>
      <c r="Y19" s="250">
        <v>404.42596788342746</v>
      </c>
      <c r="Z19" s="250">
        <v>88.776431974410912</v>
      </c>
      <c r="AA19" s="251">
        <v>0</v>
      </c>
      <c r="AB19" s="252">
        <v>0</v>
      </c>
      <c r="AC19" s="253">
        <v>0</v>
      </c>
      <c r="AD19" s="253">
        <v>21.831282009018846</v>
      </c>
      <c r="AE19" s="252">
        <v>17.989032158744074</v>
      </c>
      <c r="AF19" s="252">
        <v>3.8422498502747722</v>
      </c>
      <c r="AG19" s="252">
        <v>0.82400255520095067</v>
      </c>
      <c r="AH19" s="253">
        <v>181.47488030592598</v>
      </c>
      <c r="AI19" s="253">
        <v>918.76514803568512</v>
      </c>
      <c r="AJ19" s="253">
        <v>3110.5520105997725</v>
      </c>
      <c r="AK19" s="253">
        <v>1030.4101897557575</v>
      </c>
      <c r="AL19" s="253">
        <v>5308.4672157287614</v>
      </c>
      <c r="AM19" s="253">
        <v>2142.1147691090905</v>
      </c>
      <c r="AN19" s="253">
        <v>622.48671676317849</v>
      </c>
      <c r="AO19" s="253">
        <v>3077.0850557963049</v>
      </c>
      <c r="AP19" s="253">
        <v>382.46182737350466</v>
      </c>
      <c r="AQ19" s="253">
        <v>979.05131556193021</v>
      </c>
    </row>
    <row r="20" spans="1:43">
      <c r="A20" s="232">
        <f t="shared" si="0"/>
        <v>40768</v>
      </c>
      <c r="B20" s="243"/>
      <c r="C20" s="244">
        <v>104.54728950659448</v>
      </c>
      <c r="D20" s="244">
        <v>813.78453184763407</v>
      </c>
      <c r="E20" s="244">
        <v>13.204131859540833</v>
      </c>
      <c r="F20" s="244">
        <v>0</v>
      </c>
      <c r="G20" s="244">
        <v>3721.9617373148649</v>
      </c>
      <c r="H20" s="245">
        <v>39.012873160839156</v>
      </c>
      <c r="I20" s="243">
        <v>672.53261826833159</v>
      </c>
      <c r="J20" s="244">
        <v>1476.5511281967222</v>
      </c>
      <c r="K20" s="244">
        <v>27.916801683108037</v>
      </c>
      <c r="L20" s="244">
        <v>0</v>
      </c>
      <c r="M20" s="244">
        <v>0</v>
      </c>
      <c r="N20" s="245">
        <v>163.10227057685435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386.34253991847208</v>
      </c>
      <c r="V20" s="246">
        <v>79.130399742337659</v>
      </c>
      <c r="W20" s="246">
        <v>37.295999999999999</v>
      </c>
      <c r="X20" s="246">
        <v>7.64</v>
      </c>
      <c r="Y20" s="250">
        <v>404.94943907785409</v>
      </c>
      <c r="Z20" s="250">
        <v>82.941451377391815</v>
      </c>
      <c r="AA20" s="251">
        <v>0</v>
      </c>
      <c r="AB20" s="252">
        <v>0</v>
      </c>
      <c r="AC20" s="253">
        <v>0</v>
      </c>
      <c r="AD20" s="253">
        <v>21.831355560488156</v>
      </c>
      <c r="AE20" s="252">
        <v>18.068890299864911</v>
      </c>
      <c r="AF20" s="252">
        <v>3.7624652606232445</v>
      </c>
      <c r="AG20" s="252">
        <v>0.82765773521490316</v>
      </c>
      <c r="AH20" s="253">
        <v>452.99351301987963</v>
      </c>
      <c r="AI20" s="253">
        <v>1194.8901331583659</v>
      </c>
      <c r="AJ20" s="253">
        <v>3237.63909517924</v>
      </c>
      <c r="AK20" s="253">
        <v>1030.3009504318234</v>
      </c>
      <c r="AL20" s="253">
        <v>5577.2861958821622</v>
      </c>
      <c r="AM20" s="253">
        <v>2560.6097223917645</v>
      </c>
      <c r="AN20" s="253">
        <v>668.69942102432253</v>
      </c>
      <c r="AO20" s="253">
        <v>2873.0611371358236</v>
      </c>
      <c r="AP20" s="253">
        <v>414.8516759077707</v>
      </c>
      <c r="AQ20" s="253">
        <v>942.04215561548858</v>
      </c>
    </row>
    <row r="21" spans="1:43">
      <c r="A21" s="232">
        <f t="shared" si="0"/>
        <v>40769</v>
      </c>
      <c r="B21" s="243"/>
      <c r="C21" s="244">
        <v>101.02241725524274</v>
      </c>
      <c r="D21" s="244">
        <v>830.20067729949847</v>
      </c>
      <c r="E21" s="244">
        <v>13.366741380592192</v>
      </c>
      <c r="F21" s="244">
        <v>0</v>
      </c>
      <c r="G21" s="244">
        <v>3640.6071566263731</v>
      </c>
      <c r="H21" s="245">
        <v>41.365930050611453</v>
      </c>
      <c r="I21" s="243">
        <v>679.61649401982766</v>
      </c>
      <c r="J21" s="244">
        <v>1516.606065305069</v>
      </c>
      <c r="K21" s="244">
        <v>27.671042174100837</v>
      </c>
      <c r="L21" s="244">
        <v>0</v>
      </c>
      <c r="M21" s="244">
        <v>0</v>
      </c>
      <c r="N21" s="245">
        <v>165.97656757732219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379.55342612966007</v>
      </c>
      <c r="V21" s="246">
        <v>83.316605735779049</v>
      </c>
      <c r="W21" s="246">
        <v>34.590000000000003</v>
      </c>
      <c r="X21" s="246">
        <v>7.6020000000000003</v>
      </c>
      <c r="Y21" s="250">
        <v>400.12856270186131</v>
      </c>
      <c r="Z21" s="250">
        <v>87.833099129676867</v>
      </c>
      <c r="AA21" s="251">
        <v>0</v>
      </c>
      <c r="AB21" s="252">
        <v>0</v>
      </c>
      <c r="AC21" s="253">
        <v>0</v>
      </c>
      <c r="AD21" s="253">
        <v>21.967834256755054</v>
      </c>
      <c r="AE21" s="252">
        <v>18.098517363087719</v>
      </c>
      <c r="AF21" s="252">
        <v>3.8693168936673352</v>
      </c>
      <c r="AG21" s="252">
        <v>0.82386443522635688</v>
      </c>
      <c r="AH21" s="253">
        <v>189.22595605850219</v>
      </c>
      <c r="AI21" s="253">
        <v>932.78245302836103</v>
      </c>
      <c r="AJ21" s="253">
        <v>3269.1077009836831</v>
      </c>
      <c r="AK21" s="253">
        <v>1024.6796866734824</v>
      </c>
      <c r="AL21" s="253">
        <v>6056.9508659362791</v>
      </c>
      <c r="AM21" s="253">
        <v>2583.4338629404701</v>
      </c>
      <c r="AN21" s="253">
        <v>685.01563069025678</v>
      </c>
      <c r="AO21" s="253">
        <v>2809.8912592569986</v>
      </c>
      <c r="AP21" s="253">
        <v>421.7672700723013</v>
      </c>
      <c r="AQ21" s="253">
        <v>901.57756245930977</v>
      </c>
    </row>
    <row r="22" spans="1:43">
      <c r="A22" s="232">
        <f t="shared" si="0"/>
        <v>40770</v>
      </c>
      <c r="B22" s="243"/>
      <c r="C22" s="244">
        <v>101.48756837050146</v>
      </c>
      <c r="D22" s="244">
        <v>824.64412485758339</v>
      </c>
      <c r="E22" s="244">
        <v>13.538315245012521</v>
      </c>
      <c r="F22" s="244">
        <v>0</v>
      </c>
      <c r="G22" s="244">
        <v>3628.4456376393509</v>
      </c>
      <c r="H22" s="245">
        <v>41.491546003023899</v>
      </c>
      <c r="I22" s="243">
        <v>715.90664723714224</v>
      </c>
      <c r="J22" s="244">
        <v>1525.9819908777833</v>
      </c>
      <c r="K22" s="244">
        <v>27.656381360689718</v>
      </c>
      <c r="L22" s="244">
        <v>0</v>
      </c>
      <c r="M22" s="244">
        <v>0</v>
      </c>
      <c r="N22" s="245">
        <v>163.36818761775896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382.24849289364414</v>
      </c>
      <c r="V22" s="246">
        <v>83.908205757141403</v>
      </c>
      <c r="W22" s="246">
        <v>34.460107736607327</v>
      </c>
      <c r="X22" s="246">
        <v>7.5644138934016087</v>
      </c>
      <c r="Y22" s="250">
        <v>402.50108807690879</v>
      </c>
      <c r="Z22" s="250">
        <v>88.353897382736079</v>
      </c>
      <c r="AA22" s="251">
        <v>0</v>
      </c>
      <c r="AB22" s="252">
        <v>0</v>
      </c>
      <c r="AC22" s="253">
        <v>0</v>
      </c>
      <c r="AD22" s="253">
        <v>22.087712660100731</v>
      </c>
      <c r="AE22" s="252">
        <v>18.178071871698439</v>
      </c>
      <c r="AF22" s="252">
        <v>3.9096407884022923</v>
      </c>
      <c r="AG22" s="252">
        <v>0.82299476416746986</v>
      </c>
      <c r="AH22" s="253">
        <v>178.79246327877044</v>
      </c>
      <c r="AI22" s="253">
        <v>912.27065661748247</v>
      </c>
      <c r="AJ22" s="253">
        <v>3279.6937159220374</v>
      </c>
      <c r="AK22" s="253">
        <v>1022.5774332682292</v>
      </c>
      <c r="AL22" s="253">
        <v>5699.5798014322918</v>
      </c>
      <c r="AM22" s="253">
        <v>2599.3410146077476</v>
      </c>
      <c r="AN22" s="253">
        <v>641.67305564880371</v>
      </c>
      <c r="AO22" s="253">
        <v>3079.9177804311116</v>
      </c>
      <c r="AP22" s="253">
        <v>402.76915342013041</v>
      </c>
      <c r="AQ22" s="253">
        <v>961.42046855290732</v>
      </c>
    </row>
    <row r="23" spans="1:43">
      <c r="A23" s="232">
        <f t="shared" si="0"/>
        <v>40771</v>
      </c>
      <c r="B23" s="243"/>
      <c r="C23" s="244">
        <v>128.15515584150953</v>
      </c>
      <c r="D23" s="244">
        <v>797.96390962600583</v>
      </c>
      <c r="E23" s="244">
        <v>13.435753187537212</v>
      </c>
      <c r="F23" s="244">
        <v>0</v>
      </c>
      <c r="G23" s="244">
        <v>3251.9264345804863</v>
      </c>
      <c r="H23" s="245">
        <v>40.707389167944676</v>
      </c>
      <c r="I23" s="243">
        <v>725.52162926991809</v>
      </c>
      <c r="J23" s="244">
        <v>1475.2540952046725</v>
      </c>
      <c r="K23" s="244">
        <v>27.668354398012138</v>
      </c>
      <c r="L23" s="244">
        <v>0</v>
      </c>
      <c r="M23" s="244">
        <v>0</v>
      </c>
      <c r="N23" s="245">
        <v>161.20019042889257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386.46518587078998</v>
      </c>
      <c r="V23" s="246">
        <v>86.49554510573374</v>
      </c>
      <c r="W23" s="246">
        <v>42.037772366001775</v>
      </c>
      <c r="X23" s="246">
        <v>9.4085577919138981</v>
      </c>
      <c r="Y23" s="250">
        <v>407.98275579560158</v>
      </c>
      <c r="Z23" s="250">
        <v>91.311435405926474</v>
      </c>
      <c r="AA23" s="251">
        <v>0</v>
      </c>
      <c r="AB23" s="252">
        <v>0</v>
      </c>
      <c r="AC23" s="253">
        <v>0</v>
      </c>
      <c r="AD23" s="253">
        <v>22.446536003218721</v>
      </c>
      <c r="AE23" s="252">
        <v>18.000658723609689</v>
      </c>
      <c r="AF23" s="252">
        <v>4.0287633802064047</v>
      </c>
      <c r="AG23" s="252">
        <v>0.81711897110961818</v>
      </c>
      <c r="AH23" s="253">
        <v>458.16186958154037</v>
      </c>
      <c r="AI23" s="253">
        <v>1169.0478319485981</v>
      </c>
      <c r="AJ23" s="253">
        <v>3187.0354161580399</v>
      </c>
      <c r="AK23" s="253">
        <v>1020.7772539138797</v>
      </c>
      <c r="AL23" s="253">
        <v>4232.5156786600755</v>
      </c>
      <c r="AM23" s="253">
        <v>2025.9770774841313</v>
      </c>
      <c r="AN23" s="253">
        <v>478.72275519371033</v>
      </c>
      <c r="AO23" s="253">
        <v>3004.1042884826661</v>
      </c>
      <c r="AP23" s="253">
        <v>365.3415057500203</v>
      </c>
      <c r="AQ23" s="253">
        <v>965.88218863805128</v>
      </c>
    </row>
    <row r="24" spans="1:43">
      <c r="A24" s="232">
        <f t="shared" si="0"/>
        <v>40772</v>
      </c>
      <c r="B24" s="243"/>
      <c r="C24" s="244">
        <v>128.60211408138255</v>
      </c>
      <c r="D24" s="244">
        <v>799.5666448911046</v>
      </c>
      <c r="E24" s="244">
        <v>13.378416804472634</v>
      </c>
      <c r="F24" s="244">
        <v>0</v>
      </c>
      <c r="G24" s="244">
        <v>2949.4992250442551</v>
      </c>
      <c r="H24" s="245">
        <v>40.876932839552609</v>
      </c>
      <c r="I24" s="243">
        <v>723.79800106684343</v>
      </c>
      <c r="J24" s="244">
        <v>1496.0278122583986</v>
      </c>
      <c r="K24" s="244">
        <v>27.728085575501048</v>
      </c>
      <c r="L24" s="244">
        <v>0</v>
      </c>
      <c r="M24" s="244">
        <v>0</v>
      </c>
      <c r="N24" s="245">
        <v>166.14192881286149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386.14135834347616</v>
      </c>
      <c r="V24" s="246">
        <v>85.821450816550467</v>
      </c>
      <c r="W24" s="246">
        <v>41.43122072456584</v>
      </c>
      <c r="X24" s="246">
        <v>9.2082533892164893</v>
      </c>
      <c r="Y24" s="250">
        <v>407.56608225064343</v>
      </c>
      <c r="Z24" s="250">
        <v>90.583180813422715</v>
      </c>
      <c r="AA24" s="251">
        <v>0</v>
      </c>
      <c r="AB24" s="252">
        <v>0</v>
      </c>
      <c r="AC24" s="253">
        <v>0</v>
      </c>
      <c r="AD24" s="253">
        <v>22.408156938023073</v>
      </c>
      <c r="AE24" s="252">
        <v>17.998242031666827</v>
      </c>
      <c r="AF24" s="252">
        <v>4.0001807885367704</v>
      </c>
      <c r="AG24" s="252">
        <v>0.81816056445360441</v>
      </c>
      <c r="AH24" s="253">
        <v>184.3846637805303</v>
      </c>
      <c r="AI24" s="253">
        <v>896.22280619939158</v>
      </c>
      <c r="AJ24" s="253">
        <v>3133.4623031616215</v>
      </c>
      <c r="AK24" s="253">
        <v>1033.6464361190795</v>
      </c>
      <c r="AL24" s="253">
        <v>4223.1803647359202</v>
      </c>
      <c r="AM24" s="253">
        <v>2005.1308296203613</v>
      </c>
      <c r="AN24" s="253">
        <v>478.06664481163023</v>
      </c>
      <c r="AO24" s="253">
        <v>2949.704466756185</v>
      </c>
      <c r="AP24" s="253">
        <v>371.51853396097829</v>
      </c>
      <c r="AQ24" s="253">
        <v>1043.3717217445374</v>
      </c>
    </row>
    <row r="25" spans="1:43">
      <c r="A25" s="232">
        <f t="shared" si="0"/>
        <v>40773</v>
      </c>
      <c r="B25" s="243"/>
      <c r="C25" s="244">
        <v>120.12909090518966</v>
      </c>
      <c r="D25" s="244">
        <v>842.55053755442248</v>
      </c>
      <c r="E25" s="244">
        <v>13.475286073982694</v>
      </c>
      <c r="F25" s="244">
        <v>0</v>
      </c>
      <c r="G25" s="244">
        <v>2726.026443862922</v>
      </c>
      <c r="H25" s="245">
        <v>39.15070312619207</v>
      </c>
      <c r="I25" s="243">
        <v>512.68460338910359</v>
      </c>
      <c r="J25" s="244">
        <v>1150.2632484436081</v>
      </c>
      <c r="K25" s="244">
        <v>20.894758065044943</v>
      </c>
      <c r="L25" s="244">
        <v>0</v>
      </c>
      <c r="M25" s="244">
        <v>0</v>
      </c>
      <c r="N25" s="245">
        <v>151.30081587284803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276.01172602914875</v>
      </c>
      <c r="V25" s="246">
        <v>83.660529221995091</v>
      </c>
      <c r="W25" s="246">
        <v>29.715810023129993</v>
      </c>
      <c r="X25" s="246">
        <v>9.0070100591769009</v>
      </c>
      <c r="Y25" s="250">
        <v>288.45414024982864</v>
      </c>
      <c r="Z25" s="250">
        <v>87.431886959134957</v>
      </c>
      <c r="AA25" s="251">
        <v>0</v>
      </c>
      <c r="AB25" s="252">
        <v>0</v>
      </c>
      <c r="AC25" s="253">
        <v>0</v>
      </c>
      <c r="AD25" s="253">
        <v>17.110336234834477</v>
      </c>
      <c r="AE25" s="252">
        <v>12.876373620301274</v>
      </c>
      <c r="AF25" s="252">
        <v>3.9028929931070295</v>
      </c>
      <c r="AG25" s="252">
        <v>0.7673978795957489</v>
      </c>
      <c r="AH25" s="253">
        <v>470.40526819229126</v>
      </c>
      <c r="AI25" s="253">
        <v>1170.4582619667055</v>
      </c>
      <c r="AJ25" s="253">
        <v>3101.988736597697</v>
      </c>
      <c r="AK25" s="253">
        <v>1030.4842598597209</v>
      </c>
      <c r="AL25" s="253">
        <v>4192.759305826823</v>
      </c>
      <c r="AM25" s="253">
        <v>2041.730699157715</v>
      </c>
      <c r="AN25" s="253">
        <v>552.392671473821</v>
      </c>
      <c r="AO25" s="253">
        <v>3079.9405564626059</v>
      </c>
      <c r="AP25" s="253">
        <v>401.0896190325418</v>
      </c>
      <c r="AQ25" s="253">
        <v>1000.4116406758628</v>
      </c>
    </row>
    <row r="26" spans="1:43">
      <c r="A26" s="232">
        <f t="shared" si="0"/>
        <v>40774</v>
      </c>
      <c r="B26" s="243"/>
      <c r="C26" s="244">
        <v>111.23515056769035</v>
      </c>
      <c r="D26" s="244">
        <v>859.17996724446618</v>
      </c>
      <c r="E26" s="244">
        <v>12.888161462048656</v>
      </c>
      <c r="F26" s="244">
        <v>0</v>
      </c>
      <c r="G26" s="244">
        <v>2660.549997011824</v>
      </c>
      <c r="H26" s="245">
        <v>40.206263208389331</v>
      </c>
      <c r="I26" s="243">
        <v>366.01861879030957</v>
      </c>
      <c r="J26" s="244">
        <v>801.78579314549768</v>
      </c>
      <c r="K26" s="244">
        <v>14.565698407093642</v>
      </c>
      <c r="L26" s="244">
        <v>0</v>
      </c>
      <c r="M26" s="244">
        <v>0</v>
      </c>
      <c r="N26" s="245">
        <v>130.51175390332935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199.68246266274554</v>
      </c>
      <c r="V26" s="246">
        <v>80.300532826162893</v>
      </c>
      <c r="W26" s="246">
        <v>22.036267918255991</v>
      </c>
      <c r="X26" s="246">
        <v>8.8616898636946395</v>
      </c>
      <c r="Y26" s="250">
        <v>191.56890603452391</v>
      </c>
      <c r="Z26" s="250">
        <v>77.037737928336369</v>
      </c>
      <c r="AA26" s="251">
        <v>0</v>
      </c>
      <c r="AB26" s="252">
        <v>0</v>
      </c>
      <c r="AC26" s="253">
        <v>0</v>
      </c>
      <c r="AD26" s="253">
        <v>13.28573517931831</v>
      </c>
      <c r="AE26" s="252">
        <v>9.4471585580421671</v>
      </c>
      <c r="AF26" s="252">
        <v>3.6829950959442654</v>
      </c>
      <c r="AG26" s="252">
        <v>0.71319496498013568</v>
      </c>
      <c r="AH26" s="253">
        <v>213.00392695267996</v>
      </c>
      <c r="AI26" s="253">
        <v>923.5030959129333</v>
      </c>
      <c r="AJ26" s="253">
        <v>3086.3948771158848</v>
      </c>
      <c r="AK26" s="253">
        <v>999.19053211212156</v>
      </c>
      <c r="AL26" s="253">
        <v>4163.359469604492</v>
      </c>
      <c r="AM26" s="253">
        <v>2030.7010800679523</v>
      </c>
      <c r="AN26" s="253">
        <v>558.71805574099221</v>
      </c>
      <c r="AO26" s="253">
        <v>2466.7946804046633</v>
      </c>
      <c r="AP26" s="253">
        <v>399.70734540621442</v>
      </c>
      <c r="AQ26" s="253">
        <v>939.5009370168051</v>
      </c>
    </row>
    <row r="27" spans="1:43">
      <c r="A27" s="232">
        <f t="shared" si="0"/>
        <v>40775</v>
      </c>
      <c r="B27" s="243"/>
      <c r="C27" s="244">
        <v>109.38492784500107</v>
      </c>
      <c r="D27" s="244">
        <v>858.29411417643257</v>
      </c>
      <c r="E27" s="244">
        <v>12.78692576040819</v>
      </c>
      <c r="F27" s="244">
        <v>0</v>
      </c>
      <c r="G27" s="244">
        <v>2660.4810913721712</v>
      </c>
      <c r="H27" s="245">
        <v>40.653685665130723</v>
      </c>
      <c r="I27" s="243">
        <v>426.70675919850743</v>
      </c>
      <c r="J27" s="244">
        <v>903.24916305542001</v>
      </c>
      <c r="K27" s="244">
        <v>16.572474530339246</v>
      </c>
      <c r="L27" s="244">
        <v>0</v>
      </c>
      <c r="M27" s="244">
        <v>0</v>
      </c>
      <c r="N27" s="245">
        <v>108.00374220212312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249.13459584578146</v>
      </c>
      <c r="V27" s="246">
        <v>90.581775520934684</v>
      </c>
      <c r="W27" s="246">
        <v>27.09769888084119</v>
      </c>
      <c r="X27" s="246">
        <v>9.8523357176682627</v>
      </c>
      <c r="Y27" s="246">
        <v>215.32205079353557</v>
      </c>
      <c r="Z27" s="246">
        <v>78.288017782005667</v>
      </c>
      <c r="AA27" s="256">
        <v>0</v>
      </c>
      <c r="AB27" s="253">
        <v>0</v>
      </c>
      <c r="AC27" s="253">
        <v>0</v>
      </c>
      <c r="AD27" s="253">
        <v>15.169556919733671</v>
      </c>
      <c r="AE27" s="253">
        <v>10.999970405740935</v>
      </c>
      <c r="AF27" s="253">
        <v>3.9994319000422425</v>
      </c>
      <c r="AG27" s="253">
        <v>0.73336058207464572</v>
      </c>
      <c r="AH27" s="253">
        <v>457.04553407828013</v>
      </c>
      <c r="AI27" s="253">
        <v>1164.4744103431701</v>
      </c>
      <c r="AJ27" s="253">
        <v>2854.4614742279059</v>
      </c>
      <c r="AK27" s="253">
        <v>975.92594680786112</v>
      </c>
      <c r="AL27" s="253">
        <v>4160.5991116841642</v>
      </c>
      <c r="AM27" s="253">
        <v>2023.3057875315344</v>
      </c>
      <c r="AN27" s="253">
        <v>481.69770094553633</v>
      </c>
      <c r="AO27" s="253">
        <v>1930.1095901489257</v>
      </c>
      <c r="AP27" s="253">
        <v>371.33745522499078</v>
      </c>
      <c r="AQ27" s="253">
        <v>951.27424891789758</v>
      </c>
    </row>
    <row r="28" spans="1:43">
      <c r="A28" s="232">
        <f t="shared" si="0"/>
        <v>40776</v>
      </c>
      <c r="B28" s="243"/>
      <c r="C28" s="244">
        <v>108.80595204035448</v>
      </c>
      <c r="D28" s="244">
        <v>855.36312529246084</v>
      </c>
      <c r="E28" s="244">
        <v>12.691831553975792</v>
      </c>
      <c r="F28" s="244">
        <v>0</v>
      </c>
      <c r="G28" s="244">
        <v>2593.5287082036352</v>
      </c>
      <c r="H28" s="245">
        <v>41.194102060794862</v>
      </c>
      <c r="I28" s="243">
        <v>416.86941598256431</v>
      </c>
      <c r="J28" s="244">
        <v>915.14411061604892</v>
      </c>
      <c r="K28" s="244">
        <v>16.624568562706287</v>
      </c>
      <c r="L28" s="244">
        <v>0</v>
      </c>
      <c r="M28" s="244">
        <v>0</v>
      </c>
      <c r="N28" s="245">
        <v>107.71333964715416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242.40173942748478</v>
      </c>
      <c r="V28" s="246">
        <v>88.149737199440338</v>
      </c>
      <c r="W28" s="246">
        <v>27.218601375783944</v>
      </c>
      <c r="X28" s="246">
        <v>9.8980830908164386</v>
      </c>
      <c r="Y28" s="250">
        <v>212.62017245846175</v>
      </c>
      <c r="Z28" s="250">
        <v>77.319628026513954</v>
      </c>
      <c r="AA28" s="251">
        <v>0</v>
      </c>
      <c r="AB28" s="252">
        <v>0</v>
      </c>
      <c r="AC28" s="253">
        <v>0</v>
      </c>
      <c r="AD28" s="253">
        <v>15.043947352965706</v>
      </c>
      <c r="AE28" s="252">
        <v>10.911293107541541</v>
      </c>
      <c r="AF28" s="252">
        <v>3.9679072526770596</v>
      </c>
      <c r="AG28" s="252">
        <v>0.73332523545514217</v>
      </c>
      <c r="AH28" s="253">
        <v>184.8133579492569</v>
      </c>
      <c r="AI28" s="253">
        <v>913.93897005716929</v>
      </c>
      <c r="AJ28" s="253">
        <v>2901.3928821563718</v>
      </c>
      <c r="AK28" s="253">
        <v>980.8238084157307</v>
      </c>
      <c r="AL28" s="253">
        <v>4157.3195355733233</v>
      </c>
      <c r="AM28" s="253">
        <v>2007.2400764465331</v>
      </c>
      <c r="AN28" s="253">
        <v>468.10672165552774</v>
      </c>
      <c r="AO28" s="253">
        <v>1989.3784891764321</v>
      </c>
      <c r="AP28" s="253">
        <v>378.13407313028978</v>
      </c>
      <c r="AQ28" s="253">
        <v>929.47737245559676</v>
      </c>
    </row>
    <row r="29" spans="1:43">
      <c r="A29" s="232">
        <f t="shared" si="0"/>
        <v>40777</v>
      </c>
      <c r="B29" s="243"/>
      <c r="C29" s="244">
        <v>107.60280428727494</v>
      </c>
      <c r="D29" s="244">
        <v>851.84977480570603</v>
      </c>
      <c r="E29" s="244">
        <v>12.72038843532405</v>
      </c>
      <c r="F29" s="244">
        <v>0</v>
      </c>
      <c r="G29" s="244">
        <v>2550.0968879063967</v>
      </c>
      <c r="H29" s="245">
        <v>41.370138913393141</v>
      </c>
      <c r="I29" s="243">
        <v>418.28279015223302</v>
      </c>
      <c r="J29" s="244">
        <v>897.29384504954032</v>
      </c>
      <c r="K29" s="244">
        <v>16.660903106133109</v>
      </c>
      <c r="L29" s="244">
        <v>0</v>
      </c>
      <c r="M29" s="244">
        <v>0</v>
      </c>
      <c r="N29" s="245">
        <v>107.28880533973383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245.1396139691621</v>
      </c>
      <c r="V29" s="246">
        <v>89.162679893072507</v>
      </c>
      <c r="W29" s="246">
        <v>27.11526701633905</v>
      </c>
      <c r="X29" s="246">
        <v>9.862420169663654</v>
      </c>
      <c r="Y29" s="250">
        <v>213.6906240603237</v>
      </c>
      <c r="Z29" s="250">
        <v>77.723989202489264</v>
      </c>
      <c r="AA29" s="251">
        <v>0</v>
      </c>
      <c r="AB29" s="252">
        <v>0</v>
      </c>
      <c r="AC29" s="253">
        <v>0</v>
      </c>
      <c r="AD29" s="253">
        <v>15.172024909655228</v>
      </c>
      <c r="AE29" s="252">
        <v>10.99824370135963</v>
      </c>
      <c r="AF29" s="252">
        <v>4.000303609247303</v>
      </c>
      <c r="AG29" s="252">
        <v>0.7332872626658784</v>
      </c>
      <c r="AH29" s="253">
        <v>185.58927115599315</v>
      </c>
      <c r="AI29" s="253">
        <v>894.17438812255875</v>
      </c>
      <c r="AJ29" s="253">
        <v>2925.3159244537355</v>
      </c>
      <c r="AK29" s="253">
        <v>980.11089782714862</v>
      </c>
      <c r="AL29" s="253">
        <v>4160.0999491373705</v>
      </c>
      <c r="AM29" s="253">
        <v>2079.8881773630774</v>
      </c>
      <c r="AN29" s="253">
        <v>477.38091414769491</v>
      </c>
      <c r="AO29" s="253">
        <v>1952.6163940429687</v>
      </c>
      <c r="AP29" s="253">
        <v>386.50898661613462</v>
      </c>
      <c r="AQ29" s="253">
        <v>1041.7918826738992</v>
      </c>
    </row>
    <row r="30" spans="1:43">
      <c r="A30" s="232">
        <f t="shared" si="0"/>
        <v>40778</v>
      </c>
      <c r="B30" s="243"/>
      <c r="C30" s="244">
        <v>104.62116707166035</v>
      </c>
      <c r="D30" s="244">
        <v>869.31636956532839</v>
      </c>
      <c r="E30" s="244">
        <v>12.743846426407453</v>
      </c>
      <c r="F30" s="244">
        <v>0</v>
      </c>
      <c r="G30" s="244">
        <v>2604.8244267781629</v>
      </c>
      <c r="H30" s="245">
        <v>41.829921052853209</v>
      </c>
      <c r="I30" s="243">
        <v>469.58687038421652</v>
      </c>
      <c r="J30" s="244">
        <v>988.52025604248013</v>
      </c>
      <c r="K30" s="244">
        <v>18.1398775488138</v>
      </c>
      <c r="L30" s="244">
        <v>0</v>
      </c>
      <c r="M30" s="244">
        <v>0</v>
      </c>
      <c r="N30" s="245">
        <v>108.0694185112914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253.16614514231969</v>
      </c>
      <c r="V30" s="246">
        <v>87.883071657946005</v>
      </c>
      <c r="W30" s="246">
        <v>28.079447207810468</v>
      </c>
      <c r="X30" s="246">
        <v>9.7473857323706294</v>
      </c>
      <c r="Y30" s="250">
        <v>222.81665604722119</v>
      </c>
      <c r="Z30" s="250">
        <v>77.347672766331954</v>
      </c>
      <c r="AA30" s="251">
        <v>0</v>
      </c>
      <c r="AB30" s="252">
        <v>0</v>
      </c>
      <c r="AC30" s="253">
        <v>0</v>
      </c>
      <c r="AD30" s="253">
        <v>15.574778670734824</v>
      </c>
      <c r="AE30" s="252">
        <v>11.37145747177569</v>
      </c>
      <c r="AF30" s="252">
        <v>3.9474417532626638</v>
      </c>
      <c r="AG30" s="252">
        <v>0.74231557403219484</v>
      </c>
      <c r="AH30" s="253">
        <v>404.08766660690316</v>
      </c>
      <c r="AI30" s="253">
        <v>1113.2552267074586</v>
      </c>
      <c r="AJ30" s="253">
        <v>3216.6700206756591</v>
      </c>
      <c r="AK30" s="253">
        <v>987.10191488266003</v>
      </c>
      <c r="AL30" s="253">
        <v>4186.8888442993157</v>
      </c>
      <c r="AM30" s="253">
        <v>2114.2682064056394</v>
      </c>
      <c r="AN30" s="253">
        <v>560.56359980901095</v>
      </c>
      <c r="AO30" s="253">
        <v>2171.5469292958578</v>
      </c>
      <c r="AP30" s="253">
        <v>418.38201214472457</v>
      </c>
      <c r="AQ30" s="253">
        <v>1062.8058151563009</v>
      </c>
    </row>
    <row r="31" spans="1:43">
      <c r="A31" s="232">
        <f t="shared" si="0"/>
        <v>40779</v>
      </c>
      <c r="B31" s="243"/>
      <c r="C31" s="244">
        <v>103.77390582561509</v>
      </c>
      <c r="D31" s="244">
        <v>888.23737252553303</v>
      </c>
      <c r="E31" s="244">
        <v>12.734362910687878</v>
      </c>
      <c r="F31" s="244">
        <v>0</v>
      </c>
      <c r="G31" s="244">
        <v>2663.2027819951431</v>
      </c>
      <c r="H31" s="245">
        <v>42.467417214314182</v>
      </c>
      <c r="I31" s="243">
        <v>458.41332049369737</v>
      </c>
      <c r="J31" s="244">
        <v>927.16861944198661</v>
      </c>
      <c r="K31" s="244">
        <v>17.014949154853799</v>
      </c>
      <c r="L31" s="244">
        <v>0</v>
      </c>
      <c r="M31" s="244">
        <v>0</v>
      </c>
      <c r="N31" s="245">
        <v>106.59388056347767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244.87850760716699</v>
      </c>
      <c r="V31" s="246">
        <v>89.063156834255125</v>
      </c>
      <c r="W31" s="246">
        <v>26.383329601717648</v>
      </c>
      <c r="X31" s="246">
        <v>9.5957078679078496</v>
      </c>
      <c r="Y31" s="250">
        <v>217.86626669428921</v>
      </c>
      <c r="Z31" s="250">
        <v>79.238711755850431</v>
      </c>
      <c r="AA31" s="251">
        <v>0</v>
      </c>
      <c r="AB31" s="252">
        <v>0</v>
      </c>
      <c r="AC31" s="253">
        <v>0</v>
      </c>
      <c r="AD31" s="253">
        <v>15.367588043212875</v>
      </c>
      <c r="AE31" s="252">
        <v>10.996246149245458</v>
      </c>
      <c r="AF31" s="252">
        <v>3.9993726070456455</v>
      </c>
      <c r="AG31" s="252">
        <v>0.73329726021690234</v>
      </c>
      <c r="AH31" s="253">
        <v>215.69350916544596</v>
      </c>
      <c r="AI31" s="253">
        <v>936.10663522084576</v>
      </c>
      <c r="AJ31" s="253">
        <v>3195.3887672424321</v>
      </c>
      <c r="AK31" s="253">
        <v>978.39591000874839</v>
      </c>
      <c r="AL31" s="253">
        <v>4194.8044281005859</v>
      </c>
      <c r="AM31" s="253">
        <v>2106.5223677317299</v>
      </c>
      <c r="AN31" s="253">
        <v>557.38111249605822</v>
      </c>
      <c r="AO31" s="253">
        <v>2058.6703491210937</v>
      </c>
      <c r="AP31" s="253">
        <v>422.39565329551704</v>
      </c>
      <c r="AQ31" s="253">
        <v>1014.7602544148764</v>
      </c>
    </row>
    <row r="32" spans="1:43">
      <c r="A32" s="232">
        <f t="shared" si="0"/>
        <v>40780</v>
      </c>
      <c r="B32" s="243"/>
      <c r="C32" s="244">
        <v>100.18889083464958</v>
      </c>
      <c r="D32" s="244">
        <v>869.62360223134351</v>
      </c>
      <c r="E32" s="244">
        <v>12.544398705164649</v>
      </c>
      <c r="F32" s="244">
        <v>0</v>
      </c>
      <c r="G32" s="244">
        <v>2690.8663306554286</v>
      </c>
      <c r="H32" s="245">
        <v>39.010855410496298</v>
      </c>
      <c r="I32" s="243">
        <v>637.63289847374131</v>
      </c>
      <c r="J32" s="244">
        <v>1261.4584422429352</v>
      </c>
      <c r="K32" s="244">
        <v>23.523027712106661</v>
      </c>
      <c r="L32" s="244">
        <v>0</v>
      </c>
      <c r="M32" s="244">
        <v>0</v>
      </c>
      <c r="N32" s="245">
        <v>119.59456032862272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331.15009215631801</v>
      </c>
      <c r="V32" s="246">
        <v>89.153564930371417</v>
      </c>
      <c r="W32" s="246">
        <v>36.870464595077976</v>
      </c>
      <c r="X32" s="246">
        <v>9.9264153540943827</v>
      </c>
      <c r="Y32" s="250">
        <v>291.46265978384429</v>
      </c>
      <c r="Z32" s="250">
        <v>78.468754136875305</v>
      </c>
      <c r="AA32" s="251">
        <v>0</v>
      </c>
      <c r="AB32" s="252">
        <v>0</v>
      </c>
      <c r="AC32" s="253">
        <v>0</v>
      </c>
      <c r="AD32" s="253">
        <v>19.191500814093512</v>
      </c>
      <c r="AE32" s="252">
        <v>14.857036357117536</v>
      </c>
      <c r="AF32" s="252">
        <v>3.9998713179035312</v>
      </c>
      <c r="AG32" s="252">
        <v>0.78788296645255429</v>
      </c>
      <c r="AH32" s="253">
        <v>510.93939266204836</v>
      </c>
      <c r="AI32" s="253">
        <v>1225.8422692616782</v>
      </c>
      <c r="AJ32" s="253">
        <v>3164.2315279642748</v>
      </c>
      <c r="AK32" s="253">
        <v>978.15609931945835</v>
      </c>
      <c r="AL32" s="253">
        <v>4198.8800699869789</v>
      </c>
      <c r="AM32" s="253">
        <v>2057.4332617441814</v>
      </c>
      <c r="AN32" s="253">
        <v>541.16826585133867</v>
      </c>
      <c r="AO32" s="253">
        <v>2640.8050380706786</v>
      </c>
      <c r="AP32" s="253">
        <v>408.43187224070232</v>
      </c>
      <c r="AQ32" s="253">
        <v>1058.647779973348</v>
      </c>
    </row>
    <row r="33" spans="1:43">
      <c r="A33" s="232">
        <f t="shared" si="0"/>
        <v>40781</v>
      </c>
      <c r="B33" s="243"/>
      <c r="C33" s="244">
        <v>99.256091753641897</v>
      </c>
      <c r="D33" s="244">
        <v>849.79233404795264</v>
      </c>
      <c r="E33" s="244">
        <v>12.5794418230653</v>
      </c>
      <c r="F33" s="244">
        <v>0</v>
      </c>
      <c r="G33" s="244">
        <v>2629.9791793823229</v>
      </c>
      <c r="H33" s="245">
        <v>40.665350462993011</v>
      </c>
      <c r="I33" s="243">
        <v>744.55354220072445</v>
      </c>
      <c r="J33" s="244">
        <v>1490.5792023976614</v>
      </c>
      <c r="K33" s="244">
        <v>27.629747161269076</v>
      </c>
      <c r="L33" s="244">
        <v>0</v>
      </c>
      <c r="M33" s="244">
        <v>0</v>
      </c>
      <c r="N33" s="245">
        <v>133.30155238807194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406.73992048431177</v>
      </c>
      <c r="V33" s="246">
        <v>90.630409796415108</v>
      </c>
      <c r="W33" s="246">
        <v>46.203909159958272</v>
      </c>
      <c r="X33" s="246">
        <v>10.295225549479524</v>
      </c>
      <c r="Y33" s="250">
        <v>360.46081567207341</v>
      </c>
      <c r="Z33" s="250">
        <v>80.318429036940614</v>
      </c>
      <c r="AA33" s="251">
        <v>0</v>
      </c>
      <c r="AB33" s="252">
        <v>0</v>
      </c>
      <c r="AC33" s="253">
        <v>0</v>
      </c>
      <c r="AD33" s="253">
        <v>22.414649160702997</v>
      </c>
      <c r="AE33" s="252">
        <v>17.94805181869193</v>
      </c>
      <c r="AF33" s="252">
        <v>3.9992122962468906</v>
      </c>
      <c r="AG33" s="252">
        <v>0.81778082792903772</v>
      </c>
      <c r="AH33" s="253">
        <v>219.08472703297934</v>
      </c>
      <c r="AI33" s="253">
        <v>941.1155495961508</v>
      </c>
      <c r="AJ33" s="253">
        <v>2928.7432984670004</v>
      </c>
      <c r="AK33" s="253">
        <v>989.53479862213112</v>
      </c>
      <c r="AL33" s="253">
        <v>4266.8362195332857</v>
      </c>
      <c r="AM33" s="253">
        <v>2030.5740923563642</v>
      </c>
      <c r="AN33" s="253">
        <v>509.57648552258809</v>
      </c>
      <c r="AO33" s="253">
        <v>3039.6459945678712</v>
      </c>
      <c r="AP33" s="253">
        <v>389.7308642228445</v>
      </c>
      <c r="AQ33" s="253">
        <v>997.37857214609778</v>
      </c>
    </row>
    <row r="34" spans="1:43">
      <c r="A34" s="232">
        <f t="shared" si="0"/>
        <v>40782</v>
      </c>
      <c r="B34" s="243"/>
      <c r="C34" s="244">
        <v>101.26804617246003</v>
      </c>
      <c r="D34" s="244">
        <v>867.68719469706184</v>
      </c>
      <c r="E34" s="244">
        <v>12.581693927446983</v>
      </c>
      <c r="F34" s="244">
        <v>0</v>
      </c>
      <c r="G34" s="244">
        <v>2660.310418001814</v>
      </c>
      <c r="H34" s="245">
        <v>41.417046350240696</v>
      </c>
      <c r="I34" s="243">
        <v>631.31135619481404</v>
      </c>
      <c r="J34" s="244">
        <v>1311.6603759765665</v>
      </c>
      <c r="K34" s="244">
        <v>24.190415656566636</v>
      </c>
      <c r="L34" s="244">
        <v>0</v>
      </c>
      <c r="M34" s="244">
        <v>0</v>
      </c>
      <c r="N34" s="245">
        <v>134.22309019515924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346.00115246702723</v>
      </c>
      <c r="V34" s="246">
        <v>91.270075411965848</v>
      </c>
      <c r="W34" s="246">
        <v>36.606246846617644</v>
      </c>
      <c r="X34" s="246">
        <v>9.6561959011342342</v>
      </c>
      <c r="Y34" s="250">
        <v>301.70538448507989</v>
      </c>
      <c r="Z34" s="250">
        <v>79.58549559101121</v>
      </c>
      <c r="AA34" s="251">
        <v>0</v>
      </c>
      <c r="AB34" s="252">
        <v>0</v>
      </c>
      <c r="AC34" s="253">
        <v>0</v>
      </c>
      <c r="AD34" s="253">
        <v>19.264738118648545</v>
      </c>
      <c r="AE34" s="252">
        <v>14.999923677255831</v>
      </c>
      <c r="AF34" s="252">
        <v>3.9567618646222229</v>
      </c>
      <c r="AG34" s="252">
        <v>0.79127354009849649</v>
      </c>
      <c r="AH34" s="253">
        <v>461.1199637095134</v>
      </c>
      <c r="AI34" s="253">
        <v>1179.076546128591</v>
      </c>
      <c r="AJ34" s="253">
        <v>3134.7157941182463</v>
      </c>
      <c r="AK34" s="253">
        <v>980.77855275471995</v>
      </c>
      <c r="AL34" s="253">
        <v>4258.9153714497888</v>
      </c>
      <c r="AM34" s="253">
        <v>2021.3712173461915</v>
      </c>
      <c r="AN34" s="253">
        <v>567.44046465555823</v>
      </c>
      <c r="AO34" s="253">
        <v>2237.522835922241</v>
      </c>
      <c r="AP34" s="253">
        <v>421.58011550903313</v>
      </c>
      <c r="AQ34" s="253">
        <v>940.5949815432233</v>
      </c>
    </row>
    <row r="35" spans="1:43">
      <c r="A35" s="232">
        <f t="shared" si="0"/>
        <v>40783</v>
      </c>
      <c r="B35" s="243"/>
      <c r="C35" s="244">
        <v>106.63411790132521</v>
      </c>
      <c r="D35" s="244">
        <v>850.63720779418952</v>
      </c>
      <c r="E35" s="244">
        <v>12.411417536437522</v>
      </c>
      <c r="F35" s="244">
        <v>0</v>
      </c>
      <c r="G35" s="244">
        <v>2579.8551952997868</v>
      </c>
      <c r="H35" s="245">
        <v>40.755740612745321</v>
      </c>
      <c r="I35" s="243">
        <v>633.17835073470962</v>
      </c>
      <c r="J35" s="244">
        <v>1394.0915899276777</v>
      </c>
      <c r="K35" s="244">
        <v>25.931599291165611</v>
      </c>
      <c r="L35" s="244">
        <v>0</v>
      </c>
      <c r="M35" s="244">
        <v>0</v>
      </c>
      <c r="N35" s="245">
        <v>159.10287420948345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377.09574031338661</v>
      </c>
      <c r="V35" s="246">
        <v>88.7284302018831</v>
      </c>
      <c r="W35" s="246">
        <v>41.0329058370056</v>
      </c>
      <c r="X35" s="246">
        <v>9.6548036276238687</v>
      </c>
      <c r="Y35" s="250">
        <v>338.27331702364825</v>
      </c>
      <c r="Z35" s="250">
        <v>79.593740236229237</v>
      </c>
      <c r="AA35" s="251">
        <v>0</v>
      </c>
      <c r="AB35" s="252">
        <v>0</v>
      </c>
      <c r="AC35" s="253">
        <v>0</v>
      </c>
      <c r="AD35" s="253">
        <v>21.207374620437594</v>
      </c>
      <c r="AE35" s="252">
        <v>17.001659701539793</v>
      </c>
      <c r="AF35" s="252">
        <v>4.0003914520237549</v>
      </c>
      <c r="AG35" s="252">
        <v>0.80952377352223592</v>
      </c>
      <c r="AH35" s="253">
        <v>206.59186244805653</v>
      </c>
      <c r="AI35" s="253">
        <v>928.91678066253667</v>
      </c>
      <c r="AJ35" s="253">
        <v>3157.6623078664147</v>
      </c>
      <c r="AK35" s="253">
        <v>992.36469656626389</v>
      </c>
      <c r="AL35" s="253">
        <v>4240.2014750162753</v>
      </c>
      <c r="AM35" s="253">
        <v>2006.4612781524659</v>
      </c>
      <c r="AN35" s="253">
        <v>577.07228253682467</v>
      </c>
      <c r="AO35" s="253">
        <v>2819.7985537211098</v>
      </c>
      <c r="AP35" s="253">
        <v>430.47783808708181</v>
      </c>
      <c r="AQ35" s="253">
        <v>919.84593385060634</v>
      </c>
    </row>
    <row r="36" spans="1:43">
      <c r="A36" s="232">
        <f t="shared" si="0"/>
        <v>40784</v>
      </c>
      <c r="B36" s="243"/>
      <c r="C36" s="244">
        <v>109.98106299241356</v>
      </c>
      <c r="D36" s="244">
        <v>903.12119312286211</v>
      </c>
      <c r="E36" s="244">
        <v>12.474270897607012</v>
      </c>
      <c r="F36" s="244">
        <v>0</v>
      </c>
      <c r="G36" s="244">
        <v>2711.2481140136579</v>
      </c>
      <c r="H36" s="245">
        <v>40.860363777478554</v>
      </c>
      <c r="I36" s="243">
        <v>654.24659929275617</v>
      </c>
      <c r="J36" s="244">
        <v>1421.1746352513655</v>
      </c>
      <c r="K36" s="244">
        <v>25.932282463709484</v>
      </c>
      <c r="L36" s="244">
        <v>0</v>
      </c>
      <c r="M36" s="244">
        <v>0</v>
      </c>
      <c r="N36" s="245">
        <v>163.33993589778757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371.75572332801846</v>
      </c>
      <c r="V36" s="246">
        <v>87.47489491573414</v>
      </c>
      <c r="W36" s="246">
        <v>39.564751359619102</v>
      </c>
      <c r="X36" s="246">
        <v>9.3096682858493285</v>
      </c>
      <c r="Y36" s="250">
        <v>340.69210315241043</v>
      </c>
      <c r="Z36" s="250">
        <v>80.165560479029338</v>
      </c>
      <c r="AA36" s="251">
        <v>0</v>
      </c>
      <c r="AB36" s="252">
        <v>0</v>
      </c>
      <c r="AC36" s="253">
        <v>0</v>
      </c>
      <c r="AD36" s="253">
        <v>21.206020090315107</v>
      </c>
      <c r="AE36" s="252">
        <v>16.99985096016843</v>
      </c>
      <c r="AF36" s="252">
        <v>4.0001002890055544</v>
      </c>
      <c r="AG36" s="252">
        <v>0.8095185916604023</v>
      </c>
      <c r="AH36" s="253">
        <v>189.65182584921521</v>
      </c>
      <c r="AI36" s="253">
        <v>889.54387836456294</v>
      </c>
      <c r="AJ36" s="253">
        <v>3136.1577826182047</v>
      </c>
      <c r="AK36" s="253">
        <v>988.47143077850353</v>
      </c>
      <c r="AL36" s="253">
        <v>4228.2028678894039</v>
      </c>
      <c r="AM36" s="253">
        <v>2003.0311257680257</v>
      </c>
      <c r="AN36" s="253">
        <v>554.30616068840038</v>
      </c>
      <c r="AO36" s="253">
        <v>2771.8051809946696</v>
      </c>
      <c r="AP36" s="253">
        <v>409.70588202476483</v>
      </c>
      <c r="AQ36" s="253">
        <v>1009.8335774421691</v>
      </c>
    </row>
    <row r="37" spans="1:43">
      <c r="A37" s="232">
        <f t="shared" si="0"/>
        <v>40785</v>
      </c>
      <c r="B37" s="243"/>
      <c r="C37" s="244">
        <v>108.25975650946322</v>
      </c>
      <c r="D37" s="244">
        <v>917.44866072336845</v>
      </c>
      <c r="E37" s="244">
        <v>12.45359560598939</v>
      </c>
      <c r="F37" s="244">
        <v>0</v>
      </c>
      <c r="G37" s="244">
        <v>2826.0329725265478</v>
      </c>
      <c r="H37" s="245">
        <v>39.989579155047736</v>
      </c>
      <c r="I37" s="243">
        <v>679.24009195963708</v>
      </c>
      <c r="J37" s="244">
        <v>1427.4964366912861</v>
      </c>
      <c r="K37" s="244">
        <v>25.920164968570045</v>
      </c>
      <c r="L37" s="244">
        <v>0</v>
      </c>
      <c r="M37" s="244">
        <v>0</v>
      </c>
      <c r="N37" s="245">
        <v>161.96894154747307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372.4917013820338</v>
      </c>
      <c r="V37" s="246">
        <v>87.659777046286294</v>
      </c>
      <c r="W37" s="246">
        <v>38.509052471012048</v>
      </c>
      <c r="X37" s="246">
        <v>9.062470227787669</v>
      </c>
      <c r="Y37" s="250">
        <v>344.93485808058409</v>
      </c>
      <c r="Z37" s="250">
        <v>81.174728571536448</v>
      </c>
      <c r="AA37" s="251">
        <v>0</v>
      </c>
      <c r="AB37" s="252">
        <v>0</v>
      </c>
      <c r="AC37" s="253">
        <v>0</v>
      </c>
      <c r="AD37" s="253">
        <v>21.205523913436465</v>
      </c>
      <c r="AE37" s="252">
        <v>16.996713258631825</v>
      </c>
      <c r="AF37" s="252">
        <v>3.9998960761899736</v>
      </c>
      <c r="AG37" s="252">
        <v>0.80949799977673775</v>
      </c>
      <c r="AH37" s="253">
        <v>452.80902045567831</v>
      </c>
      <c r="AI37" s="253">
        <v>1120.9537480036417</v>
      </c>
      <c r="AJ37" s="253">
        <v>2992.3180323282877</v>
      </c>
      <c r="AK37" s="253">
        <v>985.82715876897169</v>
      </c>
      <c r="AL37" s="253">
        <v>4218.0264979044587</v>
      </c>
      <c r="AM37" s="253">
        <v>1995.3878022511799</v>
      </c>
      <c r="AN37" s="253">
        <v>571.25603748957315</v>
      </c>
      <c r="AO37" s="253">
        <v>2723.2034912109375</v>
      </c>
      <c r="AP37" s="253">
        <v>384.84420256614692</v>
      </c>
      <c r="AQ37" s="253">
        <v>1005.0491171518961</v>
      </c>
    </row>
    <row r="38" spans="1:43" ht="15.75" thickBot="1">
      <c r="A38" s="232">
        <f t="shared" si="0"/>
        <v>40786</v>
      </c>
      <c r="B38" s="257"/>
      <c r="C38" s="258">
        <v>134.40706831812855</v>
      </c>
      <c r="D38" s="258">
        <v>991.871753937005</v>
      </c>
      <c r="E38" s="258">
        <v>14.310304366548849</v>
      </c>
      <c r="F38" s="258">
        <v>0</v>
      </c>
      <c r="G38" s="258">
        <v>3061.4196132659849</v>
      </c>
      <c r="H38" s="259">
        <v>44.878988726933834</v>
      </c>
      <c r="I38" s="260">
        <v>760.52373758951853</v>
      </c>
      <c r="J38" s="258">
        <v>1690.0946020762237</v>
      </c>
      <c r="K38" s="258">
        <v>33.605133827527403</v>
      </c>
      <c r="L38" s="258">
        <v>0</v>
      </c>
      <c r="M38" s="258">
        <v>0</v>
      </c>
      <c r="N38" s="259">
        <v>163.97219195713623</v>
      </c>
      <c r="O38" s="260">
        <v>0</v>
      </c>
      <c r="P38" s="258">
        <v>0</v>
      </c>
      <c r="Q38" s="258">
        <v>0</v>
      </c>
      <c r="R38" s="261">
        <v>0</v>
      </c>
      <c r="S38" s="258">
        <v>0</v>
      </c>
      <c r="T38" s="262">
        <v>0</v>
      </c>
      <c r="U38" s="263">
        <v>432.27254943581488</v>
      </c>
      <c r="V38" s="264">
        <v>88.792088744382909</v>
      </c>
      <c r="W38" s="265">
        <v>46.941397070534762</v>
      </c>
      <c r="X38" s="265">
        <v>9.6421220822654146</v>
      </c>
      <c r="Y38" s="264">
        <v>405.29362684402065</v>
      </c>
      <c r="Z38" s="264">
        <v>83.250411642459682</v>
      </c>
      <c r="AA38" s="266">
        <v>0</v>
      </c>
      <c r="AB38" s="267">
        <v>0</v>
      </c>
      <c r="AC38" s="268">
        <v>0</v>
      </c>
      <c r="AD38" s="269">
        <v>24.111813314755789</v>
      </c>
      <c r="AE38" s="267">
        <v>19.849315800997246</v>
      </c>
      <c r="AF38" s="267">
        <v>3.9337538116419726</v>
      </c>
      <c r="AG38" s="267">
        <v>0.82959486743432342</v>
      </c>
      <c r="AH38" s="268">
        <v>211.15934977531433</v>
      </c>
      <c r="AI38" s="268">
        <v>922.71326888402314</v>
      </c>
      <c r="AJ38" s="268">
        <v>2961.8588137944539</v>
      </c>
      <c r="AK38" s="268">
        <v>1003.8755276362101</v>
      </c>
      <c r="AL38" s="268">
        <v>4667.5134674708052</v>
      </c>
      <c r="AM38" s="268">
        <v>2042.4916178385417</v>
      </c>
      <c r="AN38" s="268">
        <v>541.93190183639513</v>
      </c>
      <c r="AO38" s="268">
        <v>3195.4635190327963</v>
      </c>
      <c r="AP38" s="268">
        <v>364.9712788025538</v>
      </c>
      <c r="AQ38" s="268">
        <v>1003.0706175486245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3187.6778674105826</v>
      </c>
      <c r="D39" s="272">
        <f t="shared" si="1"/>
        <v>23900.934169596425</v>
      </c>
      <c r="E39" s="272">
        <f t="shared" si="1"/>
        <v>365.46811395386857</v>
      </c>
      <c r="F39" s="272">
        <f t="shared" si="1"/>
        <v>0</v>
      </c>
      <c r="G39" s="272">
        <f t="shared" si="1"/>
        <v>81569.421022860159</v>
      </c>
      <c r="H39" s="273">
        <f t="shared" si="1"/>
        <v>1159.4982166240627</v>
      </c>
      <c r="I39" s="271">
        <f t="shared" si="1"/>
        <v>18400.291054590551</v>
      </c>
      <c r="J39" s="272">
        <f t="shared" si="1"/>
        <v>39571.957658227286</v>
      </c>
      <c r="K39" s="272">
        <f t="shared" si="1"/>
        <v>728.53221408873742</v>
      </c>
      <c r="L39" s="272">
        <f t="shared" si="1"/>
        <v>0</v>
      </c>
      <c r="M39" s="272">
        <f t="shared" si="1"/>
        <v>0</v>
      </c>
      <c r="N39" s="273">
        <f t="shared" si="1"/>
        <v>4325.4415597811358</v>
      </c>
      <c r="O39" s="274">
        <f t="shared" si="1"/>
        <v>9.8398886967607712E-4</v>
      </c>
      <c r="P39" s="275">
        <f t="shared" si="1"/>
        <v>1.5352848719648148E-4</v>
      </c>
      <c r="Q39" s="275">
        <f t="shared" si="1"/>
        <v>4.9199443483803856E-4</v>
      </c>
      <c r="R39" s="275">
        <f t="shared" si="1"/>
        <v>7.676424359824074E-5</v>
      </c>
      <c r="S39" s="275">
        <f t="shared" si="1"/>
        <v>8.7856149078221174E-2</v>
      </c>
      <c r="T39" s="276">
        <f t="shared" si="1"/>
        <v>1.370790064254299E-2</v>
      </c>
      <c r="U39" s="274">
        <f t="shared" si="1"/>
        <v>10197.45654611703</v>
      </c>
      <c r="V39" s="275">
        <f t="shared" si="1"/>
        <v>2429.5034583164975</v>
      </c>
      <c r="W39" s="275">
        <f t="shared" si="1"/>
        <v>1045.5423900387393</v>
      </c>
      <c r="X39" s="275">
        <f t="shared" si="1"/>
        <v>252.58263698052292</v>
      </c>
      <c r="Y39" s="275">
        <f t="shared" si="1"/>
        <v>9872.417793696457</v>
      </c>
      <c r="Z39" s="275">
        <f t="shared" si="1"/>
        <v>2329.9256111974159</v>
      </c>
      <c r="AA39" s="277">
        <f t="shared" si="1"/>
        <v>0</v>
      </c>
      <c r="AB39" s="278">
        <f t="shared" si="1"/>
        <v>0</v>
      </c>
      <c r="AC39" s="278">
        <f t="shared" si="1"/>
        <v>0.10156404972076416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9614.9798074483879</v>
      </c>
      <c r="AI39" s="278">
        <f t="shared" si="2"/>
        <v>32171.260414187116</v>
      </c>
      <c r="AJ39" s="278">
        <f t="shared" si="2"/>
        <v>96637.902305221578</v>
      </c>
      <c r="AK39" s="278">
        <f t="shared" si="2"/>
        <v>31144.601324462888</v>
      </c>
      <c r="AL39" s="278">
        <f t="shared" si="2"/>
        <v>133469.49348560968</v>
      </c>
      <c r="AM39" s="278">
        <f t="shared" si="2"/>
        <v>66548.087389246619</v>
      </c>
      <c r="AN39" s="278">
        <f t="shared" si="2"/>
        <v>17483.497332366307</v>
      </c>
      <c r="AO39" s="278">
        <f t="shared" si="2"/>
        <v>84240.536897563914</v>
      </c>
      <c r="AP39" s="278">
        <f t="shared" si="2"/>
        <v>12174.514672998586</v>
      </c>
      <c r="AQ39" s="278">
        <f t="shared" si="2"/>
        <v>30489.84861675898</v>
      </c>
    </row>
    <row r="40" spans="1:43" ht="15.75" thickBot="1">
      <c r="A40" s="280" t="s">
        <v>182</v>
      </c>
      <c r="B40" s="281">
        <f>Projection!$AC$30</f>
        <v>0.91139353199999984</v>
      </c>
      <c r="C40" s="282">
        <f>Projection!$AC$28</f>
        <v>1.3599037199999999</v>
      </c>
      <c r="D40" s="282">
        <f>Projection!$AC$31</f>
        <v>2.1063504000000002</v>
      </c>
      <c r="E40" s="282">
        <f>Projection!$AC$26</f>
        <v>3.1224959999999999</v>
      </c>
      <c r="F40" s="282">
        <f>Projection!$AC$23</f>
        <v>5.8379999999999994E-2</v>
      </c>
      <c r="G40" s="282">
        <f>Projection!$AC$24</f>
        <v>4.9500000000000002E-2</v>
      </c>
      <c r="H40" s="283">
        <f>Projection!$AC$29</f>
        <v>3.6371774160000006</v>
      </c>
      <c r="I40" s="281">
        <f>Projection!$AC$30</f>
        <v>0.91139353199999984</v>
      </c>
      <c r="J40" s="282">
        <f>Projection!$AC$28</f>
        <v>1.3599037199999999</v>
      </c>
      <c r="K40" s="282">
        <f>Projection!$AC$26</f>
        <v>3.1224959999999999</v>
      </c>
      <c r="L40" s="282">
        <f>Projection!$AC$25</f>
        <v>0.37613399999999997</v>
      </c>
      <c r="M40" s="282">
        <f>Projection!$AC$23</f>
        <v>5.8379999999999994E-2</v>
      </c>
      <c r="N40" s="283">
        <f>Projection!$AC$23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Projection!$AC$28</f>
        <v>1.3599037199999999</v>
      </c>
      <c r="T40" s="346">
        <f>Projection!$AC$28</f>
        <v>1.3599037199999999</v>
      </c>
      <c r="U40" s="344">
        <f>Projection!$AC$27</f>
        <v>0.29749999999999999</v>
      </c>
      <c r="V40" s="345">
        <f>Projection!$AC$27</f>
        <v>0.29749999999999999</v>
      </c>
      <c r="W40" s="345">
        <f>Projection!$AC$22</f>
        <v>1.02</v>
      </c>
      <c r="X40" s="345">
        <f>Projection!$AC$22</f>
        <v>1.02</v>
      </c>
      <c r="Y40" s="345">
        <f>Projection!$AC$31</f>
        <v>2.1063504000000002</v>
      </c>
      <c r="Z40" s="345">
        <f>Projection!$AC$31</f>
        <v>2.1063504000000002</v>
      </c>
      <c r="AA40" s="347">
        <v>0</v>
      </c>
      <c r="AB40" s="348">
        <f>Projection!$AC$27</f>
        <v>0.29749999999999999</v>
      </c>
      <c r="AC40" s="348">
        <f>Projection!$AC$30</f>
        <v>0.91139353199999984</v>
      </c>
      <c r="AD40" s="357">
        <f>SUM(AD8:AD38)</f>
        <v>589.02818807214499</v>
      </c>
      <c r="AE40" s="357">
        <f>SUM(AE8:AE38)</f>
        <v>470.33234121879082</v>
      </c>
      <c r="AF40" s="357">
        <f>SUM(AF8:AF38)</f>
        <v>111.35113611549215</v>
      </c>
      <c r="AG40" s="357">
        <f>IF(SUM(AE40:AF40)&gt;0, AE40/(AE40+AF40), "")</f>
        <v>0.80857091450183882</v>
      </c>
      <c r="AH40" s="290">
        <v>7.5999999999999998E-2</v>
      </c>
      <c r="AI40" s="290">
        <f t="shared" ref="AI40:AQ40" si="3">$AH$40</f>
        <v>7.5999999999999998E-2</v>
      </c>
      <c r="AJ40" s="290">
        <f t="shared" si="3"/>
        <v>7.5999999999999998E-2</v>
      </c>
      <c r="AK40" s="290">
        <f t="shared" si="3"/>
        <v>7.5999999999999998E-2</v>
      </c>
      <c r="AL40" s="290">
        <f t="shared" si="3"/>
        <v>7.5999999999999998E-2</v>
      </c>
      <c r="AM40" s="290">
        <f t="shared" si="3"/>
        <v>7.5999999999999998E-2</v>
      </c>
      <c r="AN40" s="290">
        <f t="shared" si="3"/>
        <v>7.5999999999999998E-2</v>
      </c>
      <c r="AO40" s="290">
        <f t="shared" si="3"/>
        <v>7.5999999999999998E-2</v>
      </c>
      <c r="AP40" s="290">
        <f t="shared" si="3"/>
        <v>7.5999999999999998E-2</v>
      </c>
      <c r="AQ40" s="290">
        <f t="shared" si="3"/>
        <v>7.5999999999999998E-2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4334.934990053318</v>
      </c>
      <c r="D41" s="293">
        <f t="shared" si="4"/>
        <v>50343.742248503098</v>
      </c>
      <c r="E41" s="293">
        <f t="shared" si="4"/>
        <v>1141.1727239484987</v>
      </c>
      <c r="F41" s="293">
        <f t="shared" si="4"/>
        <v>0</v>
      </c>
      <c r="G41" s="293">
        <f t="shared" si="4"/>
        <v>4037.6863406315779</v>
      </c>
      <c r="H41" s="294">
        <f t="shared" si="4"/>
        <v>4217.3007273973171</v>
      </c>
      <c r="I41" s="292">
        <f t="shared" si="4"/>
        <v>16769.906254071284</v>
      </c>
      <c r="J41" s="293">
        <f t="shared" si="4"/>
        <v>53814.052427105773</v>
      </c>
      <c r="K41" s="293">
        <f t="shared" si="4"/>
        <v>2274.8389243632264</v>
      </c>
      <c r="L41" s="293">
        <f t="shared" si="4"/>
        <v>0</v>
      </c>
      <c r="M41" s="293">
        <f t="shared" si="4"/>
        <v>0</v>
      </c>
      <c r="N41" s="294">
        <f t="shared" si="4"/>
        <v>252.51927826002267</v>
      </c>
      <c r="O41" s="295">
        <f t="shared" si="4"/>
        <v>1.5517504474791735E-2</v>
      </c>
      <c r="P41" s="296">
        <f t="shared" si="4"/>
        <v>2.4211442430885129E-3</v>
      </c>
      <c r="Q41" s="296">
        <f t="shared" si="4"/>
        <v>7.7587522373958676E-3</v>
      </c>
      <c r="R41" s="296">
        <f t="shared" si="4"/>
        <v>1.2105721215442565E-3</v>
      </c>
      <c r="S41" s="296">
        <f t="shared" si="4"/>
        <v>0.11947590395634754</v>
      </c>
      <c r="T41" s="297">
        <f t="shared" si="4"/>
        <v>1.8641425077184602E-2</v>
      </c>
      <c r="U41" s="295">
        <f t="shared" si="4"/>
        <v>3033.7433224698161</v>
      </c>
      <c r="V41" s="296">
        <f t="shared" si="4"/>
        <v>722.77727884915794</v>
      </c>
      <c r="W41" s="296">
        <f t="shared" si="4"/>
        <v>1066.453237839514</v>
      </c>
      <c r="X41" s="296">
        <f t="shared" si="4"/>
        <v>257.63428972013338</v>
      </c>
      <c r="Y41" s="296">
        <f t="shared" si="4"/>
        <v>20794.77116871965</v>
      </c>
      <c r="Z41" s="296">
        <f t="shared" si="4"/>
        <v>4907.6397431159221</v>
      </c>
      <c r="AA41" s="298">
        <f t="shared" si="4"/>
        <v>0</v>
      </c>
      <c r="AB41" s="299">
        <f t="shared" si="4"/>
        <v>0</v>
      </c>
      <c r="AC41" s="299">
        <f t="shared" si="4"/>
        <v>9.2564817999230845E-2</v>
      </c>
      <c r="AH41" s="300">
        <f t="shared" ref="AH41:AQ41" si="5">AH40*AH39</f>
        <v>730.73846536607743</v>
      </c>
      <c r="AI41" s="300">
        <f t="shared" si="5"/>
        <v>2445.0157914782208</v>
      </c>
      <c r="AJ41" s="300">
        <f t="shared" si="5"/>
        <v>7344.4805751968397</v>
      </c>
      <c r="AK41" s="300">
        <f t="shared" si="5"/>
        <v>2366.9897006591796</v>
      </c>
      <c r="AL41" s="300">
        <f t="shared" si="5"/>
        <v>10143.681504906335</v>
      </c>
      <c r="AM41" s="300">
        <f t="shared" si="5"/>
        <v>5057.6546415827434</v>
      </c>
      <c r="AN41" s="300">
        <f t="shared" si="5"/>
        <v>1328.7457972598393</v>
      </c>
      <c r="AO41" s="300">
        <f t="shared" si="5"/>
        <v>6402.2808042148572</v>
      </c>
      <c r="AP41" s="300">
        <f t="shared" si="5"/>
        <v>925.26311514789256</v>
      </c>
      <c r="AQ41" s="300">
        <f t="shared" si="5"/>
        <v>2317.2284948736824</v>
      </c>
    </row>
    <row r="42" spans="1:43" ht="49.5" customHeight="1" thickTop="1" thickBot="1">
      <c r="A42" s="544" t="s">
        <v>59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302.23</v>
      </c>
      <c r="AI42" s="300" t="s">
        <v>207</v>
      </c>
      <c r="AJ42" s="300">
        <v>27.94</v>
      </c>
      <c r="AK42" s="300">
        <v>212.37</v>
      </c>
      <c r="AL42" s="300">
        <v>428.18</v>
      </c>
      <c r="AM42" s="300">
        <v>364.24</v>
      </c>
      <c r="AN42" s="300">
        <v>143.63</v>
      </c>
      <c r="AO42" s="300" t="s">
        <v>207</v>
      </c>
      <c r="AP42" s="300">
        <v>21.09</v>
      </c>
      <c r="AQ42" s="300">
        <v>57.18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167969.43054516843</v>
      </c>
      <c r="C44" s="309"/>
      <c r="D44" s="307" t="s">
        <v>143</v>
      </c>
      <c r="E44" s="308">
        <f>SUM(B41:H41)+P41+R41+T41+V41+X41+Z41</f>
        <v>69962.910615360466</v>
      </c>
      <c r="F44" s="309"/>
      <c r="G44" s="307" t="s">
        <v>143</v>
      </c>
      <c r="H44" s="308">
        <f>SUM(I41:N41)+O41+Q41+S41+U41+W41+Y41</f>
        <v>98006.427364989941</v>
      </c>
      <c r="I44" s="309"/>
      <c r="J44" s="307" t="s">
        <v>208</v>
      </c>
      <c r="K44" s="308">
        <v>126805.12000000002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39062.078890685676</v>
      </c>
      <c r="C45" s="309"/>
      <c r="D45" s="314" t="s">
        <v>193</v>
      </c>
      <c r="E45" s="315">
        <f>AH41*(1-$AG$40)+AI41+AJ41*0.5+AL41+AM41*(1-$AG$40)+AN41*(1-$AG$40)+AO41*(1-$AG$40)+AP41*0.5+AQ41*0.5</f>
        <v>20470.193540243094</v>
      </c>
      <c r="F45" s="316"/>
      <c r="G45" s="314" t="s">
        <v>193</v>
      </c>
      <c r="H45" s="315">
        <f>AH41*AG40+AJ41*0.5+AK41+AM41*AG40+AN41*AG40+AO41*AG40+AP41*0.5+AQ41*0.5</f>
        <v>18591.885350442575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1298.1250270192622</v>
      </c>
      <c r="U45" s="321">
        <f>(T45*8.34*0.895)/27000</f>
        <v>0.35887387552518069</v>
      </c>
    </row>
    <row r="46" spans="1:43" ht="32.25" thickBot="1">
      <c r="A46" s="322" t="s">
        <v>194</v>
      </c>
      <c r="B46" s="323">
        <f>SUM(AH42:AQ42)</f>
        <v>1556.8600000000001</v>
      </c>
      <c r="C46" s="309"/>
      <c r="D46" s="322" t="s">
        <v>194</v>
      </c>
      <c r="E46" s="323">
        <f>AH42*(1-$AG$40)+AJ42*0.5+AL42+AM42*(1-$AG$40)+AN42*(1-$AG$40)+AP42*0.5+AQ42*0.5</f>
        <v>636.3617021620604</v>
      </c>
      <c r="F46" s="324"/>
      <c r="G46" s="322" t="s">
        <v>194</v>
      </c>
      <c r="H46" s="323">
        <f>AH42*AG40+AJ42*0.5+AK42+AM42*AG40+AN42*AG40+AP42*0.5+AQ42*0.5</f>
        <v>920.49829783793962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4325.4415597811358</v>
      </c>
      <c r="U46" s="325">
        <f>(((T46*8.34)*0.005)/(8.34*1.055))/400</f>
        <v>5.1249307580345203E-2</v>
      </c>
    </row>
    <row r="47" spans="1:43" ht="24.75" thickTop="1" thickBot="1">
      <c r="A47" s="322" t="s">
        <v>195</v>
      </c>
      <c r="B47" s="323">
        <f>K44</f>
        <v>126805.12000000002</v>
      </c>
      <c r="C47" s="309"/>
      <c r="D47" s="322" t="s">
        <v>197</v>
      </c>
      <c r="E47" s="323">
        <f>K44*0.5</f>
        <v>63402.560000000012</v>
      </c>
      <c r="F47" s="316"/>
      <c r="G47" s="322" t="s">
        <v>195</v>
      </c>
      <c r="H47" s="323">
        <f>K44*0.5</f>
        <v>63402.560000000012</v>
      </c>
      <c r="I47" s="309"/>
      <c r="J47" s="307" t="s">
        <v>208</v>
      </c>
      <c r="K47" s="308">
        <v>59120.32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81569.421022860159</v>
      </c>
      <c r="U47" s="321">
        <f>T47/40000</f>
        <v>2.0392355255715038</v>
      </c>
    </row>
    <row r="48" spans="1:43" ht="24" thickBot="1">
      <c r="A48" s="322" t="s">
        <v>196</v>
      </c>
      <c r="B48" s="323">
        <f>K47</f>
        <v>59120.32</v>
      </c>
      <c r="C48" s="309"/>
      <c r="D48" s="322" t="s">
        <v>196</v>
      </c>
      <c r="E48" s="323">
        <f>K47*0.5</f>
        <v>29560.16</v>
      </c>
      <c r="F48" s="324"/>
      <c r="G48" s="322" t="s">
        <v>196</v>
      </c>
      <c r="H48" s="323">
        <f>K47*0.5</f>
        <v>29560.16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589.02818807214499</v>
      </c>
      <c r="C49" s="309"/>
      <c r="D49" s="327" t="s">
        <v>205</v>
      </c>
      <c r="E49" s="328">
        <f>AF40</f>
        <v>111.35113611549215</v>
      </c>
      <c r="F49" s="324"/>
      <c r="G49" s="327" t="s">
        <v>206</v>
      </c>
      <c r="H49" s="328">
        <f>AE40</f>
        <v>470.33234121879082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1094.000328042606</v>
      </c>
      <c r="U49" s="321">
        <f>(T49*8.34*1.04)/45000</f>
        <v>0.21086491656245218</v>
      </c>
    </row>
    <row r="50" spans="1:25" ht="48" thickTop="1" thickBot="1">
      <c r="A50" s="327" t="s">
        <v>200</v>
      </c>
      <c r="B50" s="329">
        <f>(SUM(B44:B48)/AD40)</f>
        <v>669.77067893316769</v>
      </c>
      <c r="C50" s="309"/>
      <c r="D50" s="327" t="s">
        <v>198</v>
      </c>
      <c r="E50" s="329">
        <f>SUM(E44:E48)/AF40</f>
        <v>1652.7194268308992</v>
      </c>
      <c r="F50" s="324"/>
      <c r="G50" s="327" t="s">
        <v>199</v>
      </c>
      <c r="H50" s="329">
        <f>SUM(H44:H48)/AE40</f>
        <v>447.51660170304541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12626.960004433528</v>
      </c>
      <c r="U50" s="321">
        <f>T50/2000/8</f>
        <v>0.78918500027709548</v>
      </c>
    </row>
    <row r="51" spans="1:25" ht="47.25" customHeight="1" thickTop="1" thickBot="1">
      <c r="A51" s="330" t="s">
        <v>201</v>
      </c>
      <c r="B51" s="331">
        <f>B50/1000</f>
        <v>0.66977067893316766</v>
      </c>
      <c r="C51" s="309"/>
      <c r="D51" s="330" t="s">
        <v>202</v>
      </c>
      <c r="E51" s="331">
        <f>E50/1000</f>
        <v>1.6527194268308993</v>
      </c>
      <c r="F51" s="309"/>
      <c r="G51" s="330" t="s">
        <v>203</v>
      </c>
      <c r="H51" s="331">
        <f>H50/1000</f>
        <v>0.44751660170304541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42759.737089687587</v>
      </c>
      <c r="U51" s="321">
        <f>(T51*8.34*1.4)/45000</f>
        <v>11.094726450204272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1159.4982166240627</v>
      </c>
      <c r="U52" s="321">
        <f>(T52*8.34*1.135)/45000</f>
        <v>0.24390431486092704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18400.392618640271</v>
      </c>
      <c r="U53" s="321">
        <f>(T53*8.34*1.029*0.03)/3300</f>
        <v>1.4355417581654928</v>
      </c>
    </row>
    <row r="54" spans="1:25" ht="42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36103.277574490297</v>
      </c>
      <c r="U54" s="350">
        <f>(T54*1.54*8.34)/45000</f>
        <v>10.304356796793858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F75"/>
  <sheetViews>
    <sheetView topLeftCell="A37" zoomScale="75" zoomScaleNormal="75" workbookViewId="0">
      <selection activeCell="A3" sqref="A3"/>
    </sheetView>
  </sheetViews>
  <sheetFormatPr defaultRowHeight="15"/>
  <cols>
    <col min="1" max="1" width="35.140625" style="208" bestFit="1" customWidth="1"/>
    <col min="2" max="2" width="19.140625" style="208" customWidth="1"/>
    <col min="3" max="3" width="27.7109375" style="208" bestFit="1" customWidth="1"/>
    <col min="4" max="4" width="29.5703125" style="208" customWidth="1"/>
    <col min="5" max="5" width="24.140625" style="208" bestFit="1" customWidth="1"/>
    <col min="6" max="6" width="15" style="208" bestFit="1" customWidth="1"/>
    <col min="7" max="7" width="35.5703125" style="208" customWidth="1"/>
    <col min="8" max="8" width="23" style="208" bestFit="1" customWidth="1"/>
    <col min="9" max="10" width="25.28515625" style="208" bestFit="1" customWidth="1"/>
    <col min="11" max="11" width="23" style="208" bestFit="1" customWidth="1"/>
    <col min="12" max="12" width="17" style="208" bestFit="1" customWidth="1"/>
    <col min="13" max="13" width="16" style="208" bestFit="1" customWidth="1"/>
    <col min="14" max="14" width="20.7109375" style="208" bestFit="1" customWidth="1"/>
    <col min="15" max="16" width="16.1406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58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58" ht="15" customHeight="1">
      <c r="A2" s="206" t="s">
        <v>2</v>
      </c>
      <c r="B2" s="211"/>
      <c r="O2" s="210"/>
      <c r="P2" s="210"/>
      <c r="Q2" s="210"/>
      <c r="R2" s="210"/>
    </row>
    <row r="3" spans="1:58" ht="15.75" thickBot="1">
      <c r="A3" s="212"/>
      <c r="BF3" s="213"/>
    </row>
    <row r="4" spans="1:58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58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58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58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58">
      <c r="A8" s="232">
        <v>40787</v>
      </c>
      <c r="B8" s="233"/>
      <c r="C8" s="234">
        <v>144.96026124159485</v>
      </c>
      <c r="D8" s="234">
        <v>1254.2975938796981</v>
      </c>
      <c r="E8" s="234">
        <v>17.728360157708209</v>
      </c>
      <c r="F8" s="234">
        <v>0</v>
      </c>
      <c r="G8" s="234">
        <v>4027.234745534256</v>
      </c>
      <c r="H8" s="235">
        <v>60.10253612200426</v>
      </c>
      <c r="I8" s="233">
        <v>712.24822165171349</v>
      </c>
      <c r="J8" s="234">
        <v>1558.7381343523698</v>
      </c>
      <c r="K8" s="234">
        <v>29.925757036606388</v>
      </c>
      <c r="L8" s="234">
        <v>0</v>
      </c>
      <c r="M8" s="234">
        <v>0</v>
      </c>
      <c r="N8" s="235">
        <v>161.31056717534844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401.2208231445876</v>
      </c>
      <c r="V8" s="238">
        <v>121.47756404379221</v>
      </c>
      <c r="W8" s="238">
        <v>48.772150036182119</v>
      </c>
      <c r="X8" s="238">
        <v>14.766736016187947</v>
      </c>
      <c r="Y8" s="238">
        <v>372.23954905367259</v>
      </c>
      <c r="Z8" s="238">
        <v>112.70290835205331</v>
      </c>
      <c r="AA8" s="239">
        <v>0</v>
      </c>
      <c r="AB8" s="240">
        <v>0</v>
      </c>
      <c r="AC8" s="241">
        <v>0</v>
      </c>
      <c r="AD8" s="241">
        <v>24.283943819999696</v>
      </c>
      <c r="AE8" s="242">
        <v>18.308552524745949</v>
      </c>
      <c r="AF8" s="242">
        <v>5.5432775010096389</v>
      </c>
      <c r="AG8" s="242">
        <v>0.76759529583164399</v>
      </c>
      <c r="AH8" s="241">
        <v>512.54072515169787</v>
      </c>
      <c r="AI8" s="241">
        <v>1276.4121145884196</v>
      </c>
      <c r="AJ8" s="241">
        <v>3307.6914891560868</v>
      </c>
      <c r="AK8" s="241">
        <v>1007.2920946757</v>
      </c>
      <c r="AL8" s="241">
        <v>5451.0774904886885</v>
      </c>
      <c r="AM8" s="241">
        <v>2339.1001567840581</v>
      </c>
      <c r="AN8" s="241">
        <v>566.00919310251868</v>
      </c>
      <c r="AO8" s="241">
        <v>3221.6161430358889</v>
      </c>
      <c r="AP8" s="241">
        <v>439.49957868258167</v>
      </c>
      <c r="AQ8" s="241">
        <v>1030.2600892384851</v>
      </c>
    </row>
    <row r="9" spans="1:58">
      <c r="A9" s="232">
        <v>40788</v>
      </c>
      <c r="B9" s="243"/>
      <c r="C9" s="244">
        <v>144.35078451832123</v>
      </c>
      <c r="D9" s="244">
        <v>1238.8124012569558</v>
      </c>
      <c r="E9" s="244">
        <v>17.338803983231333</v>
      </c>
      <c r="F9" s="244">
        <v>0</v>
      </c>
      <c r="G9" s="244">
        <v>3971.5631444295273</v>
      </c>
      <c r="H9" s="245">
        <v>60.097883654634174</v>
      </c>
      <c r="I9" s="243">
        <v>618.76905198097188</v>
      </c>
      <c r="J9" s="244">
        <v>1439.5228330930076</v>
      </c>
      <c r="K9" s="244">
        <v>26.582571441928522</v>
      </c>
      <c r="L9" s="234">
        <v>0</v>
      </c>
      <c r="M9" s="244">
        <v>0</v>
      </c>
      <c r="N9" s="245">
        <v>143.13676384141041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394.24325496124732</v>
      </c>
      <c r="V9" s="246">
        <v>131.43143916361237</v>
      </c>
      <c r="W9" s="246">
        <v>45.987342933008229</v>
      </c>
      <c r="X9" s="246">
        <v>15.331099743456543</v>
      </c>
      <c r="Y9" s="250">
        <v>337.20413323068652</v>
      </c>
      <c r="Z9" s="250">
        <v>112.41593601083686</v>
      </c>
      <c r="AA9" s="251">
        <v>0</v>
      </c>
      <c r="AB9" s="252">
        <v>0</v>
      </c>
      <c r="AC9" s="253">
        <v>0</v>
      </c>
      <c r="AD9" s="253">
        <v>20.75490371816683</v>
      </c>
      <c r="AE9" s="252">
        <v>15.561999999999999</v>
      </c>
      <c r="AF9" s="252">
        <v>5.1879999999999997</v>
      </c>
      <c r="AG9" s="252">
        <v>0.74997571571821864</v>
      </c>
      <c r="AH9" s="253">
        <v>230.13295017878212</v>
      </c>
      <c r="AI9" s="253">
        <v>958.62812356948848</v>
      </c>
      <c r="AJ9" s="253">
        <v>3171.8713157018028</v>
      </c>
      <c r="AK9" s="253">
        <v>957.80279027620941</v>
      </c>
      <c r="AL9" s="253">
        <v>5169.0614484787011</v>
      </c>
      <c r="AM9" s="253">
        <v>2376.9151374816897</v>
      </c>
      <c r="AN9" s="253">
        <v>594.13907354672756</v>
      </c>
      <c r="AO9" s="253">
        <v>2731.8292997678118</v>
      </c>
      <c r="AP9" s="253">
        <v>410.42691495021188</v>
      </c>
      <c r="AQ9" s="253">
        <v>950.46235376993798</v>
      </c>
    </row>
    <row r="10" spans="1:58">
      <c r="A10" s="232">
        <v>40789</v>
      </c>
      <c r="B10" s="243"/>
      <c r="C10" s="244">
        <v>147.63035022417722</v>
      </c>
      <c r="D10" s="244">
        <v>1270.6593868255609</v>
      </c>
      <c r="E10" s="244">
        <v>18.230433863898146</v>
      </c>
      <c r="F10" s="244">
        <v>0</v>
      </c>
      <c r="G10" s="244">
        <v>4206.6891422271729</v>
      </c>
      <c r="H10" s="245">
        <v>63.120629111925744</v>
      </c>
      <c r="I10" s="243">
        <v>656.12518049875939</v>
      </c>
      <c r="J10" s="244">
        <v>1472.925016784666</v>
      </c>
      <c r="K10" s="244">
        <v>27.955502885579985</v>
      </c>
      <c r="L10" s="234">
        <v>0</v>
      </c>
      <c r="M10" s="244">
        <v>0</v>
      </c>
      <c r="N10" s="245">
        <v>152.05475894560414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394.19296308839614</v>
      </c>
      <c r="V10" s="246">
        <v>131.3973742410451</v>
      </c>
      <c r="W10" s="246">
        <v>49.3552694212812</v>
      </c>
      <c r="X10" s="246">
        <v>16.451721400874998</v>
      </c>
      <c r="Y10" s="250">
        <v>371.69102248801062</v>
      </c>
      <c r="Z10" s="250">
        <v>123.89674336459893</v>
      </c>
      <c r="AA10" s="251">
        <v>0</v>
      </c>
      <c r="AB10" s="252">
        <v>0</v>
      </c>
      <c r="AC10" s="253">
        <v>0</v>
      </c>
      <c r="AD10" s="253">
        <v>24.626849524180095</v>
      </c>
      <c r="AE10" s="252">
        <v>17.999391765454789</v>
      </c>
      <c r="AF10" s="252">
        <v>5.9997844644078295</v>
      </c>
      <c r="AG10" s="252">
        <v>0.75000039972446275</v>
      </c>
      <c r="AH10" s="253">
        <v>488.31188939412436</v>
      </c>
      <c r="AI10" s="253">
        <v>1218.2908974329632</v>
      </c>
      <c r="AJ10" s="253">
        <v>2891.7287403106689</v>
      </c>
      <c r="AK10" s="253">
        <v>984.84509951273617</v>
      </c>
      <c r="AL10" s="253">
        <v>5529.9423545837417</v>
      </c>
      <c r="AM10" s="253">
        <v>2142.7634307861326</v>
      </c>
      <c r="AN10" s="253">
        <v>445.62701651255298</v>
      </c>
      <c r="AO10" s="253">
        <v>324.02332305908203</v>
      </c>
      <c r="AP10" s="253">
        <v>353.16459426879879</v>
      </c>
      <c r="AQ10" s="253">
        <v>789.56375637054452</v>
      </c>
    </row>
    <row r="11" spans="1:58">
      <c r="A11" s="232">
        <v>40790</v>
      </c>
      <c r="B11" s="243"/>
      <c r="C11" s="244">
        <v>154.22186249097166</v>
      </c>
      <c r="D11" s="244">
        <v>1311.2988353729252</v>
      </c>
      <c r="E11" s="244">
        <v>18.154143899679248</v>
      </c>
      <c r="F11" s="244">
        <v>0</v>
      </c>
      <c r="G11" s="244">
        <v>4232.2796162923132</v>
      </c>
      <c r="H11" s="245">
        <v>62.603505984942181</v>
      </c>
      <c r="I11" s="243">
        <v>553.75804611841772</v>
      </c>
      <c r="J11" s="244">
        <v>1313.6077296574886</v>
      </c>
      <c r="K11" s="244">
        <v>24.231662159164788</v>
      </c>
      <c r="L11" s="234">
        <v>0</v>
      </c>
      <c r="M11" s="244">
        <v>0</v>
      </c>
      <c r="N11" s="245">
        <v>152.46530225078257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329.00726483231307</v>
      </c>
      <c r="V11" s="246">
        <v>126.87807342112066</v>
      </c>
      <c r="W11" s="246">
        <v>39.374860259745454</v>
      </c>
      <c r="X11" s="246">
        <v>15.184486620769878</v>
      </c>
      <c r="Y11" s="250">
        <v>313.91174648586963</v>
      </c>
      <c r="Z11" s="250">
        <v>121.05665094868345</v>
      </c>
      <c r="AA11" s="251">
        <v>0</v>
      </c>
      <c r="AB11" s="252">
        <v>0</v>
      </c>
      <c r="AC11" s="253">
        <v>0</v>
      </c>
      <c r="AD11" s="253">
        <v>21.797466982404391</v>
      </c>
      <c r="AE11" s="252">
        <v>15.558254494667535</v>
      </c>
      <c r="AF11" s="252">
        <v>5.9998716353117842</v>
      </c>
      <c r="AG11" s="252">
        <v>0.72168862919081822</v>
      </c>
      <c r="AH11" s="253">
        <v>215.32725699742636</v>
      </c>
      <c r="AI11" s="253">
        <v>948.85191790262854</v>
      </c>
      <c r="AJ11" s="253">
        <v>2886.2142645517993</v>
      </c>
      <c r="AK11" s="253">
        <v>968.92966092427582</v>
      </c>
      <c r="AL11" s="253">
        <v>5529.6852813720716</v>
      </c>
      <c r="AM11" s="253">
        <v>2055.6860237121582</v>
      </c>
      <c r="AN11" s="253">
        <v>409.66872016588837</v>
      </c>
      <c r="AO11" s="253">
        <v>1942.4927824338276</v>
      </c>
      <c r="AP11" s="253">
        <v>357.51774997711186</v>
      </c>
      <c r="AQ11" s="253">
        <v>737.46728385289521</v>
      </c>
    </row>
    <row r="12" spans="1:58">
      <c r="A12" s="232">
        <f t="shared" ref="A12:A37" si="0">A11+1</f>
        <v>40791</v>
      </c>
      <c r="B12" s="243"/>
      <c r="C12" s="244">
        <v>148.79675848484013</v>
      </c>
      <c r="D12" s="244">
        <v>1349.0459312438959</v>
      </c>
      <c r="E12" s="244">
        <v>18.13545036067562</v>
      </c>
      <c r="F12" s="244">
        <v>0</v>
      </c>
      <c r="G12" s="244">
        <v>4230.5708981831849</v>
      </c>
      <c r="H12" s="245">
        <v>62.498258177439396</v>
      </c>
      <c r="I12" s="243">
        <v>554.08992946942692</v>
      </c>
      <c r="J12" s="244">
        <v>1297.322314516706</v>
      </c>
      <c r="K12" s="244">
        <v>24.030641499161771</v>
      </c>
      <c r="L12" s="234">
        <v>0</v>
      </c>
      <c r="M12" s="244">
        <v>0</v>
      </c>
      <c r="N12" s="245">
        <v>160.64621609648049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330.14340117486995</v>
      </c>
      <c r="V12" s="246">
        <v>126.13233618491859</v>
      </c>
      <c r="W12" s="246">
        <v>38.259440299479515</v>
      </c>
      <c r="X12" s="246">
        <v>14.617140821011514</v>
      </c>
      <c r="Y12" s="250">
        <v>312.71993772510854</v>
      </c>
      <c r="Z12" s="250">
        <v>119.47564657207094</v>
      </c>
      <c r="AA12" s="251">
        <v>0</v>
      </c>
      <c r="AB12" s="252">
        <v>0</v>
      </c>
      <c r="AC12" s="253">
        <v>0</v>
      </c>
      <c r="AD12" s="253">
        <v>21.897319956620539</v>
      </c>
      <c r="AE12" s="252">
        <v>15.704351658460824</v>
      </c>
      <c r="AF12" s="252">
        <v>5.999897486674171</v>
      </c>
      <c r="AG12" s="252">
        <v>0.72356115862137316</v>
      </c>
      <c r="AH12" s="253">
        <v>213.60340151786804</v>
      </c>
      <c r="AI12" s="253">
        <v>958.73536713918054</v>
      </c>
      <c r="AJ12" s="253">
        <v>2979.5763731638594</v>
      </c>
      <c r="AK12" s="253">
        <v>974.37216873168961</v>
      </c>
      <c r="AL12" s="253">
        <v>5505.2693656921383</v>
      </c>
      <c r="AM12" s="253">
        <v>2072.3514190673827</v>
      </c>
      <c r="AN12" s="253">
        <v>473.6633563359577</v>
      </c>
      <c r="AO12" s="253">
        <v>3206.3663633982337</v>
      </c>
      <c r="AP12" s="253">
        <v>350.68018096288051</v>
      </c>
      <c r="AQ12" s="253">
        <v>756.6251850446065</v>
      </c>
    </row>
    <row r="13" spans="1:58">
      <c r="A13" s="232">
        <f t="shared" si="0"/>
        <v>40792</v>
      </c>
      <c r="B13" s="243"/>
      <c r="C13" s="244">
        <v>153.44384277661618</v>
      </c>
      <c r="D13" s="244">
        <v>1352.1337931950904</v>
      </c>
      <c r="E13" s="244">
        <v>18.241312209268408</v>
      </c>
      <c r="F13" s="244">
        <v>0</v>
      </c>
      <c r="G13" s="244">
        <v>4106.2394311269136</v>
      </c>
      <c r="H13" s="245">
        <v>62.892637638250982</v>
      </c>
      <c r="I13" s="243">
        <v>655.62487157185922</v>
      </c>
      <c r="J13" s="244">
        <v>1434.1099657694485</v>
      </c>
      <c r="K13" s="244">
        <v>26.742051408688294</v>
      </c>
      <c r="L13" s="234">
        <v>0</v>
      </c>
      <c r="M13" s="244">
        <v>0</v>
      </c>
      <c r="N13" s="245">
        <v>155.82237184296056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360.2076635153133</v>
      </c>
      <c r="V13" s="246">
        <v>119.47677777564748</v>
      </c>
      <c r="W13" s="246">
        <v>43.969282800688902</v>
      </c>
      <c r="X13" s="246">
        <v>14.584110118215673</v>
      </c>
      <c r="Y13" s="250">
        <v>337.20454625107431</v>
      </c>
      <c r="Z13" s="250">
        <v>111.84690587701752</v>
      </c>
      <c r="AA13" s="251">
        <v>0</v>
      </c>
      <c r="AB13" s="252">
        <v>0</v>
      </c>
      <c r="AC13" s="253">
        <v>0</v>
      </c>
      <c r="AD13" s="253">
        <v>22.989397818512384</v>
      </c>
      <c r="AE13" s="252">
        <v>17.198237099219863</v>
      </c>
      <c r="AF13" s="252">
        <v>5.5340957465092355</v>
      </c>
      <c r="AG13" s="252">
        <v>0.75092630177017394</v>
      </c>
      <c r="AH13" s="253">
        <v>461.53703886667881</v>
      </c>
      <c r="AI13" s="253">
        <v>1197.5309370676675</v>
      </c>
      <c r="AJ13" s="253">
        <v>3019.0086570739745</v>
      </c>
      <c r="AK13" s="253">
        <v>985.01997820536303</v>
      </c>
      <c r="AL13" s="253">
        <v>5412.3442495981853</v>
      </c>
      <c r="AM13" s="253">
        <v>2333.2241137186688</v>
      </c>
      <c r="AN13" s="253">
        <v>505.3857575893403</v>
      </c>
      <c r="AO13" s="253">
        <v>3279.4910527547195</v>
      </c>
      <c r="AP13" s="253">
        <v>388.20472960472108</v>
      </c>
      <c r="AQ13" s="253">
        <v>878.10820223490396</v>
      </c>
    </row>
    <row r="14" spans="1:58">
      <c r="A14" s="232">
        <f t="shared" si="0"/>
        <v>40793</v>
      </c>
      <c r="B14" s="243"/>
      <c r="C14" s="244">
        <v>149.28126995364809</v>
      </c>
      <c r="D14" s="244">
        <v>1270.9821577588734</v>
      </c>
      <c r="E14" s="244">
        <v>16.546779754261145</v>
      </c>
      <c r="F14" s="244">
        <v>0</v>
      </c>
      <c r="G14" s="244">
        <v>3905.2499125798554</v>
      </c>
      <c r="H14" s="245">
        <v>57.197375879685161</v>
      </c>
      <c r="I14" s="243">
        <v>558.13982550303081</v>
      </c>
      <c r="J14" s="244">
        <v>1246.5410832722987</v>
      </c>
      <c r="K14" s="244">
        <v>22.923759065071746</v>
      </c>
      <c r="L14" s="234">
        <v>0</v>
      </c>
      <c r="M14" s="244">
        <v>0</v>
      </c>
      <c r="N14" s="245">
        <v>159.6277073100209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295.41688993864017</v>
      </c>
      <c r="V14" s="246">
        <v>106.47561714822467</v>
      </c>
      <c r="W14" s="246">
        <v>36.610812529234195</v>
      </c>
      <c r="X14" s="246">
        <v>13.195450196357553</v>
      </c>
      <c r="Y14" s="250">
        <v>277.72842350747044</v>
      </c>
      <c r="Z14" s="250">
        <v>100.10025255733872</v>
      </c>
      <c r="AA14" s="251">
        <v>0</v>
      </c>
      <c r="AB14" s="252">
        <v>0</v>
      </c>
      <c r="AC14" s="253">
        <v>0</v>
      </c>
      <c r="AD14" s="253">
        <v>19.698296181360888</v>
      </c>
      <c r="AE14" s="252">
        <v>14.296570043598045</v>
      </c>
      <c r="AF14" s="252">
        <v>5.1528405123048326</v>
      </c>
      <c r="AG14" s="252">
        <v>0.73506443820011036</v>
      </c>
      <c r="AH14" s="253">
        <v>177.01356559594467</v>
      </c>
      <c r="AI14" s="253">
        <v>905.68062642415362</v>
      </c>
      <c r="AJ14" s="253">
        <v>2827.0273574193316</v>
      </c>
      <c r="AK14" s="253">
        <v>961.22875970204655</v>
      </c>
      <c r="AL14" s="253">
        <v>4822.6689264297493</v>
      </c>
      <c r="AM14" s="253">
        <v>2371.9974973042799</v>
      </c>
      <c r="AN14" s="253">
        <v>525.02389152844751</v>
      </c>
      <c r="AO14" s="253">
        <v>2951.2472560882566</v>
      </c>
      <c r="AP14" s="253">
        <v>384.06794358094533</v>
      </c>
      <c r="AQ14" s="253">
        <v>698.95352347691846</v>
      </c>
    </row>
    <row r="15" spans="1:58">
      <c r="A15" s="232">
        <f t="shared" si="0"/>
        <v>40794</v>
      </c>
      <c r="B15" s="243"/>
      <c r="C15" s="244">
        <v>163.93495591481499</v>
      </c>
      <c r="D15" s="244">
        <v>1336.0458526611308</v>
      </c>
      <c r="E15" s="244">
        <v>18.030372206369993</v>
      </c>
      <c r="F15" s="244">
        <v>0</v>
      </c>
      <c r="G15" s="244">
        <v>4181.7615228017185</v>
      </c>
      <c r="H15" s="245">
        <v>63.068103746573215</v>
      </c>
      <c r="I15" s="243">
        <v>424.2243908564252</v>
      </c>
      <c r="J15" s="244">
        <v>982.54257564544594</v>
      </c>
      <c r="K15" s="244">
        <v>18.252986797690436</v>
      </c>
      <c r="L15" s="234">
        <v>0</v>
      </c>
      <c r="M15" s="244">
        <v>0</v>
      </c>
      <c r="N15" s="245">
        <v>154.44110089093431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244.87970858011849</v>
      </c>
      <c r="V15" s="246">
        <v>122.44052771070527</v>
      </c>
      <c r="W15" s="246">
        <v>29.830982454938727</v>
      </c>
      <c r="X15" s="246">
        <v>14.915573262847438</v>
      </c>
      <c r="Y15" s="250">
        <v>221.29654667416511</v>
      </c>
      <c r="Z15" s="250">
        <v>110.64888190389395</v>
      </c>
      <c r="AA15" s="251">
        <v>0</v>
      </c>
      <c r="AB15" s="252">
        <v>0</v>
      </c>
      <c r="AC15" s="253">
        <v>0</v>
      </c>
      <c r="AD15" s="253">
        <v>17.979569011264356</v>
      </c>
      <c r="AE15" s="252">
        <v>11.865426292747429</v>
      </c>
      <c r="AF15" s="252">
        <v>5.9327457763661533</v>
      </c>
      <c r="AG15" s="252">
        <v>0.66666544444405818</v>
      </c>
      <c r="AH15" s="253">
        <v>446.06157031854002</v>
      </c>
      <c r="AI15" s="253">
        <v>1171.3594667434693</v>
      </c>
      <c r="AJ15" s="253">
        <v>2854.1007017771403</v>
      </c>
      <c r="AK15" s="253">
        <v>952.70386632283544</v>
      </c>
      <c r="AL15" s="253">
        <v>5537.3896993001317</v>
      </c>
      <c r="AM15" s="253">
        <v>2319.1886876424151</v>
      </c>
      <c r="AN15" s="253">
        <v>461.65685648918145</v>
      </c>
      <c r="AO15" s="253">
        <v>2673.084738922119</v>
      </c>
      <c r="AP15" s="253">
        <v>380.49061427116396</v>
      </c>
      <c r="AQ15" s="253">
        <v>832.11207304000857</v>
      </c>
    </row>
    <row r="16" spans="1:58">
      <c r="A16" s="232">
        <f t="shared" si="0"/>
        <v>40795</v>
      </c>
      <c r="B16" s="243"/>
      <c r="C16" s="244">
        <v>163.0284465154009</v>
      </c>
      <c r="D16" s="244">
        <v>1364.0238189061502</v>
      </c>
      <c r="E16" s="244">
        <v>18.034361992279692</v>
      </c>
      <c r="F16" s="244">
        <v>0</v>
      </c>
      <c r="G16" s="244">
        <v>4065.2330515543658</v>
      </c>
      <c r="H16" s="245">
        <v>63.783113090197325</v>
      </c>
      <c r="I16" s="243">
        <v>425.53052474657738</v>
      </c>
      <c r="J16" s="244">
        <v>994.14361991882379</v>
      </c>
      <c r="K16" s="244">
        <v>18.24188240667187</v>
      </c>
      <c r="L16" s="234">
        <v>0</v>
      </c>
      <c r="M16" s="244">
        <v>0</v>
      </c>
      <c r="N16" s="245">
        <v>160.83478983591007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248.28388249343314</v>
      </c>
      <c r="V16" s="246">
        <v>124.147705276824</v>
      </c>
      <c r="W16" s="246">
        <v>29.406726882447654</v>
      </c>
      <c r="X16" s="246">
        <v>14.704046132574586</v>
      </c>
      <c r="Y16" s="250">
        <v>218.40143877279576</v>
      </c>
      <c r="Z16" s="250">
        <v>109.20578968115865</v>
      </c>
      <c r="AA16" s="251">
        <v>0</v>
      </c>
      <c r="AB16" s="252">
        <v>0</v>
      </c>
      <c r="AC16" s="253">
        <v>0</v>
      </c>
      <c r="AD16" s="253">
        <v>18.179709063635926</v>
      </c>
      <c r="AE16" s="252">
        <v>11.998312674924197</v>
      </c>
      <c r="AF16" s="252">
        <v>5.9994348840789868</v>
      </c>
      <c r="AG16" s="252">
        <v>0.66665634883417213</v>
      </c>
      <c r="AH16" s="253">
        <v>169.44615439573923</v>
      </c>
      <c r="AI16" s="253">
        <v>908.3433437347411</v>
      </c>
      <c r="AJ16" s="253">
        <v>2834.3242135365795</v>
      </c>
      <c r="AK16" s="253">
        <v>954.63753579457602</v>
      </c>
      <c r="AL16" s="253">
        <v>5507.809638722737</v>
      </c>
      <c r="AM16" s="253">
        <v>2348.62404645284</v>
      </c>
      <c r="AN16" s="253">
        <v>462.13958123524992</v>
      </c>
      <c r="AO16" s="253">
        <v>2635.4231086730961</v>
      </c>
      <c r="AP16" s="253">
        <v>383.95842364629107</v>
      </c>
      <c r="AQ16" s="253">
        <v>861.96231743494695</v>
      </c>
    </row>
    <row r="17" spans="1:43">
      <c r="A17" s="232">
        <f t="shared" si="0"/>
        <v>40796</v>
      </c>
      <c r="B17" s="233"/>
      <c r="C17" s="234">
        <v>160.78448706467941</v>
      </c>
      <c r="D17" s="234">
        <v>1381.2693213144892</v>
      </c>
      <c r="E17" s="234">
        <v>18.01555483639244</v>
      </c>
      <c r="F17" s="234">
        <v>0</v>
      </c>
      <c r="G17" s="234">
        <v>4128.2529788970915</v>
      </c>
      <c r="H17" s="235">
        <v>64.143176801999473</v>
      </c>
      <c r="I17" s="233">
        <v>504.57551341056774</v>
      </c>
      <c r="J17" s="234">
        <v>1113.7591475168872</v>
      </c>
      <c r="K17" s="234">
        <v>20.332045096159046</v>
      </c>
      <c r="L17" s="234">
        <v>0</v>
      </c>
      <c r="M17" s="234">
        <v>0</v>
      </c>
      <c r="N17" s="235">
        <v>155.13479548643011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276.17110441011243</v>
      </c>
      <c r="V17" s="250">
        <v>124.11870969120783</v>
      </c>
      <c r="W17" s="246">
        <v>32.770822536143328</v>
      </c>
      <c r="X17" s="246">
        <v>14.728087565111421</v>
      </c>
      <c r="Y17" s="250">
        <v>241.56553377952599</v>
      </c>
      <c r="Z17" s="250">
        <v>108.56603706830373</v>
      </c>
      <c r="AA17" s="251">
        <v>0</v>
      </c>
      <c r="AB17" s="252">
        <v>0</v>
      </c>
      <c r="AC17" s="253">
        <v>0</v>
      </c>
      <c r="AD17" s="253">
        <v>19.517546310689738</v>
      </c>
      <c r="AE17" s="252">
        <v>13.348836742067084</v>
      </c>
      <c r="AF17" s="252">
        <v>5.9993256566174091</v>
      </c>
      <c r="AG17" s="252">
        <v>0.68992788395112337</v>
      </c>
      <c r="AH17" s="253">
        <v>448.0130290349324</v>
      </c>
      <c r="AI17" s="253">
        <v>1177.6521945953371</v>
      </c>
      <c r="AJ17" s="253">
        <v>3012.3332536061603</v>
      </c>
      <c r="AK17" s="253">
        <v>956.33761571248374</v>
      </c>
      <c r="AL17" s="253">
        <v>5496.9322097778349</v>
      </c>
      <c r="AM17" s="253">
        <v>2383.3555552164712</v>
      </c>
      <c r="AN17" s="253">
        <v>543.07891407012949</v>
      </c>
      <c r="AO17" s="253">
        <v>2873.150993347168</v>
      </c>
      <c r="AP17" s="253">
        <v>442.80593096415208</v>
      </c>
      <c r="AQ17" s="253">
        <v>820.74764830271397</v>
      </c>
    </row>
    <row r="18" spans="1:43">
      <c r="A18" s="232">
        <f t="shared" si="0"/>
        <v>40797</v>
      </c>
      <c r="B18" s="243"/>
      <c r="C18" s="244">
        <v>157.48120234012592</v>
      </c>
      <c r="D18" s="244">
        <v>1400.3720401763896</v>
      </c>
      <c r="E18" s="244">
        <v>17.946152975161844</v>
      </c>
      <c r="F18" s="244">
        <v>0</v>
      </c>
      <c r="G18" s="244">
        <v>4111.6653844197535</v>
      </c>
      <c r="H18" s="245">
        <v>64.047524944941273</v>
      </c>
      <c r="I18" s="243">
        <v>516.2274541854847</v>
      </c>
      <c r="J18" s="244">
        <v>1187.9616552988666</v>
      </c>
      <c r="K18" s="244">
        <v>21.900669950246794</v>
      </c>
      <c r="L18" s="234">
        <v>0</v>
      </c>
      <c r="M18" s="244">
        <v>0</v>
      </c>
      <c r="N18" s="245">
        <v>160.48905524561783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286.28892156448063</v>
      </c>
      <c r="V18" s="246">
        <v>122.63563870688789</v>
      </c>
      <c r="W18" s="246">
        <v>34.666504655647685</v>
      </c>
      <c r="X18" s="246">
        <v>14.849854884179052</v>
      </c>
      <c r="Y18" s="250">
        <v>252.37646594363704</v>
      </c>
      <c r="Z18" s="250">
        <v>108.10879068058576</v>
      </c>
      <c r="AA18" s="251">
        <v>0</v>
      </c>
      <c r="AB18" s="252">
        <v>0</v>
      </c>
      <c r="AC18" s="253">
        <v>0</v>
      </c>
      <c r="AD18" s="253">
        <v>20.022514762481091</v>
      </c>
      <c r="AE18" s="252">
        <v>13.864711943771203</v>
      </c>
      <c r="AF18" s="252">
        <v>5.9391323821394852</v>
      </c>
      <c r="AG18" s="252">
        <v>0.70010204663299014</v>
      </c>
      <c r="AH18" s="253">
        <v>172.57501064936321</v>
      </c>
      <c r="AI18" s="253">
        <v>919.08291066487629</v>
      </c>
      <c r="AJ18" s="253">
        <v>3081.9711251576741</v>
      </c>
      <c r="AK18" s="253">
        <v>961.31011679967241</v>
      </c>
      <c r="AL18" s="253">
        <v>5513.3948745727548</v>
      </c>
      <c r="AM18" s="253">
        <v>2464.4302552541094</v>
      </c>
      <c r="AN18" s="253">
        <v>551.56971205075581</v>
      </c>
      <c r="AO18" s="253">
        <v>3015.3723372141521</v>
      </c>
      <c r="AP18" s="253">
        <v>443.17114048004146</v>
      </c>
      <c r="AQ18" s="253">
        <v>869.31067708333308</v>
      </c>
    </row>
    <row r="19" spans="1:43">
      <c r="A19" s="232">
        <f t="shared" si="0"/>
        <v>40798</v>
      </c>
      <c r="B19" s="243"/>
      <c r="C19" s="244">
        <v>155.60672158400229</v>
      </c>
      <c r="D19" s="244">
        <v>1415.2176626841228</v>
      </c>
      <c r="E19" s="244">
        <v>18.155312644938618</v>
      </c>
      <c r="F19" s="244">
        <v>0</v>
      </c>
      <c r="G19" s="244">
        <v>4079.4094464619843</v>
      </c>
      <c r="H19" s="245">
        <v>63.316195825735619</v>
      </c>
      <c r="I19" s="243">
        <v>538.33461426099086</v>
      </c>
      <c r="J19" s="244">
        <v>1230.2880570729585</v>
      </c>
      <c r="K19" s="244">
        <v>22.690149132410692</v>
      </c>
      <c r="L19" s="234">
        <v>0</v>
      </c>
      <c r="M19" s="244">
        <v>0</v>
      </c>
      <c r="N19" s="245">
        <v>142.69550459533932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303.19894481050449</v>
      </c>
      <c r="V19" s="246">
        <v>123.74811306183976</v>
      </c>
      <c r="W19" s="246">
        <v>37.418061811259136</v>
      </c>
      <c r="X19" s="246">
        <v>15.27186892575947</v>
      </c>
      <c r="Y19" s="250">
        <v>270.12687625315652</v>
      </c>
      <c r="Z19" s="250">
        <v>110.2500249283819</v>
      </c>
      <c r="AA19" s="251">
        <v>0</v>
      </c>
      <c r="AB19" s="252">
        <v>0</v>
      </c>
      <c r="AC19" s="253">
        <v>0</v>
      </c>
      <c r="AD19" s="253">
        <v>21.042834224965809</v>
      </c>
      <c r="AE19" s="252">
        <v>14.700950182388372</v>
      </c>
      <c r="AF19" s="252">
        <v>6.0000698433289639</v>
      </c>
      <c r="AG19" s="252">
        <v>0.71015583599866372</v>
      </c>
      <c r="AH19" s="253">
        <v>167.43936573664348</v>
      </c>
      <c r="AI19" s="253">
        <v>892.08698466618853</v>
      </c>
      <c r="AJ19" s="253">
        <v>3095.6226000467932</v>
      </c>
      <c r="AK19" s="253">
        <v>968.67136885325112</v>
      </c>
      <c r="AL19" s="253">
        <v>5583.3117619832356</v>
      </c>
      <c r="AM19" s="253">
        <v>2372.9818354288741</v>
      </c>
      <c r="AN19" s="253">
        <v>559.89416108131411</v>
      </c>
      <c r="AO19" s="253">
        <v>3088.6374120076498</v>
      </c>
      <c r="AP19" s="253">
        <v>445.86244665781652</v>
      </c>
      <c r="AQ19" s="253">
        <v>926.3433703104655</v>
      </c>
    </row>
    <row r="20" spans="1:43">
      <c r="A20" s="232">
        <f t="shared" si="0"/>
        <v>40799</v>
      </c>
      <c r="B20" s="243"/>
      <c r="C20" s="244">
        <v>151.62422393957766</v>
      </c>
      <c r="D20" s="244">
        <v>1403.5375972112024</v>
      </c>
      <c r="E20" s="244">
        <v>18.125063762565492</v>
      </c>
      <c r="F20" s="244">
        <v>0</v>
      </c>
      <c r="G20" s="244">
        <v>4081.2280474344825</v>
      </c>
      <c r="H20" s="245">
        <v>63.490520584583223</v>
      </c>
      <c r="I20" s="243">
        <v>539.52837336857976</v>
      </c>
      <c r="J20" s="244">
        <v>1253.2463529586782</v>
      </c>
      <c r="K20" s="244">
        <v>23.141998156905188</v>
      </c>
      <c r="L20" s="234">
        <v>0</v>
      </c>
      <c r="M20" s="244">
        <v>0</v>
      </c>
      <c r="N20" s="245">
        <v>137.12868471791336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309.93721092010293</v>
      </c>
      <c r="V20" s="246">
        <v>123.98620691301223</v>
      </c>
      <c r="W20" s="246">
        <v>37.242306137025125</v>
      </c>
      <c r="X20" s="246">
        <v>14.898282980978594</v>
      </c>
      <c r="Y20" s="250">
        <v>272.51288399608853</v>
      </c>
      <c r="Z20" s="250">
        <v>109.01510896770225</v>
      </c>
      <c r="AA20" s="251">
        <v>0</v>
      </c>
      <c r="AB20" s="252">
        <v>0</v>
      </c>
      <c r="AC20" s="253">
        <v>0</v>
      </c>
      <c r="AD20" s="253">
        <v>21.359620381726156</v>
      </c>
      <c r="AE20" s="252">
        <v>15.000064275864045</v>
      </c>
      <c r="AF20" s="252">
        <v>6.0005736887630174</v>
      </c>
      <c r="AG20" s="252">
        <v>0.71426707613024765</v>
      </c>
      <c r="AH20" s="253">
        <v>437.91060526371001</v>
      </c>
      <c r="AI20" s="253">
        <v>1176.6374592145285</v>
      </c>
      <c r="AJ20" s="253">
        <v>3002.2480892181393</v>
      </c>
      <c r="AK20" s="253">
        <v>961.0601869583129</v>
      </c>
      <c r="AL20" s="253">
        <v>5520.6466776529951</v>
      </c>
      <c r="AM20" s="253">
        <v>2377.3283601125077</v>
      </c>
      <c r="AN20" s="253">
        <v>520.31667839686065</v>
      </c>
      <c r="AO20" s="253">
        <v>3169.2620404561362</v>
      </c>
      <c r="AP20" s="253">
        <v>409.73449632326759</v>
      </c>
      <c r="AQ20" s="253">
        <v>898.08285935719812</v>
      </c>
    </row>
    <row r="21" spans="1:43">
      <c r="A21" s="232">
        <f t="shared" si="0"/>
        <v>40800</v>
      </c>
      <c r="B21" s="243"/>
      <c r="C21" s="244">
        <v>149.65821589628877</v>
      </c>
      <c r="D21" s="244">
        <v>1397.4290669123336</v>
      </c>
      <c r="E21" s="244">
        <v>18.110804490745092</v>
      </c>
      <c r="F21" s="244">
        <v>0</v>
      </c>
      <c r="G21" s="244">
        <v>4234.3644559224376</v>
      </c>
      <c r="H21" s="245">
        <v>63.143422893683137</v>
      </c>
      <c r="I21" s="243">
        <v>496.38606266975495</v>
      </c>
      <c r="J21" s="244">
        <v>1229.9967321395886</v>
      </c>
      <c r="K21" s="244">
        <v>22.725119199355422</v>
      </c>
      <c r="L21" s="234">
        <v>0</v>
      </c>
      <c r="M21" s="244">
        <v>0</v>
      </c>
      <c r="N21" s="245">
        <v>134.9425259401402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300.08221276917601</v>
      </c>
      <c r="V21" s="246">
        <v>123.97596333505292</v>
      </c>
      <c r="W21" s="246">
        <v>36.424113079591521</v>
      </c>
      <c r="X21" s="246">
        <v>15.048257829066193</v>
      </c>
      <c r="Y21" s="250">
        <v>264.28414638146091</v>
      </c>
      <c r="Z21" s="250">
        <v>109.18635043199507</v>
      </c>
      <c r="AA21" s="251">
        <v>0</v>
      </c>
      <c r="AB21" s="252">
        <v>0</v>
      </c>
      <c r="AC21" s="253">
        <v>0</v>
      </c>
      <c r="AD21" s="253">
        <v>20.89607278307281</v>
      </c>
      <c r="AE21" s="252">
        <v>14.521345616225899</v>
      </c>
      <c r="AF21" s="252">
        <v>5.9993486287627711</v>
      </c>
      <c r="AG21" s="252">
        <v>0.70764397358399012</v>
      </c>
      <c r="AH21" s="253">
        <v>198.09171063105265</v>
      </c>
      <c r="AI21" s="253">
        <v>915.23034416834514</v>
      </c>
      <c r="AJ21" s="253">
        <v>2986.2348486582437</v>
      </c>
      <c r="AK21" s="253">
        <v>975.91026261647528</v>
      </c>
      <c r="AL21" s="253">
        <v>5703.6627998352051</v>
      </c>
      <c r="AM21" s="253">
        <v>2395.1352982838944</v>
      </c>
      <c r="AN21" s="253">
        <v>496.64193924268096</v>
      </c>
      <c r="AO21" s="253">
        <v>3211.3065785725912</v>
      </c>
      <c r="AP21" s="253">
        <v>402.83154582977295</v>
      </c>
      <c r="AQ21" s="253">
        <v>683.47438246409092</v>
      </c>
    </row>
    <row r="22" spans="1:43">
      <c r="A22" s="232">
        <f t="shared" si="0"/>
        <v>40801</v>
      </c>
      <c r="B22" s="243"/>
      <c r="C22" s="244">
        <v>141.25610591570543</v>
      </c>
      <c r="D22" s="244">
        <v>1275.6394610404982</v>
      </c>
      <c r="E22" s="244">
        <v>16.419698440035177</v>
      </c>
      <c r="F22" s="244">
        <v>0</v>
      </c>
      <c r="G22" s="244">
        <v>4116.2435253143212</v>
      </c>
      <c r="H22" s="245">
        <v>56.595284559329336</v>
      </c>
      <c r="I22" s="243">
        <v>386.0061204751326</v>
      </c>
      <c r="J22" s="244">
        <v>976.55753351847443</v>
      </c>
      <c r="K22" s="244">
        <v>17.686410768330102</v>
      </c>
      <c r="L22" s="234">
        <v>0</v>
      </c>
      <c r="M22" s="244">
        <v>0</v>
      </c>
      <c r="N22" s="245">
        <v>136.64253194381791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235.67218012748705</v>
      </c>
      <c r="V22" s="246">
        <v>88.259012964642309</v>
      </c>
      <c r="W22" s="246">
        <v>29.020650733930843</v>
      </c>
      <c r="X22" s="246">
        <v>10.868206794636528</v>
      </c>
      <c r="Y22" s="250">
        <v>211.25922989902941</v>
      </c>
      <c r="Z22" s="250">
        <v>79.116385737478524</v>
      </c>
      <c r="AA22" s="251">
        <v>0</v>
      </c>
      <c r="AB22" s="252">
        <v>0</v>
      </c>
      <c r="AC22" s="253">
        <v>0</v>
      </c>
      <c r="AD22" s="253">
        <v>15.984658172892198</v>
      </c>
      <c r="AE22" s="252">
        <v>11.335488071856126</v>
      </c>
      <c r="AF22" s="252">
        <v>4.2451297737106648</v>
      </c>
      <c r="AG22" s="252">
        <v>0.72753777701321731</v>
      </c>
      <c r="AH22" s="253">
        <v>454.9949138482412</v>
      </c>
      <c r="AI22" s="253">
        <v>1181.0012347857157</v>
      </c>
      <c r="AJ22" s="253">
        <v>2927.3464569091793</v>
      </c>
      <c r="AK22" s="253">
        <v>985.46720848083487</v>
      </c>
      <c r="AL22" s="253">
        <v>5534.8900164286297</v>
      </c>
      <c r="AM22" s="253">
        <v>2308.0657018025713</v>
      </c>
      <c r="AN22" s="253">
        <v>557.15791187286379</v>
      </c>
      <c r="AO22" s="253">
        <v>2896.8555456797285</v>
      </c>
      <c r="AP22" s="253">
        <v>415.87667606671653</v>
      </c>
      <c r="AQ22" s="253">
        <v>745.52919956843061</v>
      </c>
    </row>
    <row r="23" spans="1:43">
      <c r="A23" s="232">
        <f t="shared" si="0"/>
        <v>40802</v>
      </c>
      <c r="B23" s="243"/>
      <c r="C23" s="244">
        <v>76.645232899983753</v>
      </c>
      <c r="D23" s="244">
        <v>712.83788795471105</v>
      </c>
      <c r="E23" s="244">
        <v>9.7267950624227293</v>
      </c>
      <c r="F23" s="244">
        <v>0</v>
      </c>
      <c r="G23" s="244">
        <v>2149.3482747395847</v>
      </c>
      <c r="H23" s="245">
        <v>29.602235123515154</v>
      </c>
      <c r="I23" s="243">
        <v>370.47225003242403</v>
      </c>
      <c r="J23" s="244">
        <v>861.29213247299219</v>
      </c>
      <c r="K23" s="244">
        <v>15.473796489338087</v>
      </c>
      <c r="L23" s="234">
        <v>0</v>
      </c>
      <c r="M23" s="244">
        <v>0</v>
      </c>
      <c r="N23" s="245">
        <v>133.71159023841221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200.56259531708002</v>
      </c>
      <c r="V23" s="246">
        <v>48.337270257224027</v>
      </c>
      <c r="W23" s="246">
        <v>24.339457274596061</v>
      </c>
      <c r="X23" s="246">
        <v>5.866013661900972</v>
      </c>
      <c r="Y23" s="250">
        <v>187.15732625492038</v>
      </c>
      <c r="Z23" s="250">
        <v>45.106487804972659</v>
      </c>
      <c r="AA23" s="251">
        <v>0</v>
      </c>
      <c r="AB23" s="252">
        <v>0</v>
      </c>
      <c r="AC23" s="253">
        <v>0</v>
      </c>
      <c r="AD23" s="253">
        <v>12.056808371014068</v>
      </c>
      <c r="AE23" s="252">
        <v>9.6610523083562541</v>
      </c>
      <c r="AF23" s="252">
        <v>2.2411723810376003</v>
      </c>
      <c r="AG23" s="252">
        <v>0.80579631834797472</v>
      </c>
      <c r="AH23" s="253">
        <v>172.725346827507</v>
      </c>
      <c r="AI23" s="253">
        <v>891.81972923278795</v>
      </c>
      <c r="AJ23" s="253">
        <v>2859.959934488932</v>
      </c>
      <c r="AK23" s="253">
        <v>994.80491905212421</v>
      </c>
      <c r="AL23" s="253">
        <v>3834.6590449015298</v>
      </c>
      <c r="AM23" s="253">
        <v>2041.2658454259235</v>
      </c>
      <c r="AN23" s="253">
        <v>556.12318867047634</v>
      </c>
      <c r="AO23" s="253">
        <v>1827.1740790049234</v>
      </c>
      <c r="AP23" s="253">
        <v>369.81348032951354</v>
      </c>
      <c r="AQ23" s="253">
        <v>781.13993889490769</v>
      </c>
    </row>
    <row r="24" spans="1:43">
      <c r="A24" s="232">
        <f t="shared" si="0"/>
        <v>40803</v>
      </c>
      <c r="B24" s="243"/>
      <c r="C24" s="244">
        <v>77.478832217057672</v>
      </c>
      <c r="D24" s="244">
        <v>707.20053561528596</v>
      </c>
      <c r="E24" s="244">
        <v>9.9325884059071985</v>
      </c>
      <c r="F24" s="244">
        <v>0</v>
      </c>
      <c r="G24" s="244">
        <v>2120.8306681950871</v>
      </c>
      <c r="H24" s="245">
        <v>30.863474858800558</v>
      </c>
      <c r="I24" s="243">
        <v>488.91522579193065</v>
      </c>
      <c r="J24" s="244">
        <v>1179.4448892593366</v>
      </c>
      <c r="K24" s="244">
        <v>21.491799148917231</v>
      </c>
      <c r="L24" s="234">
        <v>0</v>
      </c>
      <c r="M24" s="244">
        <v>0</v>
      </c>
      <c r="N24" s="245">
        <v>135.33510537693891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291.17329060589537</v>
      </c>
      <c r="V24" s="246">
        <v>62.403098749236491</v>
      </c>
      <c r="W24" s="246">
        <v>34.930040239740372</v>
      </c>
      <c r="X24" s="246">
        <v>7.4860669598490617</v>
      </c>
      <c r="Y24" s="250">
        <v>257.52421778347411</v>
      </c>
      <c r="Z24" s="250">
        <v>55.191563619113907</v>
      </c>
      <c r="AA24" s="251">
        <v>0</v>
      </c>
      <c r="AB24" s="252">
        <v>0</v>
      </c>
      <c r="AC24" s="253">
        <v>0</v>
      </c>
      <c r="AD24" s="253">
        <v>17.189554821120364</v>
      </c>
      <c r="AE24" s="252">
        <v>13.999931546930355</v>
      </c>
      <c r="AF24" s="252">
        <v>3.000409512107761</v>
      </c>
      <c r="AG24" s="252">
        <v>0.82350886363467313</v>
      </c>
      <c r="AH24" s="253">
        <v>438.61049811045331</v>
      </c>
      <c r="AI24" s="253">
        <v>1155.697368208567</v>
      </c>
      <c r="AJ24" s="253">
        <v>2850.8702962239581</v>
      </c>
      <c r="AK24" s="253">
        <v>988.03762569427488</v>
      </c>
      <c r="AL24" s="253">
        <v>3806.2226160685227</v>
      </c>
      <c r="AM24" s="253">
        <v>2038.2178076426187</v>
      </c>
      <c r="AN24" s="253">
        <v>534.06928900082914</v>
      </c>
      <c r="AO24" s="253">
        <v>2379.78501663208</v>
      </c>
      <c r="AP24" s="253">
        <v>380.50920615196225</v>
      </c>
      <c r="AQ24" s="253">
        <v>759.44874591827386</v>
      </c>
    </row>
    <row r="25" spans="1:43">
      <c r="A25" s="232">
        <f t="shared" si="0"/>
        <v>40804</v>
      </c>
      <c r="B25" s="243"/>
      <c r="C25" s="244">
        <v>77.005118759473163</v>
      </c>
      <c r="D25" s="244">
        <v>699.67483434677092</v>
      </c>
      <c r="E25" s="244">
        <v>9.8751528561114661</v>
      </c>
      <c r="F25" s="244">
        <v>0</v>
      </c>
      <c r="G25" s="244">
        <v>2106.079667790731</v>
      </c>
      <c r="H25" s="245">
        <v>30.818422101934758</v>
      </c>
      <c r="I25" s="243">
        <v>467.09759882291132</v>
      </c>
      <c r="J25" s="244">
        <v>1150.9169889450072</v>
      </c>
      <c r="K25" s="244">
        <v>20.901351858178831</v>
      </c>
      <c r="L25" s="234">
        <v>0</v>
      </c>
      <c r="M25" s="244">
        <v>0</v>
      </c>
      <c r="N25" s="245">
        <v>133.55761618961898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287.62049290739083</v>
      </c>
      <c r="V25" s="246">
        <v>63.319944833353198</v>
      </c>
      <c r="W25" s="246">
        <v>35.762614419602933</v>
      </c>
      <c r="X25" s="246">
        <v>7.8731760357384122</v>
      </c>
      <c r="Y25" s="250">
        <v>240.7908092091343</v>
      </c>
      <c r="Z25" s="250">
        <v>53.010342209552164</v>
      </c>
      <c r="AA25" s="251">
        <v>0</v>
      </c>
      <c r="AB25" s="252">
        <v>0</v>
      </c>
      <c r="AC25" s="253">
        <v>0</v>
      </c>
      <c r="AD25" s="253">
        <v>16.82771908773314</v>
      </c>
      <c r="AE25" s="252">
        <v>13.625584317524879</v>
      </c>
      <c r="AF25" s="252">
        <v>2.9996862830830215</v>
      </c>
      <c r="AG25" s="252">
        <v>0.81957067916997761</v>
      </c>
      <c r="AH25" s="253">
        <v>173.69038496017455</v>
      </c>
      <c r="AI25" s="253">
        <v>901.63190917968745</v>
      </c>
      <c r="AJ25" s="253">
        <v>2869.1614999135345</v>
      </c>
      <c r="AK25" s="253">
        <v>985.69717686971023</v>
      </c>
      <c r="AL25" s="253">
        <v>3814.8825556437178</v>
      </c>
      <c r="AM25" s="253">
        <v>2063.0873931884762</v>
      </c>
      <c r="AN25" s="253">
        <v>552.8247983455658</v>
      </c>
      <c r="AO25" s="253">
        <v>2464.5136196136473</v>
      </c>
      <c r="AP25" s="253">
        <v>379.7311036745707</v>
      </c>
      <c r="AQ25" s="253">
        <v>647.62357025146491</v>
      </c>
    </row>
    <row r="26" spans="1:43">
      <c r="A26" s="232">
        <f t="shared" si="0"/>
        <v>40805</v>
      </c>
      <c r="B26" s="243"/>
      <c r="C26" s="244">
        <v>91.51768116553626</v>
      </c>
      <c r="D26" s="244">
        <v>869.96261479059604</v>
      </c>
      <c r="E26" s="244">
        <v>12.159369449814164</v>
      </c>
      <c r="F26" s="244">
        <v>0</v>
      </c>
      <c r="G26" s="244">
        <v>2573.0768122355089</v>
      </c>
      <c r="H26" s="245">
        <v>36.459570789337128</v>
      </c>
      <c r="I26" s="243">
        <v>392.38176862398853</v>
      </c>
      <c r="J26" s="244">
        <v>1024.5825676600157</v>
      </c>
      <c r="K26" s="244">
        <v>17.97164026002087</v>
      </c>
      <c r="L26" s="234">
        <v>0</v>
      </c>
      <c r="M26" s="244">
        <v>0</v>
      </c>
      <c r="N26" s="245">
        <v>104.58595627049581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243.68329752370866</v>
      </c>
      <c r="V26" s="246">
        <v>76.607620084767106</v>
      </c>
      <c r="W26" s="246">
        <v>29.134011208660191</v>
      </c>
      <c r="X26" s="246">
        <v>9.1589669250976868</v>
      </c>
      <c r="Y26" s="250">
        <v>207.66206748265057</v>
      </c>
      <c r="Z26" s="250">
        <v>65.28349268656946</v>
      </c>
      <c r="AA26" s="251">
        <v>0</v>
      </c>
      <c r="AB26" s="252">
        <v>0</v>
      </c>
      <c r="AC26" s="253">
        <v>0</v>
      </c>
      <c r="AD26" s="253">
        <v>15.241449552112165</v>
      </c>
      <c r="AE26" s="252">
        <v>11.480748918367242</v>
      </c>
      <c r="AF26" s="252">
        <v>3.6092455263221641</v>
      </c>
      <c r="AG26" s="252">
        <v>0.76081863120947935</v>
      </c>
      <c r="AH26" s="253">
        <v>164.81770861148834</v>
      </c>
      <c r="AI26" s="253">
        <v>892.64396807352705</v>
      </c>
      <c r="AJ26" s="253">
        <v>2867.4155316670735</v>
      </c>
      <c r="AK26" s="253">
        <v>969.67210133870424</v>
      </c>
      <c r="AL26" s="253">
        <v>4033.5321184794111</v>
      </c>
      <c r="AM26" s="253">
        <v>2138.4836257934567</v>
      </c>
      <c r="AN26" s="253">
        <v>546.21574055353801</v>
      </c>
      <c r="AO26" s="253">
        <v>2234.5207443237305</v>
      </c>
      <c r="AP26" s="253">
        <v>422.79872779846193</v>
      </c>
      <c r="AQ26" s="253">
        <v>851.62621870040891</v>
      </c>
    </row>
    <row r="27" spans="1:43">
      <c r="A27" s="232">
        <v>40806</v>
      </c>
      <c r="B27" s="243"/>
      <c r="C27" s="244">
        <v>111.50039946238185</v>
      </c>
      <c r="D27" s="244">
        <v>943.23885243733639</v>
      </c>
      <c r="E27" s="244">
        <v>13.34648170967907</v>
      </c>
      <c r="F27" s="244">
        <v>0</v>
      </c>
      <c r="G27" s="244">
        <v>2748.2547434489006</v>
      </c>
      <c r="H27" s="245">
        <v>38.541513468821925</v>
      </c>
      <c r="I27" s="243">
        <v>441.49535942077722</v>
      </c>
      <c r="J27" s="244">
        <v>1068.3246188481628</v>
      </c>
      <c r="K27" s="244">
        <v>19.651860160628907</v>
      </c>
      <c r="L27" s="234">
        <v>0</v>
      </c>
      <c r="M27" s="244">
        <v>0</v>
      </c>
      <c r="N27" s="245">
        <v>84.502614990869915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272.75882370148946</v>
      </c>
      <c r="V27" s="246">
        <v>83.931991058506625</v>
      </c>
      <c r="W27" s="246">
        <v>32.557987080308521</v>
      </c>
      <c r="X27" s="246">
        <v>10.018582143095328</v>
      </c>
      <c r="Y27" s="246">
        <v>232.54444957466768</v>
      </c>
      <c r="Z27" s="246">
        <v>71.557423505268517</v>
      </c>
      <c r="AA27" s="256">
        <v>0</v>
      </c>
      <c r="AB27" s="253">
        <v>0</v>
      </c>
      <c r="AC27" s="253">
        <v>0</v>
      </c>
      <c r="AD27" s="253">
        <v>17.184967972172618</v>
      </c>
      <c r="AE27" s="253">
        <v>12.999419393813207</v>
      </c>
      <c r="AF27" s="253">
        <v>4.0001167973996852</v>
      </c>
      <c r="AG27" s="253">
        <v>0.76469259205628459</v>
      </c>
      <c r="AH27" s="253">
        <v>441.96227180163066</v>
      </c>
      <c r="AI27" s="253">
        <v>1170.6943269729616</v>
      </c>
      <c r="AJ27" s="253">
        <v>2874.5808699289955</v>
      </c>
      <c r="AK27" s="253">
        <v>952.1278853734334</v>
      </c>
      <c r="AL27" s="253">
        <v>4162.4951611836759</v>
      </c>
      <c r="AM27" s="253">
        <v>2288.9277016957603</v>
      </c>
      <c r="AN27" s="253">
        <v>533.56839887301135</v>
      </c>
      <c r="AO27" s="253">
        <v>2587.8336355845131</v>
      </c>
      <c r="AP27" s="253">
        <v>463.19237902959185</v>
      </c>
      <c r="AQ27" s="253">
        <v>768.15955699284871</v>
      </c>
    </row>
    <row r="28" spans="1:43">
      <c r="A28" s="232">
        <f t="shared" si="0"/>
        <v>40807</v>
      </c>
      <c r="B28" s="243"/>
      <c r="C28" s="244">
        <v>111.15378458499886</v>
      </c>
      <c r="D28" s="244">
        <v>931.83669808705599</v>
      </c>
      <c r="E28" s="244">
        <v>13.276806032160888</v>
      </c>
      <c r="F28" s="244">
        <v>0</v>
      </c>
      <c r="G28" s="244">
        <v>2760.9047591527374</v>
      </c>
      <c r="H28" s="245">
        <v>40.710741313298584</v>
      </c>
      <c r="I28" s="243">
        <v>440.46392078399697</v>
      </c>
      <c r="J28" s="244">
        <v>1036.9236888249698</v>
      </c>
      <c r="K28" s="244">
        <v>19.60703050692873</v>
      </c>
      <c r="L28" s="234">
        <v>0</v>
      </c>
      <c r="M28" s="244">
        <v>0</v>
      </c>
      <c r="N28" s="245">
        <v>87.064286957184351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273.50254321486932</v>
      </c>
      <c r="V28" s="246">
        <v>84.152597301624738</v>
      </c>
      <c r="W28" s="246">
        <v>32.938472780143876</v>
      </c>
      <c r="X28" s="246">
        <v>10.134670058334141</v>
      </c>
      <c r="Y28" s="250">
        <v>229.14496763285007</v>
      </c>
      <c r="Z28" s="250">
        <v>70.504441963275738</v>
      </c>
      <c r="AA28" s="251">
        <v>0</v>
      </c>
      <c r="AB28" s="252">
        <v>0</v>
      </c>
      <c r="AC28" s="253">
        <v>0</v>
      </c>
      <c r="AD28" s="253">
        <v>17.179291523827427</v>
      </c>
      <c r="AE28" s="252">
        <v>13.000595631961373</v>
      </c>
      <c r="AF28" s="252">
        <v>4.0000867123133519</v>
      </c>
      <c r="AG28" s="252">
        <v>0.76471022566570979</v>
      </c>
      <c r="AH28" s="253">
        <v>175.68134852250418</v>
      </c>
      <c r="AI28" s="253">
        <v>908.79825766881311</v>
      </c>
      <c r="AJ28" s="253">
        <v>2897.5075131734211</v>
      </c>
      <c r="AK28" s="253">
        <v>964.26262747446708</v>
      </c>
      <c r="AL28" s="253">
        <v>4183.8984868367515</v>
      </c>
      <c r="AM28" s="253">
        <v>2291.0255100250242</v>
      </c>
      <c r="AN28" s="253">
        <v>542.85971884727485</v>
      </c>
      <c r="AO28" s="253">
        <v>2639.6344034830727</v>
      </c>
      <c r="AP28" s="253">
        <v>437.1274286588033</v>
      </c>
      <c r="AQ28" s="253">
        <v>747.83700666427615</v>
      </c>
    </row>
    <row r="29" spans="1:43">
      <c r="A29" s="232">
        <f t="shared" si="0"/>
        <v>40808</v>
      </c>
      <c r="B29" s="243"/>
      <c r="C29" s="244">
        <v>129.55488792260496</v>
      </c>
      <c r="D29" s="244">
        <v>1056.9294775644914</v>
      </c>
      <c r="E29" s="244">
        <v>15.605032535890745</v>
      </c>
      <c r="F29" s="244">
        <v>0</v>
      </c>
      <c r="G29" s="244">
        <v>3239.1758513768555</v>
      </c>
      <c r="H29" s="245">
        <v>49.667498125632655</v>
      </c>
      <c r="I29" s="243">
        <v>445.13118081092983</v>
      </c>
      <c r="J29" s="244">
        <v>1019.5776668548568</v>
      </c>
      <c r="K29" s="244">
        <v>19.632456837097784</v>
      </c>
      <c r="L29" s="234">
        <v>0</v>
      </c>
      <c r="M29" s="244">
        <v>0</v>
      </c>
      <c r="N29" s="245">
        <v>87.219101890921621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273.20835164522271</v>
      </c>
      <c r="V29" s="246">
        <v>98.153484872960405</v>
      </c>
      <c r="W29" s="246">
        <v>33.799484953938126</v>
      </c>
      <c r="X29" s="246">
        <v>12.142883682590487</v>
      </c>
      <c r="Y29" s="250">
        <v>221.82411513406046</v>
      </c>
      <c r="Z29" s="250">
        <v>79.693061351001887</v>
      </c>
      <c r="AA29" s="251">
        <v>0</v>
      </c>
      <c r="AB29" s="252">
        <v>0</v>
      </c>
      <c r="AC29" s="253">
        <v>0</v>
      </c>
      <c r="AD29" s="253">
        <v>17.84079092873468</v>
      </c>
      <c r="AE29" s="252">
        <v>12.998116503559345</v>
      </c>
      <c r="AF29" s="252">
        <v>4.6697343764432393</v>
      </c>
      <c r="AG29" s="252">
        <v>0.73569312939307785</v>
      </c>
      <c r="AH29" s="253">
        <v>452.5816589911779</v>
      </c>
      <c r="AI29" s="253">
        <v>1187.0631430308024</v>
      </c>
      <c r="AJ29" s="253">
        <v>2948.0954938252767</v>
      </c>
      <c r="AK29" s="253">
        <v>968.61068585713713</v>
      </c>
      <c r="AL29" s="253">
        <v>4522.8031870524073</v>
      </c>
      <c r="AM29" s="253">
        <v>2321.5423975626632</v>
      </c>
      <c r="AN29" s="253">
        <v>571.66179928779593</v>
      </c>
      <c r="AO29" s="253">
        <v>2735.6107704162596</v>
      </c>
      <c r="AP29" s="253">
        <v>471.21287380854295</v>
      </c>
      <c r="AQ29" s="253">
        <v>816.59084262847909</v>
      </c>
    </row>
    <row r="30" spans="1:43">
      <c r="A30" s="232">
        <f t="shared" si="0"/>
        <v>40809</v>
      </c>
      <c r="B30" s="243"/>
      <c r="C30" s="244">
        <v>137.71746550401062</v>
      </c>
      <c r="D30" s="244">
        <v>1121.9018082300809</v>
      </c>
      <c r="E30" s="244">
        <v>16.888483387231787</v>
      </c>
      <c r="F30" s="244">
        <v>0</v>
      </c>
      <c r="G30" s="244">
        <v>3425.9858877817728</v>
      </c>
      <c r="H30" s="245">
        <v>52.706443003813604</v>
      </c>
      <c r="I30" s="243">
        <v>482.47034778594872</v>
      </c>
      <c r="J30" s="244">
        <v>1129.4101899464927</v>
      </c>
      <c r="K30" s="244">
        <v>21.973255214095154</v>
      </c>
      <c r="L30" s="234">
        <v>0</v>
      </c>
      <c r="M30" s="244">
        <v>0</v>
      </c>
      <c r="N30" s="245">
        <v>88.597317701081451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296.60810620974092</v>
      </c>
      <c r="V30" s="246">
        <v>104.38536834792572</v>
      </c>
      <c r="W30" s="246">
        <v>36.235000866204501</v>
      </c>
      <c r="X30" s="246">
        <v>12.752193326205006</v>
      </c>
      <c r="Y30" s="250">
        <v>236.28630393212308</v>
      </c>
      <c r="Z30" s="250">
        <v>83.156300705022929</v>
      </c>
      <c r="AA30" s="251">
        <v>0</v>
      </c>
      <c r="AB30" s="252">
        <v>0</v>
      </c>
      <c r="AC30" s="253">
        <v>0</v>
      </c>
      <c r="AD30" s="253">
        <v>19.211422267225082</v>
      </c>
      <c r="AE30" s="252">
        <v>14.085490290929375</v>
      </c>
      <c r="AF30" s="252">
        <v>4.9571102798521807</v>
      </c>
      <c r="AG30" s="252">
        <v>0.73968312461175945</v>
      </c>
      <c r="AH30" s="253">
        <v>171.81083739598594</v>
      </c>
      <c r="AI30" s="253">
        <v>916.21746009190883</v>
      </c>
      <c r="AJ30" s="253">
        <v>2995.4617207845049</v>
      </c>
      <c r="AK30" s="253">
        <v>975.79103749593094</v>
      </c>
      <c r="AL30" s="253">
        <v>4695.5623453776043</v>
      </c>
      <c r="AM30" s="253">
        <v>2371.0881651560467</v>
      </c>
      <c r="AN30" s="253">
        <v>523.20637952486675</v>
      </c>
      <c r="AO30" s="253">
        <v>2689.5462020874024</v>
      </c>
      <c r="AP30" s="253">
        <v>501.45915892918902</v>
      </c>
      <c r="AQ30" s="253">
        <v>874.95618295669544</v>
      </c>
    </row>
    <row r="31" spans="1:43">
      <c r="A31" s="232">
        <f t="shared" si="0"/>
        <v>40810</v>
      </c>
      <c r="B31" s="243"/>
      <c r="C31" s="244">
        <v>136.80963488419815</v>
      </c>
      <c r="D31" s="244">
        <v>1113.6307617823286</v>
      </c>
      <c r="E31" s="244">
        <v>16.927418269713684</v>
      </c>
      <c r="F31" s="244">
        <v>0</v>
      </c>
      <c r="G31" s="244">
        <v>3311.7974885304752</v>
      </c>
      <c r="H31" s="245">
        <v>53.465415672461305</v>
      </c>
      <c r="I31" s="243">
        <v>502.90918709436949</v>
      </c>
      <c r="J31" s="244">
        <v>1173.2447590510051</v>
      </c>
      <c r="K31" s="244">
        <v>22.798122071226526</v>
      </c>
      <c r="L31" s="234">
        <v>0</v>
      </c>
      <c r="M31" s="244">
        <v>0</v>
      </c>
      <c r="N31" s="245">
        <v>88.140920000274946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316.25175001231116</v>
      </c>
      <c r="V31" s="246">
        <v>105.41129262837482</v>
      </c>
      <c r="W31" s="246">
        <v>37.393165960909535</v>
      </c>
      <c r="X31" s="246">
        <v>12.463684261836898</v>
      </c>
      <c r="Y31" s="250">
        <v>255.7126504752155</v>
      </c>
      <c r="Z31" s="250">
        <v>85.232733184783825</v>
      </c>
      <c r="AA31" s="251">
        <v>0</v>
      </c>
      <c r="AB31" s="252">
        <v>0</v>
      </c>
      <c r="AC31" s="253">
        <v>0</v>
      </c>
      <c r="AD31" s="253">
        <v>20.175286959277276</v>
      </c>
      <c r="AE31" s="252">
        <v>15.000815778005517</v>
      </c>
      <c r="AF31" s="252">
        <v>4.99998934892258</v>
      </c>
      <c r="AG31" s="252">
        <v>0.75001059621390742</v>
      </c>
      <c r="AH31" s="253">
        <v>443.4575701236725</v>
      </c>
      <c r="AI31" s="253">
        <v>1191.2082513809203</v>
      </c>
      <c r="AJ31" s="253">
        <v>2999.6029223124187</v>
      </c>
      <c r="AK31" s="253">
        <v>983.96160354614244</v>
      </c>
      <c r="AL31" s="253">
        <v>4680.7575556437168</v>
      </c>
      <c r="AM31" s="253">
        <v>2360.6878308614091</v>
      </c>
      <c r="AN31" s="253">
        <v>540.3523032188416</v>
      </c>
      <c r="AO31" s="253">
        <v>2851.3111642201739</v>
      </c>
      <c r="AP31" s="253">
        <v>529.79619146982816</v>
      </c>
      <c r="AQ31" s="253">
        <v>871.08244727452575</v>
      </c>
    </row>
    <row r="32" spans="1:43">
      <c r="A32" s="232">
        <f t="shared" si="0"/>
        <v>40811</v>
      </c>
      <c r="B32" s="243"/>
      <c r="C32" s="244">
        <v>133.35285898844432</v>
      </c>
      <c r="D32" s="244">
        <v>1110.8330020268756</v>
      </c>
      <c r="E32" s="244">
        <v>16.36465201228857</v>
      </c>
      <c r="F32" s="244">
        <v>0</v>
      </c>
      <c r="G32" s="244">
        <v>3245.1753252665139</v>
      </c>
      <c r="H32" s="245">
        <v>53.000033696492537</v>
      </c>
      <c r="I32" s="243">
        <v>495.52607695261588</v>
      </c>
      <c r="J32" s="244">
        <v>1197.2049358308293</v>
      </c>
      <c r="K32" s="244">
        <v>22.795507387320235</v>
      </c>
      <c r="L32" s="234">
        <v>0</v>
      </c>
      <c r="M32" s="244">
        <v>0</v>
      </c>
      <c r="N32" s="245">
        <v>87.154115999241668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316.10662685650533</v>
      </c>
      <c r="V32" s="246">
        <v>105.33170400575546</v>
      </c>
      <c r="W32" s="246">
        <v>37.36380491852232</v>
      </c>
      <c r="X32" s="246">
        <v>12.450207954650445</v>
      </c>
      <c r="Y32" s="250">
        <v>255.25140262307605</v>
      </c>
      <c r="Z32" s="250">
        <v>85.053785349310374</v>
      </c>
      <c r="AA32" s="251">
        <v>0</v>
      </c>
      <c r="AB32" s="252">
        <v>0</v>
      </c>
      <c r="AC32" s="253">
        <v>0</v>
      </c>
      <c r="AD32" s="253">
        <v>20.170804744296639</v>
      </c>
      <c r="AE32" s="252">
        <v>15.005292971780666</v>
      </c>
      <c r="AF32" s="252">
        <v>4.9999998213916488</v>
      </c>
      <c r="AG32" s="252">
        <v>0.75006615133880372</v>
      </c>
      <c r="AH32" s="253">
        <v>169.57112398147586</v>
      </c>
      <c r="AI32" s="253">
        <v>923.54525804519642</v>
      </c>
      <c r="AJ32" s="253">
        <v>3013.7693517049156</v>
      </c>
      <c r="AK32" s="253">
        <v>986.73068656921373</v>
      </c>
      <c r="AL32" s="253">
        <v>4683.9765759785969</v>
      </c>
      <c r="AM32" s="253">
        <v>2350.9556812286378</v>
      </c>
      <c r="AN32" s="253">
        <v>564.15473635991418</v>
      </c>
      <c r="AO32" s="253">
        <v>3032.0218766530356</v>
      </c>
      <c r="AP32" s="253">
        <v>501.26828676859543</v>
      </c>
      <c r="AQ32" s="253">
        <v>849.75877199172976</v>
      </c>
    </row>
    <row r="33" spans="1:43">
      <c r="A33" s="232">
        <f t="shared" si="0"/>
        <v>40812</v>
      </c>
      <c r="B33" s="243"/>
      <c r="C33" s="244">
        <v>131.4281553506853</v>
      </c>
      <c r="D33" s="244">
        <v>1092.9554788589453</v>
      </c>
      <c r="E33" s="244">
        <v>16.356562935312581</v>
      </c>
      <c r="F33" s="244">
        <v>0</v>
      </c>
      <c r="G33" s="244">
        <v>3175.8289605458481</v>
      </c>
      <c r="H33" s="245">
        <v>52.731323440869765</v>
      </c>
      <c r="I33" s="243">
        <v>461.65767707824835</v>
      </c>
      <c r="J33" s="244">
        <v>1104.1508968353255</v>
      </c>
      <c r="K33" s="244">
        <v>21.243749637405084</v>
      </c>
      <c r="L33" s="234">
        <v>0</v>
      </c>
      <c r="M33" s="244">
        <v>0</v>
      </c>
      <c r="N33" s="245">
        <v>87.365573899447767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294.46365694598353</v>
      </c>
      <c r="V33" s="246">
        <v>105.21637843320823</v>
      </c>
      <c r="W33" s="246">
        <v>34.942628823001343</v>
      </c>
      <c r="X33" s="246">
        <v>12.48553691081295</v>
      </c>
      <c r="Y33" s="250">
        <v>242.32713175839478</v>
      </c>
      <c r="Z33" s="250">
        <v>86.58719878766675</v>
      </c>
      <c r="AA33" s="251">
        <v>0</v>
      </c>
      <c r="AB33" s="252">
        <v>0</v>
      </c>
      <c r="AC33" s="253">
        <v>0</v>
      </c>
      <c r="AD33" s="253">
        <v>19.177281812826795</v>
      </c>
      <c r="AE33" s="252">
        <v>13.99323503940578</v>
      </c>
      <c r="AF33" s="252">
        <v>4.9999973805970566</v>
      </c>
      <c r="AG33" s="252">
        <v>0.73674847598183024</v>
      </c>
      <c r="AH33" s="253">
        <v>170.48160324891407</v>
      </c>
      <c r="AI33" s="253">
        <v>922.76238371531178</v>
      </c>
      <c r="AJ33" s="253">
        <v>3013.0684418996175</v>
      </c>
      <c r="AK33" s="253">
        <v>980.17671492894499</v>
      </c>
      <c r="AL33" s="253">
        <v>4239.4259146372478</v>
      </c>
      <c r="AM33" s="253">
        <v>2237.2608741760255</v>
      </c>
      <c r="AN33" s="253">
        <v>563.46896171569824</v>
      </c>
      <c r="AO33" s="253">
        <v>2894.7582169850671</v>
      </c>
      <c r="AP33" s="253">
        <v>516.12735703786211</v>
      </c>
      <c r="AQ33" s="253">
        <v>951.18089288075748</v>
      </c>
    </row>
    <row r="34" spans="1:43">
      <c r="A34" s="232">
        <f t="shared" si="0"/>
        <v>40813</v>
      </c>
      <c r="B34" s="243"/>
      <c r="C34" s="244">
        <v>127.93364570736877</v>
      </c>
      <c r="D34" s="244">
        <v>1102.0560985147961</v>
      </c>
      <c r="E34" s="244">
        <v>15.908898919324029</v>
      </c>
      <c r="F34" s="244">
        <v>0</v>
      </c>
      <c r="G34" s="244">
        <v>3136.3392608642534</v>
      </c>
      <c r="H34" s="245">
        <v>49.409211090207251</v>
      </c>
      <c r="I34" s="243">
        <v>543.15620508194093</v>
      </c>
      <c r="J34" s="244">
        <v>1303.1109788894639</v>
      </c>
      <c r="K34" s="244">
        <v>25.329981792966471</v>
      </c>
      <c r="L34" s="234">
        <v>0</v>
      </c>
      <c r="M34" s="244">
        <v>0</v>
      </c>
      <c r="N34" s="245">
        <v>88.563360391557268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346.2854273455456</v>
      </c>
      <c r="V34" s="246">
        <v>90.226103297493069</v>
      </c>
      <c r="W34" s="246">
        <v>41.438432529753655</v>
      </c>
      <c r="X34" s="246">
        <v>10.79695533992226</v>
      </c>
      <c r="Y34" s="250">
        <v>288.75754363781874</v>
      </c>
      <c r="Z34" s="250">
        <v>75.236974769366739</v>
      </c>
      <c r="AA34" s="251">
        <v>0</v>
      </c>
      <c r="AB34" s="252">
        <v>0</v>
      </c>
      <c r="AC34" s="253">
        <v>0</v>
      </c>
      <c r="AD34" s="253">
        <v>20.48262242807283</v>
      </c>
      <c r="AE34" s="252">
        <v>15.999894995242681</v>
      </c>
      <c r="AF34" s="252">
        <v>4.1688389536221671</v>
      </c>
      <c r="AG34" s="252">
        <v>0.79330190163687497</v>
      </c>
      <c r="AH34" s="253">
        <v>454.22555898030595</v>
      </c>
      <c r="AI34" s="253">
        <v>1197.8880016962687</v>
      </c>
      <c r="AJ34" s="253">
        <v>2868.3758440653478</v>
      </c>
      <c r="AK34" s="253">
        <v>1015.1762298583986</v>
      </c>
      <c r="AL34" s="253">
        <v>3489.5500214894623</v>
      </c>
      <c r="AM34" s="253">
        <v>2259.2923007965092</v>
      </c>
      <c r="AN34" s="253">
        <v>571.73354533513384</v>
      </c>
      <c r="AO34" s="253">
        <v>2855.5467102050779</v>
      </c>
      <c r="AP34" s="253">
        <v>445.35458253224687</v>
      </c>
      <c r="AQ34" s="253">
        <v>928.60650517145814</v>
      </c>
    </row>
    <row r="35" spans="1:43">
      <c r="A35" s="232">
        <f t="shared" si="0"/>
        <v>40814</v>
      </c>
      <c r="B35" s="243"/>
      <c r="C35" s="244">
        <v>136.37434150377911</v>
      </c>
      <c r="D35" s="244">
        <v>1125.7785823186227</v>
      </c>
      <c r="E35" s="244">
        <v>15.626819986601745</v>
      </c>
      <c r="F35" s="244">
        <v>0</v>
      </c>
      <c r="G35" s="244">
        <v>3700.7414382934517</v>
      </c>
      <c r="H35" s="245">
        <v>49.31076973875372</v>
      </c>
      <c r="I35" s="243">
        <v>439.08553326924692</v>
      </c>
      <c r="J35" s="244">
        <v>1057.5481695810975</v>
      </c>
      <c r="K35" s="244">
        <v>21.619034194946305</v>
      </c>
      <c r="L35" s="234">
        <v>0</v>
      </c>
      <c r="M35" s="244">
        <v>0</v>
      </c>
      <c r="N35" s="245">
        <v>118.70054651945827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311.8474658532823</v>
      </c>
      <c r="V35" s="246">
        <v>111.37351103982125</v>
      </c>
      <c r="W35" s="246">
        <v>37.470156238504032</v>
      </c>
      <c r="X35" s="246">
        <v>13.382128496937188</v>
      </c>
      <c r="Y35" s="250">
        <v>238.0118580619999</v>
      </c>
      <c r="Z35" s="250">
        <v>85.003789365240749</v>
      </c>
      <c r="AA35" s="251">
        <v>0</v>
      </c>
      <c r="AB35" s="252">
        <v>0</v>
      </c>
      <c r="AC35" s="253">
        <v>0</v>
      </c>
      <c r="AD35" s="253">
        <v>19.309841354688032</v>
      </c>
      <c r="AE35" s="252">
        <v>14.00024389082021</v>
      </c>
      <c r="AF35" s="252">
        <v>5.0000608896018814</v>
      </c>
      <c r="AG35" s="252">
        <v>0.73684312186644807</v>
      </c>
      <c r="AH35" s="253">
        <v>184.12423877716066</v>
      </c>
      <c r="AI35" s="253">
        <v>944.0716026306153</v>
      </c>
      <c r="AJ35" s="253">
        <v>3036.3467196146648</v>
      </c>
      <c r="AK35" s="253">
        <v>994.88566163380949</v>
      </c>
      <c r="AL35" s="253">
        <v>3642.5293922424316</v>
      </c>
      <c r="AM35" s="253">
        <v>2432.5322686513268</v>
      </c>
      <c r="AN35" s="253">
        <v>559.28433500925701</v>
      </c>
      <c r="AO35" s="253">
        <v>2815.613570404053</v>
      </c>
      <c r="AP35" s="253">
        <v>509.02511412302647</v>
      </c>
      <c r="AQ35" s="253">
        <v>942.76502577463782</v>
      </c>
    </row>
    <row r="36" spans="1:43">
      <c r="A36" s="232">
        <f t="shared" si="0"/>
        <v>40815</v>
      </c>
      <c r="B36" s="243"/>
      <c r="C36" s="244">
        <v>132.48366351127589</v>
      </c>
      <c r="D36" s="244">
        <v>1113.2581399917597</v>
      </c>
      <c r="E36" s="244">
        <v>15.598880158364889</v>
      </c>
      <c r="F36" s="244">
        <v>0</v>
      </c>
      <c r="G36" s="244">
        <v>3758.1726416270126</v>
      </c>
      <c r="H36" s="245">
        <v>50.897436950604231</v>
      </c>
      <c r="I36" s="243">
        <v>421.50294702847737</v>
      </c>
      <c r="J36" s="244">
        <v>1043.2137523015322</v>
      </c>
      <c r="K36" s="244">
        <v>21.609477877616868</v>
      </c>
      <c r="L36" s="234">
        <v>0</v>
      </c>
      <c r="M36" s="244">
        <v>0</v>
      </c>
      <c r="N36" s="245">
        <v>118.65367852449415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300.99277636095695</v>
      </c>
      <c r="V36" s="246">
        <v>107.33349200469297</v>
      </c>
      <c r="W36" s="246">
        <v>36.141152449134609</v>
      </c>
      <c r="X36" s="246">
        <v>12.887871078964409</v>
      </c>
      <c r="Y36" s="250">
        <v>225.67624213042018</v>
      </c>
      <c r="Z36" s="250">
        <v>80.475749030290103</v>
      </c>
      <c r="AA36" s="251">
        <v>0</v>
      </c>
      <c r="AB36" s="252">
        <v>0</v>
      </c>
      <c r="AC36" s="253">
        <v>0</v>
      </c>
      <c r="AD36" s="253">
        <v>18.648945406410441</v>
      </c>
      <c r="AE36" s="252">
        <v>13.495565596811026</v>
      </c>
      <c r="AF36" s="252">
        <v>4.8124948365771472</v>
      </c>
      <c r="AG36" s="252">
        <v>0.73713792053031113</v>
      </c>
      <c r="AH36" s="253">
        <v>460.16385895411173</v>
      </c>
      <c r="AI36" s="253">
        <v>1189.2861009597777</v>
      </c>
      <c r="AJ36" s="253">
        <v>3002.7759396870929</v>
      </c>
      <c r="AK36" s="253">
        <v>985.62828534444191</v>
      </c>
      <c r="AL36" s="253">
        <v>3824.5277679443357</v>
      </c>
      <c r="AM36" s="253">
        <v>2439.8866725921639</v>
      </c>
      <c r="AN36" s="253">
        <v>532.38772759437575</v>
      </c>
      <c r="AO36" s="253">
        <v>2951.2830324808756</v>
      </c>
      <c r="AP36" s="253">
        <v>519.9381062825521</v>
      </c>
      <c r="AQ36" s="253">
        <v>768.88655875523875</v>
      </c>
    </row>
    <row r="37" spans="1:43">
      <c r="A37" s="232">
        <f t="shared" si="0"/>
        <v>40816</v>
      </c>
      <c r="B37" s="243"/>
      <c r="C37" s="244">
        <v>126.97401427427941</v>
      </c>
      <c r="D37" s="244">
        <v>1107.2441010793075</v>
      </c>
      <c r="E37" s="244">
        <v>15.487448178231752</v>
      </c>
      <c r="F37" s="244">
        <v>0</v>
      </c>
      <c r="G37" s="244">
        <v>3884.576518885287</v>
      </c>
      <c r="H37" s="245">
        <v>52.84857425292337</v>
      </c>
      <c r="I37" s="243">
        <v>439.23284389178042</v>
      </c>
      <c r="J37" s="244">
        <v>1032.2212093353276</v>
      </c>
      <c r="K37" s="244">
        <v>21.530011713504763</v>
      </c>
      <c r="L37" s="244">
        <v>0</v>
      </c>
      <c r="M37" s="244">
        <v>0</v>
      </c>
      <c r="N37" s="245">
        <v>118.27650879373142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302.22165874257809</v>
      </c>
      <c r="V37" s="246">
        <v>107.93859416761651</v>
      </c>
      <c r="W37" s="246">
        <v>36.206532073906452</v>
      </c>
      <c r="X37" s="246">
        <v>12.931178354331474</v>
      </c>
      <c r="Y37" s="250">
        <v>238.82796475081483</v>
      </c>
      <c r="Z37" s="250">
        <v>85.297509352476524</v>
      </c>
      <c r="AA37" s="251">
        <v>0</v>
      </c>
      <c r="AB37" s="252">
        <v>0</v>
      </c>
      <c r="AC37" s="253">
        <v>0</v>
      </c>
      <c r="AD37" s="253">
        <v>19.305041270785878</v>
      </c>
      <c r="AE37" s="252">
        <v>8.9352376723963758</v>
      </c>
      <c r="AF37" s="252">
        <v>3.1912239411454015</v>
      </c>
      <c r="AG37" s="252">
        <v>0.73683799587657783</v>
      </c>
      <c r="AH37" s="253">
        <v>183.9488313515981</v>
      </c>
      <c r="AI37" s="253">
        <v>913.56635233561224</v>
      </c>
      <c r="AJ37" s="253">
        <v>3053.2465418497718</v>
      </c>
      <c r="AK37" s="253">
        <v>982.86648337046302</v>
      </c>
      <c r="AL37" s="253">
        <v>3937.8969713846845</v>
      </c>
      <c r="AM37" s="253">
        <v>2280.5889569600422</v>
      </c>
      <c r="AN37" s="253">
        <v>557.18662676811221</v>
      </c>
      <c r="AO37" s="253">
        <v>2946.0871699015302</v>
      </c>
      <c r="AP37" s="253">
        <v>450</v>
      </c>
      <c r="AQ37" s="253">
        <v>853.15311282475784</v>
      </c>
    </row>
    <row r="38" spans="1:43" ht="15.75" thickBot="1">
      <c r="A38" s="232"/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4023.9892055968435</v>
      </c>
      <c r="D39" s="272">
        <f t="shared" si="1"/>
        <v>34830.103794038281</v>
      </c>
      <c r="E39" s="272">
        <f t="shared" si="1"/>
        <v>480.29399547626582</v>
      </c>
      <c r="F39" s="272">
        <f t="shared" si="1"/>
        <v>0</v>
      </c>
      <c r="G39" s="272">
        <f t="shared" si="1"/>
        <v>107014.27360191336</v>
      </c>
      <c r="H39" s="273">
        <f t="shared" si="1"/>
        <v>1601.1328326433907</v>
      </c>
      <c r="I39" s="271">
        <f t="shared" si="1"/>
        <v>14971.066303237281</v>
      </c>
      <c r="J39" s="272">
        <f t="shared" si="1"/>
        <v>35112.43019615212</v>
      </c>
      <c r="K39" s="272">
        <f t="shared" si="1"/>
        <v>660.99228215416292</v>
      </c>
      <c r="L39" s="272">
        <f t="shared" si="1"/>
        <v>0</v>
      </c>
      <c r="M39" s="272">
        <f t="shared" si="1"/>
        <v>0</v>
      </c>
      <c r="N39" s="273">
        <f t="shared" si="1"/>
        <v>3828.8009698624392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9036.2332895733452</v>
      </c>
      <c r="V39" s="275">
        <f t="shared" si="1"/>
        <v>3170.7035107210932</v>
      </c>
      <c r="W39" s="275">
        <f t="shared" si="1"/>
        <v>1089.7622683875302</v>
      </c>
      <c r="X39" s="275">
        <f t="shared" si="1"/>
        <v>382.24503848229409</v>
      </c>
      <c r="Y39" s="275">
        <f t="shared" si="1"/>
        <v>7832.021530883374</v>
      </c>
      <c r="Z39" s="275">
        <f t="shared" si="1"/>
        <v>2751.9832667660121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I39" si="2">SUM(AH8:AH38)</f>
        <v>9050.8520282189056</v>
      </c>
      <c r="AI39" s="278">
        <f t="shared" si="2"/>
        <v>31112.418035920458</v>
      </c>
      <c r="AJ39" s="278">
        <f t="shared" ref="AJ39:AQ39" si="3">SUM(AJ8:AJ38)</f>
        <v>89027.538107426983</v>
      </c>
      <c r="AK39" s="278">
        <f t="shared" si="3"/>
        <v>29284.018437973664</v>
      </c>
      <c r="AL39" s="278">
        <f t="shared" si="3"/>
        <v>143370.8065097809</v>
      </c>
      <c r="AM39" s="278">
        <f t="shared" si="3"/>
        <v>68575.990550804141</v>
      </c>
      <c r="AN39" s="278">
        <f t="shared" si="3"/>
        <v>15921.070312325161</v>
      </c>
      <c r="AO39" s="278">
        <f t="shared" si="3"/>
        <v>81125.399187405885</v>
      </c>
      <c r="AP39" s="278">
        <f t="shared" si="3"/>
        <v>12905.646962861221</v>
      </c>
      <c r="AQ39" s="278">
        <f t="shared" si="3"/>
        <v>24891.818299229944</v>
      </c>
    </row>
    <row r="40" spans="1:43" ht="15.75" thickBot="1">
      <c r="A40" s="280" t="s">
        <v>182</v>
      </c>
      <c r="B40" s="281">
        <f>Projection!$AC$30</f>
        <v>0.91139353199999984</v>
      </c>
      <c r="C40" s="282">
        <f>Projection!$AC$28</f>
        <v>1.3599037199999999</v>
      </c>
      <c r="D40" s="282">
        <f>Projection!$AC$31</f>
        <v>2.1063504000000002</v>
      </c>
      <c r="E40" s="282">
        <f>Projection!$AC$26</f>
        <v>3.1224959999999999</v>
      </c>
      <c r="F40" s="282">
        <f>Projection!$AC$23</f>
        <v>5.8379999999999994E-2</v>
      </c>
      <c r="G40" s="282">
        <f>Projection!$AC$24</f>
        <v>4.9500000000000002E-2</v>
      </c>
      <c r="H40" s="283">
        <f>Projection!$AC$29</f>
        <v>3.6371774160000006</v>
      </c>
      <c r="I40" s="281">
        <f>Projection!$AC$30</f>
        <v>0.91139353199999984</v>
      </c>
      <c r="J40" s="282">
        <f>Projection!$AC$28</f>
        <v>1.3599037199999999</v>
      </c>
      <c r="K40" s="282">
        <f>Projection!$AC$26</f>
        <v>3.1224959999999999</v>
      </c>
      <c r="L40" s="282">
        <f>Projection!$AC$25</f>
        <v>0.37613399999999997</v>
      </c>
      <c r="M40" s="282">
        <f>Projection!$AC$23</f>
        <v>5.8379999999999994E-2</v>
      </c>
      <c r="N40" s="283">
        <f>Projection!$AC$23</f>
        <v>5.8379999999999994E-2</v>
      </c>
      <c r="O40" s="284">
        <v>15.77</v>
      </c>
      <c r="P40" s="285">
        <v>15.77</v>
      </c>
      <c r="Q40" s="285">
        <v>15.77</v>
      </c>
      <c r="R40" s="285">
        <v>15.77</v>
      </c>
      <c r="S40" s="285">
        <f>Projection!$AC$28</f>
        <v>1.3599037199999999</v>
      </c>
      <c r="T40" s="286">
        <f>Projection!$AC$28</f>
        <v>1.3599037199999999</v>
      </c>
      <c r="U40" s="284">
        <f>Projection!$AC$27</f>
        <v>0.29749999999999999</v>
      </c>
      <c r="V40" s="285">
        <f>Projection!$AC$27</f>
        <v>0.29749999999999999</v>
      </c>
      <c r="W40" s="285">
        <f>Projection!$AC$22</f>
        <v>1.02</v>
      </c>
      <c r="X40" s="285">
        <f>Projection!$AC$22</f>
        <v>1.02</v>
      </c>
      <c r="Y40" s="285">
        <f>Projection!$AC$31</f>
        <v>2.1063504000000002</v>
      </c>
      <c r="Z40" s="285">
        <f>Projection!$AC$31</f>
        <v>2.1063504000000002</v>
      </c>
      <c r="AA40" s="287">
        <v>0</v>
      </c>
      <c r="AB40" s="288">
        <f>Projection!$AC$27</f>
        <v>0.29749999999999999</v>
      </c>
      <c r="AC40" s="288">
        <f>Projection!$AC$30</f>
        <v>0.91139353199999984</v>
      </c>
      <c r="AD40" s="289">
        <f>SUM(AD8:AD38)</f>
        <v>581.03253121227033</v>
      </c>
      <c r="AE40" s="289">
        <f>SUM(AE8:AE38)</f>
        <v>419.54371824189565</v>
      </c>
      <c r="AF40" s="289">
        <f>SUM(AF8:AF38)</f>
        <v>147.18369502040184</v>
      </c>
      <c r="AG40" s="289">
        <f>IF(SUM(AE40:AF40)&gt;0, AE40/(AE40+AF40), "")</f>
        <v>0.74029190828593106</v>
      </c>
      <c r="AH40" s="290">
        <v>7.4999999999999997E-2</v>
      </c>
      <c r="AI40" s="290">
        <f t="shared" ref="AI40:AQ40" si="4">$AH$40</f>
        <v>7.4999999999999997E-2</v>
      </c>
      <c r="AJ40" s="290">
        <f t="shared" si="4"/>
        <v>7.4999999999999997E-2</v>
      </c>
      <c r="AK40" s="290">
        <f t="shared" si="4"/>
        <v>7.4999999999999997E-2</v>
      </c>
      <c r="AL40" s="290">
        <f t="shared" si="4"/>
        <v>7.4999999999999997E-2</v>
      </c>
      <c r="AM40" s="290">
        <f t="shared" si="4"/>
        <v>7.4999999999999997E-2</v>
      </c>
      <c r="AN40" s="290">
        <f t="shared" si="4"/>
        <v>7.4999999999999997E-2</v>
      </c>
      <c r="AO40" s="290">
        <f t="shared" si="4"/>
        <v>7.4999999999999997E-2</v>
      </c>
      <c r="AP40" s="290">
        <f t="shared" si="4"/>
        <v>7.4999999999999997E-2</v>
      </c>
      <c r="AQ40" s="290">
        <f t="shared" si="4"/>
        <v>7.4999999999999997E-2</v>
      </c>
    </row>
    <row r="41" spans="1:43" ht="16.5" thickTop="1" thickBot="1">
      <c r="A41" s="291" t="s">
        <v>26</v>
      </c>
      <c r="B41" s="292">
        <f t="shared" ref="B41:AC41" si="5">B40*B39</f>
        <v>0</v>
      </c>
      <c r="C41" s="293">
        <f t="shared" si="5"/>
        <v>5472.2378899309924</v>
      </c>
      <c r="D41" s="293">
        <f t="shared" si="5"/>
        <v>73364.403058614058</v>
      </c>
      <c r="E41" s="293">
        <f t="shared" si="5"/>
        <v>1499.7160796986582</v>
      </c>
      <c r="F41" s="293">
        <f t="shared" si="5"/>
        <v>0</v>
      </c>
      <c r="G41" s="293">
        <f t="shared" si="5"/>
        <v>5297.2065432947111</v>
      </c>
      <c r="H41" s="294">
        <f t="shared" si="5"/>
        <v>5823.6041789066494</v>
      </c>
      <c r="I41" s="292">
        <f t="shared" si="5"/>
        <v>13644.532995913607</v>
      </c>
      <c r="J41" s="293">
        <f t="shared" si="5"/>
        <v>47749.524441987596</v>
      </c>
      <c r="K41" s="293">
        <f t="shared" si="5"/>
        <v>2063.9457570572449</v>
      </c>
      <c r="L41" s="293">
        <f t="shared" si="5"/>
        <v>0</v>
      </c>
      <c r="M41" s="293">
        <f t="shared" si="5"/>
        <v>0</v>
      </c>
      <c r="N41" s="294">
        <f t="shared" si="5"/>
        <v>223.52540062056917</v>
      </c>
      <c r="O41" s="295">
        <f t="shared" si="5"/>
        <v>0</v>
      </c>
      <c r="P41" s="296">
        <f t="shared" si="5"/>
        <v>0</v>
      </c>
      <c r="Q41" s="296">
        <f t="shared" si="5"/>
        <v>0</v>
      </c>
      <c r="R41" s="296">
        <f t="shared" si="5"/>
        <v>0</v>
      </c>
      <c r="S41" s="296">
        <f t="shared" si="5"/>
        <v>0</v>
      </c>
      <c r="T41" s="297">
        <f t="shared" si="5"/>
        <v>0</v>
      </c>
      <c r="U41" s="295">
        <f t="shared" si="5"/>
        <v>2688.27940364807</v>
      </c>
      <c r="V41" s="296">
        <f t="shared" si="5"/>
        <v>943.28429443952518</v>
      </c>
      <c r="W41" s="296">
        <f t="shared" si="5"/>
        <v>1111.5575137552808</v>
      </c>
      <c r="X41" s="296">
        <f t="shared" si="5"/>
        <v>389.88993925194001</v>
      </c>
      <c r="Y41" s="296">
        <f t="shared" si="5"/>
        <v>16496.981684384809</v>
      </c>
      <c r="Z41" s="296">
        <f t="shared" si="5"/>
        <v>5796.6410547458963</v>
      </c>
      <c r="AA41" s="298">
        <f t="shared" si="5"/>
        <v>0</v>
      </c>
      <c r="AB41" s="299">
        <f t="shared" si="5"/>
        <v>0</v>
      </c>
      <c r="AC41" s="299">
        <f t="shared" si="5"/>
        <v>0</v>
      </c>
      <c r="AH41" s="300">
        <f t="shared" ref="AH41:AI41" si="6">AH40*AH39</f>
        <v>678.81390211641792</v>
      </c>
      <c r="AI41" s="300">
        <f t="shared" si="6"/>
        <v>2333.4313526940341</v>
      </c>
      <c r="AJ41" s="300">
        <f t="shared" ref="AJ41:AQ41" si="7">AJ40*AJ39</f>
        <v>6677.0653580570233</v>
      </c>
      <c r="AK41" s="300">
        <f t="shared" si="7"/>
        <v>2196.3013828480248</v>
      </c>
      <c r="AL41" s="300">
        <f t="shared" si="7"/>
        <v>10752.810488233567</v>
      </c>
      <c r="AM41" s="300">
        <f t="shared" si="7"/>
        <v>5143.1992913103104</v>
      </c>
      <c r="AN41" s="300">
        <f t="shared" si="7"/>
        <v>1194.0802734243871</v>
      </c>
      <c r="AO41" s="300">
        <f t="shared" si="7"/>
        <v>6084.404939055441</v>
      </c>
      <c r="AP41" s="300">
        <f t="shared" si="7"/>
        <v>967.92352221459157</v>
      </c>
      <c r="AQ41" s="300">
        <f t="shared" si="7"/>
        <v>1866.8863724422458</v>
      </c>
    </row>
    <row r="42" spans="1:43" ht="49.5" customHeight="1" thickTop="1" thickBot="1">
      <c r="A42" s="544" t="s">
        <v>179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642.29</v>
      </c>
      <c r="AI42" s="300" t="s">
        <v>207</v>
      </c>
      <c r="AJ42" s="300">
        <v>964.11</v>
      </c>
      <c r="AK42" s="300">
        <v>416.45</v>
      </c>
      <c r="AL42" s="300">
        <v>868.01</v>
      </c>
      <c r="AM42" s="300">
        <v>1012.92</v>
      </c>
      <c r="AN42" s="300">
        <v>544.5</v>
      </c>
      <c r="AO42" s="300" t="s">
        <v>207</v>
      </c>
      <c r="AP42" s="300">
        <v>21.67</v>
      </c>
      <c r="AQ42" s="300">
        <v>220.36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61.5" customHeight="1" thickTop="1" thickBot="1">
      <c r="A44" s="307" t="s">
        <v>143</v>
      </c>
      <c r="B44" s="308">
        <f>SUM(B41:AC41)</f>
        <v>182565.33023624966</v>
      </c>
      <c r="C44" s="309"/>
      <c r="D44" s="307" t="s">
        <v>143</v>
      </c>
      <c r="E44" s="308">
        <f>SUM(B41:H41)+P41+R41+T41+V41+X41+Z41</f>
        <v>98586.983038882434</v>
      </c>
      <c r="F44" s="309"/>
      <c r="G44" s="307" t="s">
        <v>143</v>
      </c>
      <c r="H44" s="308">
        <f>SUM(I41:N41)+O41+Q41+S41+U41+W41+Y41</f>
        <v>83978.347197367184</v>
      </c>
      <c r="I44" s="309"/>
      <c r="J44" s="307" t="s">
        <v>208</v>
      </c>
      <c r="K44" s="308">
        <v>127819.6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60" customHeight="1" thickBot="1">
      <c r="A45" s="314" t="s">
        <v>193</v>
      </c>
      <c r="B45" s="315">
        <f>SUM(AH41:AQ41)</f>
        <v>37894.91688239605</v>
      </c>
      <c r="C45" s="309"/>
      <c r="D45" s="314" t="s">
        <v>193</v>
      </c>
      <c r="E45" s="315">
        <f>AH41*(1-$AG$40)+AI41+AJ41*0.5+AL41+AM41*(1-$AG$40)+AN41*(1-$AG$40)+AO41*(1-$AG$40)+AP41*0.5+AQ41*0.5</f>
        <v>21244.484908785729</v>
      </c>
      <c r="F45" s="316"/>
      <c r="G45" s="314" t="s">
        <v>193</v>
      </c>
      <c r="H45" s="315">
        <f>AH41*AG40+AJ41*0.5+AK41+AM41*AG40+AN41*AG40+AO41*AG40+AP41*0.5+AQ41*0.5</f>
        <v>16650.431973610317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1472.0073068698243</v>
      </c>
      <c r="U45" s="321">
        <f>(T45*8.34*0.895)/27000</f>
        <v>0.40694459780253445</v>
      </c>
    </row>
    <row r="46" spans="1:43" ht="32.25" thickBot="1">
      <c r="A46" s="322" t="s">
        <v>194</v>
      </c>
      <c r="B46" s="323">
        <f>SUM(AH42:AQ42)</f>
        <v>4690.3100000000004</v>
      </c>
      <c r="C46" s="309"/>
      <c r="D46" s="322" t="s">
        <v>194</v>
      </c>
      <c r="E46" s="323">
        <f>AH42*(1-$AG$40)+AJ42*0.5+AL42+AM42*(1-$AG$40)+AN42*(1-$AG$40)+AP42*0.5+AQ42*0.5</f>
        <v>2042.3624864243548</v>
      </c>
      <c r="F46" s="324"/>
      <c r="G46" s="322" t="s">
        <v>194</v>
      </c>
      <c r="H46" s="323">
        <f>AH42*AG40+AJ42*0.5+AK42+AM42*AG40+AN42*AG40+AP42*0.5+AQ42*0.5</f>
        <v>2647.9475135756452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3828.8009698624392</v>
      </c>
      <c r="U46" s="325">
        <f>(((T46*8.34)*0.005)/(8.34*1.055))/400</f>
        <v>4.5364940401213728E-2</v>
      </c>
    </row>
    <row r="47" spans="1:43" ht="24.75" thickTop="1" thickBot="1">
      <c r="A47" s="322" t="s">
        <v>195</v>
      </c>
      <c r="B47" s="323">
        <f>K44</f>
        <v>127819.6</v>
      </c>
      <c r="C47" s="309"/>
      <c r="D47" s="322" t="s">
        <v>197</v>
      </c>
      <c r="E47" s="323">
        <f>K44*0.5</f>
        <v>63909.8</v>
      </c>
      <c r="F47" s="316"/>
      <c r="G47" s="322" t="s">
        <v>195</v>
      </c>
      <c r="H47" s="323">
        <f>K44*0.5</f>
        <v>63909.8</v>
      </c>
      <c r="I47" s="309"/>
      <c r="J47" s="307" t="s">
        <v>208</v>
      </c>
      <c r="K47" s="308">
        <v>56364.25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107014.27360191336</v>
      </c>
      <c r="U47" s="321">
        <f>T47/40000</f>
        <v>2.6753568400478338</v>
      </c>
    </row>
    <row r="48" spans="1:43" ht="24" thickBot="1">
      <c r="A48" s="322" t="s">
        <v>196</v>
      </c>
      <c r="B48" s="323">
        <f>K47</f>
        <v>56364.25</v>
      </c>
      <c r="C48" s="309"/>
      <c r="D48" s="322" t="s">
        <v>196</v>
      </c>
      <c r="E48" s="323">
        <f>K47*0.5</f>
        <v>28182.125</v>
      </c>
      <c r="F48" s="324"/>
      <c r="G48" s="322" t="s">
        <v>196</v>
      </c>
      <c r="H48" s="323">
        <f>K47*0.5</f>
        <v>28182.125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1" ht="46.5" customHeight="1" thickTop="1" thickBot="1">
      <c r="A49" s="327" t="s">
        <v>204</v>
      </c>
      <c r="B49" s="328">
        <f>AD40</f>
        <v>581.03253121227033</v>
      </c>
      <c r="C49" s="309"/>
      <c r="D49" s="327" t="s">
        <v>205</v>
      </c>
      <c r="E49" s="328">
        <f>AF40</f>
        <v>147.18369502040184</v>
      </c>
      <c r="F49" s="324"/>
      <c r="G49" s="327" t="s">
        <v>206</v>
      </c>
      <c r="H49" s="328">
        <f>AE40</f>
        <v>419.54371824189565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1141.2862776304287</v>
      </c>
      <c r="U49" s="321">
        <f>(T49*8.34*1.04)/45000</f>
        <v>0.21997912572567302</v>
      </c>
    </row>
    <row r="50" spans="1:21" ht="48" customHeight="1" thickTop="1" thickBot="1">
      <c r="A50" s="327" t="s">
        <v>200</v>
      </c>
      <c r="B50" s="329">
        <f>(SUM(B44:B48)/AD40)</f>
        <v>704.49481763888082</v>
      </c>
      <c r="C50" s="309"/>
      <c r="D50" s="327" t="s">
        <v>198</v>
      </c>
      <c r="E50" s="329">
        <f>SUM(E44:E48)/AF40</f>
        <v>1453.7327344882442</v>
      </c>
      <c r="F50" s="324"/>
      <c r="G50" s="327" t="s">
        <v>199</v>
      </c>
      <c r="H50" s="329">
        <f>SUM(H44:H48)/AE40</f>
        <v>465.66935265590075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12206.936800294439</v>
      </c>
      <c r="U50" s="321">
        <f>T50/2000/8</f>
        <v>0.76293355001840246</v>
      </c>
    </row>
    <row r="51" spans="1:21" ht="48" customHeight="1" thickTop="1" thickBot="1">
      <c r="A51" s="330" t="s">
        <v>201</v>
      </c>
      <c r="B51" s="331">
        <f>B50/1000</f>
        <v>0.70449481763888078</v>
      </c>
      <c r="C51" s="309"/>
      <c r="D51" s="330" t="s">
        <v>202</v>
      </c>
      <c r="E51" s="331">
        <f>E50/1000</f>
        <v>1.4537327344882442</v>
      </c>
      <c r="F51" s="309"/>
      <c r="G51" s="330" t="s">
        <v>203</v>
      </c>
      <c r="H51" s="331">
        <f>H50/1000</f>
        <v>0.46566935265590076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39136.419401748964</v>
      </c>
      <c r="U51" s="321">
        <f>(T51*8.34*1.4)/45000</f>
        <v>10.154596287440464</v>
      </c>
    </row>
    <row r="52" spans="1:21" ht="48" customHeight="1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1601.1328326433907</v>
      </c>
      <c r="U52" s="321">
        <f>(T52*8.34*1.135)/45000</f>
        <v>0.33680362845597933</v>
      </c>
    </row>
    <row r="53" spans="1:21" ht="47.25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14971.066303237281</v>
      </c>
      <c r="U53" s="321">
        <f>(T53*8.34*1.029*0.03)/3300</f>
        <v>1.1679963187736351</v>
      </c>
    </row>
    <row r="54" spans="1:21" ht="78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45414.108591687662</v>
      </c>
      <c r="U54" s="350">
        <f>(T54*1.54*8.34)/45000</f>
        <v>12.961792113515546</v>
      </c>
    </row>
    <row r="55" spans="1:21" ht="71.25" customHeight="1" thickTop="1">
      <c r="A55" s="351"/>
      <c r="B55" s="351"/>
      <c r="C55" s="351"/>
      <c r="D55" s="351"/>
      <c r="E55" s="351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</row>
    <row r="56" spans="1:21" ht="94.5" customHeight="1"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</row>
    <row r="57" spans="1:21" ht="46.5" customHeight="1">
      <c r="A57" s="575"/>
      <c r="B57" s="576"/>
      <c r="C57" s="576"/>
      <c r="D57" s="576"/>
      <c r="E57" s="576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</row>
    <row r="58" spans="1:21" ht="18.75">
      <c r="A58" s="575"/>
      <c r="B58" s="576"/>
      <c r="C58" s="576"/>
      <c r="D58" s="576"/>
      <c r="E58" s="576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</row>
    <row r="59" spans="1:21" ht="15" customHeight="1">
      <c r="A59" s="358"/>
      <c r="B59" s="35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</row>
    <row r="60" spans="1:21">
      <c r="A60" s="359"/>
      <c r="B60" s="35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09"/>
    </row>
    <row r="61" spans="1:21" ht="15" customHeight="1">
      <c r="A61" s="358"/>
      <c r="B61" s="35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</row>
    <row r="62" spans="1:21">
      <c r="A62" s="359"/>
      <c r="B62" s="359"/>
      <c r="C62" s="309"/>
      <c r="D62" s="309"/>
      <c r="E62" s="309"/>
      <c r="F62" s="309"/>
      <c r="G62" s="309"/>
      <c r="H62" s="309"/>
      <c r="I62" s="309"/>
      <c r="J62" s="309"/>
      <c r="K62" s="309"/>
    </row>
    <row r="63" spans="1:21">
      <c r="A63" s="309"/>
      <c r="B63" s="309"/>
      <c r="C63" s="309"/>
      <c r="D63" s="309"/>
      <c r="E63" s="309"/>
      <c r="F63" s="309"/>
      <c r="G63" s="309"/>
    </row>
    <row r="64" spans="1:21">
      <c r="A64" s="309"/>
      <c r="B64" s="309"/>
      <c r="C64" s="309"/>
      <c r="D64" s="309"/>
      <c r="E64" s="309"/>
      <c r="F64" s="309"/>
      <c r="G64" s="309"/>
    </row>
    <row r="65" spans="1:25">
      <c r="A65" s="309"/>
      <c r="B65" s="309"/>
      <c r="C65" s="309"/>
      <c r="D65" s="309"/>
      <c r="E65" s="309"/>
      <c r="F65" s="309"/>
      <c r="G65" s="309"/>
    </row>
    <row r="67" spans="1:25">
      <c r="A67" s="302"/>
      <c r="B67" s="302"/>
      <c r="C67" s="302"/>
      <c r="D67" s="302"/>
      <c r="E67" s="302"/>
      <c r="F67" s="302"/>
      <c r="G67" s="302"/>
      <c r="H67" s="302"/>
    </row>
    <row r="68" spans="1:25">
      <c r="A68" s="309"/>
      <c r="B68" s="309"/>
      <c r="S68" s="309"/>
      <c r="T68" s="309"/>
      <c r="U68" s="309"/>
      <c r="V68" s="309"/>
      <c r="W68" s="309"/>
      <c r="X68" s="309"/>
      <c r="Y68" s="309"/>
    </row>
    <row r="69" spans="1:25">
      <c r="A69" s="309"/>
      <c r="B69" s="309"/>
      <c r="S69" s="309"/>
      <c r="T69" s="309"/>
      <c r="U69" s="309"/>
      <c r="V69" s="309"/>
      <c r="W69" s="309"/>
      <c r="X69" s="309"/>
      <c r="Y69" s="309"/>
    </row>
    <row r="70" spans="1:25" ht="93" customHeight="1">
      <c r="A70" s="309"/>
      <c r="B70" s="309"/>
      <c r="S70" s="309"/>
      <c r="T70" s="309"/>
      <c r="U70" s="309"/>
      <c r="V70" s="309"/>
      <c r="W70" s="309"/>
      <c r="X70" s="309"/>
      <c r="Y70" s="309"/>
    </row>
    <row r="71" spans="1:25" ht="75" customHeight="1">
      <c r="A71" s="309"/>
      <c r="B71" s="309"/>
    </row>
    <row r="72" spans="1:25" ht="51.75" customHeight="1">
      <c r="A72" s="309"/>
      <c r="B72" s="309"/>
    </row>
    <row r="73" spans="1:25">
      <c r="A73" s="309"/>
      <c r="B73" s="309"/>
      <c r="C73" s="309"/>
      <c r="D73" s="309"/>
    </row>
    <row r="74" spans="1:25">
      <c r="A74" s="309"/>
      <c r="B74" s="309"/>
      <c r="C74" s="309"/>
      <c r="D74" s="309"/>
      <c r="E74" s="309"/>
    </row>
    <row r="75" spans="1:25">
      <c r="A75" s="309"/>
      <c r="B75" s="309"/>
      <c r="C75" s="309"/>
      <c r="D75" s="309"/>
      <c r="E75" s="309"/>
    </row>
  </sheetData>
  <sheetProtection password="A25B" sheet="1" objects="1" scenarios="1"/>
  <mergeCells count="32">
    <mergeCell ref="R54:S54"/>
    <mergeCell ref="A54:E54"/>
    <mergeCell ref="A57:E57"/>
    <mergeCell ref="A58:E58"/>
    <mergeCell ref="J46:K46"/>
    <mergeCell ref="A53:E53"/>
    <mergeCell ref="B4:H5"/>
    <mergeCell ref="I4:N5"/>
    <mergeCell ref="J43:K43"/>
    <mergeCell ref="A42:K42"/>
    <mergeCell ref="AD4:AD5"/>
    <mergeCell ref="R43:U43"/>
    <mergeCell ref="A43:B43"/>
    <mergeCell ref="D43:E43"/>
    <mergeCell ref="G43:H43"/>
    <mergeCell ref="AE4:AE5"/>
    <mergeCell ref="AF4:AF5"/>
    <mergeCell ref="AG4:AG5"/>
    <mergeCell ref="O4:T5"/>
    <mergeCell ref="U4:AA5"/>
    <mergeCell ref="AB4:AB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</mergeCells>
  <printOptions horizontalCentered="1"/>
  <pageMargins left="0.33" right="0.19" top="0.75" bottom="0.75" header="0.3" footer="0.3"/>
  <pageSetup paperSize="17" scale="22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6"/>
  <sheetViews>
    <sheetView topLeftCell="A40" zoomScaleNormal="100" workbookViewId="0">
      <selection activeCell="A3" sqref="A3"/>
    </sheetView>
  </sheetViews>
  <sheetFormatPr defaultRowHeight="15"/>
  <cols>
    <col min="1" max="1" width="26.28515625" style="208" customWidth="1"/>
    <col min="2" max="2" width="19.28515625" style="208" bestFit="1" customWidth="1"/>
    <col min="3" max="3" width="27.85546875" style="208" bestFit="1" customWidth="1"/>
    <col min="4" max="4" width="29.5703125" style="208" customWidth="1"/>
    <col min="5" max="5" width="22.42578125" style="208" bestFit="1" customWidth="1"/>
    <col min="6" max="6" width="15.140625" style="208" bestFit="1" customWidth="1"/>
    <col min="7" max="7" width="35.5703125" style="208" customWidth="1"/>
    <col min="8" max="8" width="22.5703125" style="208" bestFit="1" customWidth="1"/>
    <col min="9" max="9" width="23.140625" style="208" bestFit="1" customWidth="1"/>
    <col min="10" max="10" width="25.42578125" style="208" bestFit="1" customWidth="1"/>
    <col min="11" max="11" width="19.28515625" style="208" bestFit="1" customWidth="1"/>
    <col min="12" max="12" width="17.140625" style="208" bestFit="1" customWidth="1"/>
    <col min="13" max="13" width="16.140625" style="208" bestFit="1" customWidth="1"/>
    <col min="14" max="14" width="20.28515625" style="208" bestFit="1" customWidth="1"/>
    <col min="15" max="16" width="16.28515625" style="208" bestFit="1" customWidth="1"/>
    <col min="17" max="17" width="24" style="208" bestFit="1" customWidth="1"/>
    <col min="18" max="18" width="24.42578125" style="208" bestFit="1" customWidth="1"/>
    <col min="19" max="19" width="26" style="208" bestFit="1" customWidth="1"/>
    <col min="20" max="20" width="25.85546875" style="208" bestFit="1" customWidth="1"/>
    <col min="21" max="21" width="14.140625" style="208" bestFit="1" customWidth="1"/>
    <col min="22" max="22" width="12.42578125" style="208" bestFit="1" customWidth="1"/>
    <col min="23" max="23" width="20.28515625" style="208" bestFit="1" customWidth="1"/>
    <col min="24" max="24" width="20" style="208" bestFit="1" customWidth="1"/>
    <col min="25" max="25" width="22.5703125" style="208" bestFit="1" customWidth="1"/>
    <col min="26" max="26" width="22.28515625" style="208" bestFit="1" customWidth="1"/>
    <col min="27" max="27" width="21.28515625" style="208" bestFit="1" customWidth="1"/>
    <col min="28" max="28" width="32.85546875" style="208" bestFit="1" customWidth="1"/>
    <col min="29" max="29" width="36.7109375" style="208" customWidth="1"/>
    <col min="30" max="30" width="33.28515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3" style="208" bestFit="1" customWidth="1"/>
    <col min="35" max="35" width="17" style="208" bestFit="1" customWidth="1"/>
    <col min="36" max="36" width="17.5703125" style="208" bestFit="1" customWidth="1"/>
    <col min="37" max="38" width="15.85546875" style="208" bestFit="1" customWidth="1"/>
    <col min="39" max="39" width="21.85546875" style="208" bestFit="1" customWidth="1"/>
    <col min="40" max="40" width="18.7109375" style="208" bestFit="1" customWidth="1"/>
    <col min="41" max="43" width="15.85546875" style="208" bestFit="1" customWidth="1"/>
    <col min="44" max="16384" width="9.140625" style="208"/>
  </cols>
  <sheetData>
    <row r="1" spans="1:53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53" ht="15" customHeight="1">
      <c r="A2" s="206" t="s">
        <v>2</v>
      </c>
      <c r="B2" s="211"/>
      <c r="O2" s="210"/>
      <c r="P2" s="210"/>
      <c r="Q2" s="210"/>
      <c r="R2" s="210"/>
    </row>
    <row r="3" spans="1:53" ht="15.75" thickBot="1">
      <c r="A3" s="212"/>
      <c r="BA3" s="213"/>
    </row>
    <row r="4" spans="1:53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53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53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53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53">
      <c r="A8" s="232">
        <v>40817</v>
      </c>
      <c r="B8" s="233"/>
      <c r="C8" s="234">
        <v>129.45486681461321</v>
      </c>
      <c r="D8" s="234">
        <v>1105.2250794092774</v>
      </c>
      <c r="E8" s="234">
        <v>15.484079195558994</v>
      </c>
      <c r="F8" s="234">
        <v>0</v>
      </c>
      <c r="G8" s="234">
        <v>3840.3024456024141</v>
      </c>
      <c r="H8" s="235">
        <v>52.693832953771008</v>
      </c>
      <c r="I8" s="233">
        <v>444.36531017621451</v>
      </c>
      <c r="J8" s="234">
        <v>1045.4712311426765</v>
      </c>
      <c r="K8" s="234">
        <v>21.901063989599553</v>
      </c>
      <c r="L8" s="234">
        <v>0</v>
      </c>
      <c r="M8" s="234">
        <v>0</v>
      </c>
      <c r="N8" s="235">
        <v>118.14867164889972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300.5653662974122</v>
      </c>
      <c r="V8" s="238">
        <v>107.41573302204237</v>
      </c>
      <c r="W8" s="238">
        <v>35.508267969485864</v>
      </c>
      <c r="X8" s="238">
        <v>12.689907287958452</v>
      </c>
      <c r="Y8" s="238">
        <v>239.99423376469463</v>
      </c>
      <c r="Z8" s="238">
        <v>85.768885678562697</v>
      </c>
      <c r="AA8" s="239">
        <v>0</v>
      </c>
      <c r="AB8" s="240">
        <v>0</v>
      </c>
      <c r="AC8" s="241">
        <v>0</v>
      </c>
      <c r="AD8" s="241">
        <v>19.299023115634913</v>
      </c>
      <c r="AE8" s="242">
        <v>13.989871429764001</v>
      </c>
      <c r="AF8" s="242">
        <v>4.9996854695003714</v>
      </c>
      <c r="AG8" s="242">
        <v>0.73671394777547172</v>
      </c>
      <c r="AH8" s="241">
        <v>443.55232124328609</v>
      </c>
      <c r="AI8" s="241">
        <v>1177.9964304606119</v>
      </c>
      <c r="AJ8" s="241">
        <v>3081.4221177419031</v>
      </c>
      <c r="AK8" s="241">
        <v>988.91407979329404</v>
      </c>
      <c r="AL8" s="241">
        <v>4112.6774162292477</v>
      </c>
      <c r="AM8" s="241">
        <v>2275.5755357106532</v>
      </c>
      <c r="AN8" s="241">
        <v>558.09154386520379</v>
      </c>
      <c r="AO8" s="241">
        <v>2934.402686945597</v>
      </c>
      <c r="AP8" s="241">
        <v>310.80056063334149</v>
      </c>
      <c r="AQ8" s="241">
        <v>858.51277548472069</v>
      </c>
    </row>
    <row r="9" spans="1:53">
      <c r="A9" s="232">
        <v>40818</v>
      </c>
      <c r="B9" s="243"/>
      <c r="C9" s="244">
        <v>129.01853773593888</v>
      </c>
      <c r="D9" s="244">
        <v>1103.9444513320918</v>
      </c>
      <c r="E9" s="244">
        <v>15.578973765671346</v>
      </c>
      <c r="F9" s="244">
        <v>0</v>
      </c>
      <c r="G9" s="244">
        <v>3835.9670260111357</v>
      </c>
      <c r="H9" s="245">
        <v>49.30820090572039</v>
      </c>
      <c r="I9" s="243">
        <v>443.56313967704773</v>
      </c>
      <c r="J9" s="244">
        <v>1013.012548764546</v>
      </c>
      <c r="K9" s="244">
        <v>21.232213492194855</v>
      </c>
      <c r="L9" s="234">
        <v>0</v>
      </c>
      <c r="M9" s="244">
        <v>0</v>
      </c>
      <c r="N9" s="245">
        <v>118.70971247156454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291.36198602966027</v>
      </c>
      <c r="V9" s="246">
        <v>105.93744782688007</v>
      </c>
      <c r="W9" s="246">
        <v>34.607801564271654</v>
      </c>
      <c r="X9" s="246">
        <v>12.583186374370834</v>
      </c>
      <c r="Y9" s="250">
        <v>239.0053205125684</v>
      </c>
      <c r="Z9" s="250">
        <v>86.900882360025719</v>
      </c>
      <c r="AA9" s="251">
        <v>0</v>
      </c>
      <c r="AB9" s="252">
        <v>0</v>
      </c>
      <c r="AC9" s="253">
        <v>0</v>
      </c>
      <c r="AD9" s="253">
        <v>18.893852976957938</v>
      </c>
      <c r="AE9" s="252">
        <v>13.620602720712672</v>
      </c>
      <c r="AF9" s="252">
        <v>4.9523683914938408</v>
      </c>
      <c r="AG9" s="252">
        <v>0.73335615709653212</v>
      </c>
      <c r="AH9" s="253">
        <v>171.10642023881277</v>
      </c>
      <c r="AI9" s="253">
        <v>914.40634495417294</v>
      </c>
      <c r="AJ9" s="253">
        <v>3103.453298695882</v>
      </c>
      <c r="AK9" s="253">
        <v>991.29461924235022</v>
      </c>
      <c r="AL9" s="253">
        <v>4134.4242863972986</v>
      </c>
      <c r="AM9" s="253">
        <v>2294.4246918996178</v>
      </c>
      <c r="AN9" s="253">
        <v>532.54253678321834</v>
      </c>
      <c r="AO9" s="253">
        <v>2978.4866233825683</v>
      </c>
      <c r="AP9" s="253">
        <v>311.56516187985744</v>
      </c>
      <c r="AQ9" s="253">
        <v>866.65891857147199</v>
      </c>
    </row>
    <row r="10" spans="1:53">
      <c r="A10" s="232">
        <v>40819</v>
      </c>
      <c r="B10" s="243"/>
      <c r="C10" s="244">
        <v>135.57602229913093</v>
      </c>
      <c r="D10" s="244">
        <v>1094.7431343078579</v>
      </c>
      <c r="E10" s="244">
        <v>15.565343630810625</v>
      </c>
      <c r="F10" s="244">
        <v>0</v>
      </c>
      <c r="G10" s="244">
        <v>3745.2048539479574</v>
      </c>
      <c r="H10" s="245">
        <v>49.178108135859205</v>
      </c>
      <c r="I10" s="243">
        <v>451.287610944113</v>
      </c>
      <c r="J10" s="244">
        <v>1008.2345476786285</v>
      </c>
      <c r="K10" s="244">
        <v>21.211815073092815</v>
      </c>
      <c r="L10" s="234">
        <v>0</v>
      </c>
      <c r="M10" s="244">
        <v>0</v>
      </c>
      <c r="N10" s="245">
        <v>117.93319091250491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298.32139412927</v>
      </c>
      <c r="V10" s="246">
        <v>108.47951584557141</v>
      </c>
      <c r="W10" s="246">
        <v>36.319796690699292</v>
      </c>
      <c r="X10" s="246">
        <v>13.207078131678905</v>
      </c>
      <c r="Y10" s="250">
        <v>253.52514377110356</v>
      </c>
      <c r="Z10" s="250">
        <v>92.190119086969602</v>
      </c>
      <c r="AA10" s="251">
        <v>0</v>
      </c>
      <c r="AB10" s="252">
        <v>0</v>
      </c>
      <c r="AC10" s="253">
        <v>0</v>
      </c>
      <c r="AD10" s="253">
        <v>19.07421287298201</v>
      </c>
      <c r="AE10" s="252">
        <v>13.750711844179218</v>
      </c>
      <c r="AF10" s="252">
        <v>5.0002131685605766</v>
      </c>
      <c r="AG10" s="252">
        <v>0.7333351199920366</v>
      </c>
      <c r="AH10" s="253">
        <v>165.84153952598572</v>
      </c>
      <c r="AI10" s="253">
        <v>886.8292025883992</v>
      </c>
      <c r="AJ10" s="253">
        <v>3054.3209138234456</v>
      </c>
      <c r="AK10" s="253">
        <v>988.47655150095636</v>
      </c>
      <c r="AL10" s="253">
        <v>4202.8678047180174</v>
      </c>
      <c r="AM10" s="253">
        <v>2298.9731924692787</v>
      </c>
      <c r="AN10" s="253">
        <v>543.79088884989426</v>
      </c>
      <c r="AO10" s="253">
        <v>2999.8992098490398</v>
      </c>
      <c r="AP10" s="253">
        <v>340.68747658729558</v>
      </c>
      <c r="AQ10" s="253">
        <v>908.19462242126474</v>
      </c>
    </row>
    <row r="11" spans="1:53">
      <c r="A11" s="232">
        <v>40820</v>
      </c>
      <c r="B11" s="243"/>
      <c r="C11" s="244">
        <v>123.30460338592529</v>
      </c>
      <c r="D11" s="244">
        <v>1038.0271506845936</v>
      </c>
      <c r="E11" s="244">
        <v>14.1788261249662</v>
      </c>
      <c r="F11" s="244">
        <v>0</v>
      </c>
      <c r="G11" s="244">
        <v>3596.8135748545269</v>
      </c>
      <c r="H11" s="245">
        <v>48.236056953668658</v>
      </c>
      <c r="I11" s="243">
        <v>485.83587120373966</v>
      </c>
      <c r="J11" s="244">
        <v>1040.831418736776</v>
      </c>
      <c r="K11" s="244">
        <v>21.681601405143759</v>
      </c>
      <c r="L11" s="234">
        <v>0</v>
      </c>
      <c r="M11" s="244">
        <v>0</v>
      </c>
      <c r="N11" s="245">
        <v>118.06011515309422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297.80286536596662</v>
      </c>
      <c r="V11" s="246">
        <v>97.477152995444911</v>
      </c>
      <c r="W11" s="246">
        <v>37.022378132377085</v>
      </c>
      <c r="X11" s="246">
        <v>12.118204480773136</v>
      </c>
      <c r="Y11" s="250">
        <v>254.75071136288182</v>
      </c>
      <c r="Z11" s="250">
        <v>83.385275815603151</v>
      </c>
      <c r="AA11" s="251">
        <v>0</v>
      </c>
      <c r="AB11" s="252">
        <v>0</v>
      </c>
      <c r="AC11" s="253">
        <v>0</v>
      </c>
      <c r="AD11" s="253">
        <v>18.324873966640851</v>
      </c>
      <c r="AE11" s="252">
        <v>13.618110071863159</v>
      </c>
      <c r="AF11" s="252">
        <v>4.4574943808969758</v>
      </c>
      <c r="AG11" s="252">
        <v>0.7533972159798884</v>
      </c>
      <c r="AH11" s="253">
        <v>441.61947851181031</v>
      </c>
      <c r="AI11" s="253">
        <v>1164.8688027064004</v>
      </c>
      <c r="AJ11" s="253">
        <v>2922.2420415878296</v>
      </c>
      <c r="AK11" s="253">
        <v>987.15685221354158</v>
      </c>
      <c r="AL11" s="253">
        <v>4057.675184694926</v>
      </c>
      <c r="AM11" s="253">
        <v>2198.891944630941</v>
      </c>
      <c r="AN11" s="253">
        <v>553.84989957809432</v>
      </c>
      <c r="AO11" s="253">
        <v>2866.0560129801429</v>
      </c>
      <c r="AP11" s="253">
        <v>360.70674462318419</v>
      </c>
      <c r="AQ11" s="253">
        <v>915.19837589263898</v>
      </c>
    </row>
    <row r="12" spans="1:53">
      <c r="A12" s="232">
        <v>40821</v>
      </c>
      <c r="B12" s="243"/>
      <c r="C12" s="244">
        <v>99.352475972970439</v>
      </c>
      <c r="D12" s="244">
        <v>1086.7801722208676</v>
      </c>
      <c r="E12" s="244">
        <v>15.460054587821178</v>
      </c>
      <c r="F12" s="244">
        <v>0</v>
      </c>
      <c r="G12" s="244">
        <v>3997.5837673187207</v>
      </c>
      <c r="H12" s="245">
        <v>51.65022147893913</v>
      </c>
      <c r="I12" s="243">
        <v>468.81905827522343</v>
      </c>
      <c r="J12" s="244">
        <v>1015.8298533121731</v>
      </c>
      <c r="K12" s="244">
        <v>20.980268696943927</v>
      </c>
      <c r="L12" s="234">
        <v>0</v>
      </c>
      <c r="M12" s="244">
        <v>0</v>
      </c>
      <c r="N12" s="245">
        <v>117.34633889098967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300.89156558909451</v>
      </c>
      <c r="V12" s="246">
        <v>109.39698389769327</v>
      </c>
      <c r="W12" s="246">
        <v>38.139262377482851</v>
      </c>
      <c r="X12" s="246">
        <v>13.866524520255984</v>
      </c>
      <c r="Y12" s="250">
        <v>250.158857037465</v>
      </c>
      <c r="Z12" s="250">
        <v>90.951783249934962</v>
      </c>
      <c r="AA12" s="251">
        <v>0</v>
      </c>
      <c r="AB12" s="252">
        <v>0</v>
      </c>
      <c r="AC12" s="253">
        <v>0</v>
      </c>
      <c r="AD12" s="253">
        <v>18.924203711085827</v>
      </c>
      <c r="AE12" s="252">
        <v>13.7516976702167</v>
      </c>
      <c r="AF12" s="252">
        <v>4.9997886967994436</v>
      </c>
      <c r="AG12" s="252">
        <v>0.73336573971042274</v>
      </c>
      <c r="AH12" s="253">
        <v>165.76981230576831</v>
      </c>
      <c r="AI12" s="253">
        <v>898.8797679583231</v>
      </c>
      <c r="AJ12" s="253">
        <v>3021.2653948465986</v>
      </c>
      <c r="AK12" s="253">
        <v>983.63508434295659</v>
      </c>
      <c r="AL12" s="253">
        <v>4267.9356630961111</v>
      </c>
      <c r="AM12" s="253">
        <v>2230.6494719187417</v>
      </c>
      <c r="AN12" s="253">
        <v>537.90066165924065</v>
      </c>
      <c r="AO12" s="253">
        <v>3026.6623772939051</v>
      </c>
      <c r="AP12" s="253">
        <v>392.87140248616532</v>
      </c>
      <c r="AQ12" s="253">
        <v>868.91968520482385</v>
      </c>
    </row>
    <row r="13" spans="1:53">
      <c r="A13" s="232">
        <v>40822</v>
      </c>
      <c r="B13" s="243"/>
      <c r="C13" s="244">
        <v>87.162028888861457</v>
      </c>
      <c r="D13" s="244">
        <v>1098.6096290588378</v>
      </c>
      <c r="E13" s="244">
        <v>15.286529284219057</v>
      </c>
      <c r="F13" s="244">
        <v>0</v>
      </c>
      <c r="G13" s="244">
        <v>4268.8480325063028</v>
      </c>
      <c r="H13" s="245">
        <v>51.04313567678129</v>
      </c>
      <c r="I13" s="243">
        <v>465.33362261454346</v>
      </c>
      <c r="J13" s="244">
        <v>1015.7794818878149</v>
      </c>
      <c r="K13" s="244">
        <v>20.959953949848863</v>
      </c>
      <c r="L13" s="234">
        <v>0</v>
      </c>
      <c r="M13" s="244">
        <v>0</v>
      </c>
      <c r="N13" s="245">
        <v>118.65667145798588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291.52407610961404</v>
      </c>
      <c r="V13" s="246">
        <v>106.0019360991065</v>
      </c>
      <c r="W13" s="246">
        <v>36.364299058257558</v>
      </c>
      <c r="X13" s="246">
        <v>13.222530902088653</v>
      </c>
      <c r="Y13" s="250">
        <v>255.64925937620063</v>
      </c>
      <c r="Z13" s="250">
        <v>92.957387320526095</v>
      </c>
      <c r="AA13" s="251">
        <v>0</v>
      </c>
      <c r="AB13" s="252">
        <v>0</v>
      </c>
      <c r="AC13" s="253">
        <v>0</v>
      </c>
      <c r="AD13" s="253">
        <v>18.935385767618826</v>
      </c>
      <c r="AE13" s="252">
        <v>13.749002273043413</v>
      </c>
      <c r="AF13" s="252">
        <v>4.9993155962378335</v>
      </c>
      <c r="AG13" s="252">
        <v>0.73334591235893687</v>
      </c>
      <c r="AH13" s="253">
        <v>234.42885204950969</v>
      </c>
      <c r="AI13" s="253">
        <v>966.13415749867761</v>
      </c>
      <c r="AJ13" s="253">
        <v>3041.3043177286786</v>
      </c>
      <c r="AK13" s="253">
        <v>985.17287648518879</v>
      </c>
      <c r="AL13" s="253">
        <v>4272.8264521280917</v>
      </c>
      <c r="AM13" s="253">
        <v>2303.6437726338709</v>
      </c>
      <c r="AN13" s="253">
        <v>519.72917264302566</v>
      </c>
      <c r="AO13" s="253">
        <v>3020.5971153259275</v>
      </c>
      <c r="AP13" s="253">
        <v>406.03386611938481</v>
      </c>
      <c r="AQ13" s="253">
        <v>847.29769058227532</v>
      </c>
    </row>
    <row r="14" spans="1:53">
      <c r="A14" s="232">
        <v>40823</v>
      </c>
      <c r="B14" s="243"/>
      <c r="C14" s="244">
        <v>84.839769717057635</v>
      </c>
      <c r="D14" s="244">
        <v>1097.6038158416759</v>
      </c>
      <c r="E14" s="244">
        <v>15.352895328899269</v>
      </c>
      <c r="F14" s="244">
        <v>0</v>
      </c>
      <c r="G14" s="244">
        <v>4395.3454312642325</v>
      </c>
      <c r="H14" s="245">
        <v>51.304871881008232</v>
      </c>
      <c r="I14" s="243">
        <v>439.82966011365329</v>
      </c>
      <c r="J14" s="244">
        <v>982.31427377064927</v>
      </c>
      <c r="K14" s="244">
        <v>20.222058698534923</v>
      </c>
      <c r="L14" s="234">
        <v>0</v>
      </c>
      <c r="M14" s="244">
        <v>0</v>
      </c>
      <c r="N14" s="245">
        <v>83.563336258629832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281.58115238263116</v>
      </c>
      <c r="V14" s="246">
        <v>101.34679983276978</v>
      </c>
      <c r="W14" s="246">
        <v>33.915974814778878</v>
      </c>
      <c r="X14" s="246">
        <v>12.207051081373011</v>
      </c>
      <c r="Y14" s="250">
        <v>245.33399024717795</v>
      </c>
      <c r="Z14" s="250">
        <v>88.300706888111733</v>
      </c>
      <c r="AA14" s="251">
        <v>0</v>
      </c>
      <c r="AB14" s="252">
        <v>0</v>
      </c>
      <c r="AC14" s="253">
        <v>0</v>
      </c>
      <c r="AD14" s="253">
        <v>18.399303947554706</v>
      </c>
      <c r="AE14" s="252">
        <v>13.380738698140417</v>
      </c>
      <c r="AF14" s="252">
        <v>4.8160007691575943</v>
      </c>
      <c r="AG14" s="252">
        <v>0.73533715873590455</v>
      </c>
      <c r="AH14" s="253">
        <v>171.43593955834706</v>
      </c>
      <c r="AI14" s="253">
        <v>865.26652037302642</v>
      </c>
      <c r="AJ14" s="253">
        <v>2927.7688793182374</v>
      </c>
      <c r="AK14" s="253">
        <v>952.81610835393269</v>
      </c>
      <c r="AL14" s="253">
        <v>4252.4075237909956</v>
      </c>
      <c r="AM14" s="253">
        <v>2241.2118130366011</v>
      </c>
      <c r="AN14" s="253">
        <v>545.56067477862052</v>
      </c>
      <c r="AO14" s="253">
        <v>3076.5923749287922</v>
      </c>
      <c r="AP14" s="253">
        <v>436.05821901957194</v>
      </c>
      <c r="AQ14" s="253">
        <v>735.18564561208098</v>
      </c>
    </row>
    <row r="15" spans="1:53">
      <c r="A15" s="232">
        <v>40824</v>
      </c>
      <c r="B15" s="243"/>
      <c r="C15" s="244">
        <v>85.862175504366604</v>
      </c>
      <c r="D15" s="244">
        <v>1101.9226557413729</v>
      </c>
      <c r="E15" s="244">
        <v>15.096934687097898</v>
      </c>
      <c r="F15" s="244">
        <v>0</v>
      </c>
      <c r="G15" s="244">
        <v>4549.5515618642112</v>
      </c>
      <c r="H15" s="245">
        <v>50.752487266063739</v>
      </c>
      <c r="I15" s="243">
        <v>356.92557797431959</v>
      </c>
      <c r="J15" s="244">
        <v>802.24188048044664</v>
      </c>
      <c r="K15" s="244">
        <v>16.219313009579981</v>
      </c>
      <c r="L15" s="234">
        <v>0</v>
      </c>
      <c r="M15" s="244">
        <v>0</v>
      </c>
      <c r="N15" s="245">
        <v>104.95191275427747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227.94068236538939</v>
      </c>
      <c r="V15" s="246">
        <v>105.30276038193514</v>
      </c>
      <c r="W15" s="246">
        <v>26.790156127767855</v>
      </c>
      <c r="X15" s="246">
        <v>12.376366351289485</v>
      </c>
      <c r="Y15" s="250">
        <v>199.24358741778678</v>
      </c>
      <c r="Z15" s="250">
        <v>92.045437110080798</v>
      </c>
      <c r="AA15" s="251">
        <v>0</v>
      </c>
      <c r="AB15" s="252">
        <v>0</v>
      </c>
      <c r="AC15" s="253">
        <v>0</v>
      </c>
      <c r="AD15" s="253">
        <v>15.9988721927007</v>
      </c>
      <c r="AE15" s="252">
        <v>10.825092111126036</v>
      </c>
      <c r="AF15" s="252">
        <v>5.0009154524816255</v>
      </c>
      <c r="AG15" s="252">
        <v>0.68400650433269305</v>
      </c>
      <c r="AH15" s="253">
        <v>233.71268644332883</v>
      </c>
      <c r="AI15" s="253">
        <v>923.22213357289627</v>
      </c>
      <c r="AJ15" s="253">
        <v>2864.2876803080244</v>
      </c>
      <c r="AK15" s="253">
        <v>970.61817251841239</v>
      </c>
      <c r="AL15" s="253">
        <v>4582.5162239074707</v>
      </c>
      <c r="AM15" s="253">
        <v>2249.527160263061</v>
      </c>
      <c r="AN15" s="253">
        <v>529.83109580675762</v>
      </c>
      <c r="AO15" s="253">
        <v>2627.6691604614266</v>
      </c>
      <c r="AP15" s="253">
        <v>405.1975979328156</v>
      </c>
      <c r="AQ15" s="253">
        <v>591.25924733479815</v>
      </c>
    </row>
    <row r="16" spans="1:53">
      <c r="A16" s="232">
        <v>40825</v>
      </c>
      <c r="B16" s="243"/>
      <c r="C16" s="244">
        <v>69.496751481294751</v>
      </c>
      <c r="D16" s="244">
        <v>842.78917795816915</v>
      </c>
      <c r="E16" s="244">
        <v>11.56726001848782</v>
      </c>
      <c r="F16" s="244">
        <v>0</v>
      </c>
      <c r="G16" s="244">
        <v>3562.0183432896788</v>
      </c>
      <c r="H16" s="245">
        <v>37.714211219549291</v>
      </c>
      <c r="I16" s="243">
        <v>331.23258781433134</v>
      </c>
      <c r="J16" s="244">
        <v>750.6427034695937</v>
      </c>
      <c r="K16" s="244">
        <v>14.941273840268428</v>
      </c>
      <c r="L16" s="234">
        <v>0</v>
      </c>
      <c r="M16" s="244">
        <v>0</v>
      </c>
      <c r="N16" s="245">
        <v>113.67801107515898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218.74224137817058</v>
      </c>
      <c r="V16" s="246">
        <v>81.947438255072683</v>
      </c>
      <c r="W16" s="246">
        <v>25.298963683162604</v>
      </c>
      <c r="X16" s="246">
        <v>9.4777545081431516</v>
      </c>
      <c r="Y16" s="250">
        <v>187.76833534212636</v>
      </c>
      <c r="Z16" s="250">
        <v>70.343679253541026</v>
      </c>
      <c r="AA16" s="251">
        <v>0</v>
      </c>
      <c r="AB16" s="252">
        <v>0</v>
      </c>
      <c r="AC16" s="253">
        <v>0</v>
      </c>
      <c r="AD16" s="253">
        <v>13.907182943158675</v>
      </c>
      <c r="AE16" s="252">
        <v>10.000398410536993</v>
      </c>
      <c r="AF16" s="252">
        <v>3.7464507363111892</v>
      </c>
      <c r="AG16" s="252">
        <v>0.72746840412006997</v>
      </c>
      <c r="AH16" s="253">
        <v>216.96224142710372</v>
      </c>
      <c r="AI16" s="253">
        <v>902.91555042266839</v>
      </c>
      <c r="AJ16" s="253">
        <v>3011.0380215962723</v>
      </c>
      <c r="AK16" s="253">
        <v>957.44504820505767</v>
      </c>
      <c r="AL16" s="253">
        <v>3913.2449654897055</v>
      </c>
      <c r="AM16" s="253">
        <v>2262.2790630340578</v>
      </c>
      <c r="AN16" s="253">
        <v>575.64973826408379</v>
      </c>
      <c r="AO16" s="253">
        <v>2225.4563659667965</v>
      </c>
      <c r="AP16" s="253">
        <v>386.58378678957627</v>
      </c>
      <c r="AQ16" s="253">
        <v>583.28146762847905</v>
      </c>
    </row>
    <row r="17" spans="1:43">
      <c r="A17" s="232">
        <v>40826</v>
      </c>
      <c r="B17" s="233"/>
      <c r="C17" s="234">
        <v>54.415519996484122</v>
      </c>
      <c r="D17" s="234">
        <v>668.70766868591261</v>
      </c>
      <c r="E17" s="234">
        <v>9.9601627290248871</v>
      </c>
      <c r="F17" s="234">
        <v>0</v>
      </c>
      <c r="G17" s="234">
        <v>2653.676262410484</v>
      </c>
      <c r="H17" s="235">
        <v>29.815137310822816</v>
      </c>
      <c r="I17" s="233">
        <v>315.71561280886357</v>
      </c>
      <c r="J17" s="234">
        <v>747.81909669240099</v>
      </c>
      <c r="K17" s="234">
        <v>14.928077243765234</v>
      </c>
      <c r="L17" s="234">
        <v>0</v>
      </c>
      <c r="M17" s="234">
        <v>0</v>
      </c>
      <c r="N17" s="235">
        <v>101.75435892989229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215.02138070278008</v>
      </c>
      <c r="V17" s="250">
        <v>64.497051193851789</v>
      </c>
      <c r="W17" s="246">
        <v>25.949580235916716</v>
      </c>
      <c r="X17" s="246">
        <v>7.7837441070493769</v>
      </c>
      <c r="Y17" s="250">
        <v>188.90516981007104</v>
      </c>
      <c r="Z17" s="250">
        <v>56.663325145627667</v>
      </c>
      <c r="AA17" s="251">
        <v>0</v>
      </c>
      <c r="AB17" s="252">
        <v>0</v>
      </c>
      <c r="AC17" s="253">
        <v>0</v>
      </c>
      <c r="AD17" s="253">
        <v>13.142838766177498</v>
      </c>
      <c r="AE17" s="252">
        <v>10.000601303283723</v>
      </c>
      <c r="AF17" s="252">
        <v>2.9997449189426195</v>
      </c>
      <c r="AG17" s="252">
        <v>0.76925653612101219</v>
      </c>
      <c r="AH17" s="253">
        <v>195.45986115932465</v>
      </c>
      <c r="AI17" s="253">
        <v>871.48708651860557</v>
      </c>
      <c r="AJ17" s="253">
        <v>2979.8134793599461</v>
      </c>
      <c r="AK17" s="253">
        <v>950.29018033345551</v>
      </c>
      <c r="AL17" s="253">
        <v>3210.1500668843596</v>
      </c>
      <c r="AM17" s="253">
        <v>2215.0410976409912</v>
      </c>
      <c r="AN17" s="253">
        <v>555.78820718129487</v>
      </c>
      <c r="AO17" s="253">
        <v>2117.0740787506106</v>
      </c>
      <c r="AP17" s="253">
        <v>360.28424633344014</v>
      </c>
      <c r="AQ17" s="253">
        <v>695.56923764546707</v>
      </c>
    </row>
    <row r="18" spans="1:43">
      <c r="A18" s="232">
        <v>40827</v>
      </c>
      <c r="B18" s="243"/>
      <c r="C18" s="244">
        <v>52.933101469278135</v>
      </c>
      <c r="D18" s="244">
        <v>674.91572167078652</v>
      </c>
      <c r="E18" s="244">
        <v>10.125177666544916</v>
      </c>
      <c r="F18" s="244">
        <v>0</v>
      </c>
      <c r="G18" s="244">
        <v>2555.0045830408749</v>
      </c>
      <c r="H18" s="245">
        <v>29.870142053564436</v>
      </c>
      <c r="I18" s="243">
        <v>315.60688885052963</v>
      </c>
      <c r="J18" s="244">
        <v>742.29307781855096</v>
      </c>
      <c r="K18" s="244">
        <v>15.0203405012687</v>
      </c>
      <c r="L18" s="234">
        <v>0</v>
      </c>
      <c r="M18" s="244">
        <v>0</v>
      </c>
      <c r="N18" s="245">
        <v>91.582610723376277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214.64171200848543</v>
      </c>
      <c r="V18" s="246">
        <v>64.406725533899504</v>
      </c>
      <c r="W18" s="246">
        <v>26.085034300540897</v>
      </c>
      <c r="X18" s="246">
        <v>7.8272374414851589</v>
      </c>
      <c r="Y18" s="250">
        <v>190.75936702299495</v>
      </c>
      <c r="Z18" s="250">
        <v>57.240440732157069</v>
      </c>
      <c r="AA18" s="251">
        <v>0</v>
      </c>
      <c r="AB18" s="252">
        <v>0</v>
      </c>
      <c r="AC18" s="253">
        <v>0</v>
      </c>
      <c r="AD18" s="253">
        <v>13.141987757550332</v>
      </c>
      <c r="AE18" s="252">
        <v>9.9995006406923359</v>
      </c>
      <c r="AF18" s="252">
        <v>3.0005122826063877</v>
      </c>
      <c r="AG18" s="252">
        <v>0.76919159232304712</v>
      </c>
      <c r="AH18" s="253">
        <v>178.98831063906349</v>
      </c>
      <c r="AI18" s="253">
        <v>849.78775873184202</v>
      </c>
      <c r="AJ18" s="253">
        <v>2944.2611602783209</v>
      </c>
      <c r="AK18" s="253">
        <v>950.46875082651775</v>
      </c>
      <c r="AL18" s="253">
        <v>2902.6446973164875</v>
      </c>
      <c r="AM18" s="253">
        <v>2222.4393519083665</v>
      </c>
      <c r="AN18" s="253">
        <v>540.02062048912046</v>
      </c>
      <c r="AO18" s="253">
        <v>1960.2496476491292</v>
      </c>
      <c r="AP18" s="253">
        <v>354.93891906738281</v>
      </c>
      <c r="AQ18" s="253">
        <v>712.90422763824461</v>
      </c>
    </row>
    <row r="19" spans="1:43">
      <c r="A19" s="232">
        <v>40828</v>
      </c>
      <c r="B19" s="243"/>
      <c r="C19" s="244">
        <v>51.746789771318404</v>
      </c>
      <c r="D19" s="244">
        <v>669.33348048528069</v>
      </c>
      <c r="E19" s="244">
        <v>10.037284133334953</v>
      </c>
      <c r="F19" s="244">
        <v>0</v>
      </c>
      <c r="G19" s="244">
        <v>2651.6749567031866</v>
      </c>
      <c r="H19" s="245">
        <v>30.576732337474873</v>
      </c>
      <c r="I19" s="243">
        <v>308.30635945002211</v>
      </c>
      <c r="J19" s="244">
        <v>727.78044748306024</v>
      </c>
      <c r="K19" s="244">
        <v>15.032404524087898</v>
      </c>
      <c r="L19" s="234">
        <v>0</v>
      </c>
      <c r="M19" s="244">
        <v>0</v>
      </c>
      <c r="N19" s="245">
        <v>92.283967917660917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213.41925611612425</v>
      </c>
      <c r="V19" s="246">
        <v>58.797437984571843</v>
      </c>
      <c r="W19" s="246">
        <v>26.177728316939842</v>
      </c>
      <c r="X19" s="246">
        <v>7.2120172532826672</v>
      </c>
      <c r="Y19" s="250">
        <v>188.99085289445102</v>
      </c>
      <c r="Z19" s="250">
        <v>52.067363343570747</v>
      </c>
      <c r="AA19" s="251">
        <v>0</v>
      </c>
      <c r="AB19" s="252">
        <v>0</v>
      </c>
      <c r="AC19" s="253">
        <v>0</v>
      </c>
      <c r="AD19" s="253">
        <v>12.901501886712184</v>
      </c>
      <c r="AE19" s="252">
        <v>10.000364984300568</v>
      </c>
      <c r="AF19" s="252">
        <v>2.7551208390847362</v>
      </c>
      <c r="AG19" s="252">
        <v>0.78400502519209203</v>
      </c>
      <c r="AH19" s="253">
        <v>188.24106724262236</v>
      </c>
      <c r="AI19" s="253">
        <v>857.66114743550622</v>
      </c>
      <c r="AJ19" s="253">
        <v>2947.0287926991778</v>
      </c>
      <c r="AK19" s="253">
        <v>952.48370679219556</v>
      </c>
      <c r="AL19" s="253">
        <v>2906.0836858113603</v>
      </c>
      <c r="AM19" s="253">
        <v>2178.2668108622233</v>
      </c>
      <c r="AN19" s="253">
        <v>557.179627863566</v>
      </c>
      <c r="AO19" s="253">
        <v>1971.2259145100911</v>
      </c>
      <c r="AP19" s="253">
        <v>340.08094806671141</v>
      </c>
      <c r="AQ19" s="253">
        <v>653.20458078384411</v>
      </c>
    </row>
    <row r="20" spans="1:43">
      <c r="A20" s="232">
        <v>40829</v>
      </c>
      <c r="B20" s="243"/>
      <c r="C20" s="244">
        <v>52.0501355270546</v>
      </c>
      <c r="D20" s="244">
        <v>666.8363297780345</v>
      </c>
      <c r="E20" s="244">
        <v>9.9521653900543825</v>
      </c>
      <c r="F20" s="244">
        <v>0</v>
      </c>
      <c r="G20" s="244">
        <v>2694.5078688939361</v>
      </c>
      <c r="H20" s="245">
        <v>30.242761532465614</v>
      </c>
      <c r="I20" s="243">
        <v>364.61277825037672</v>
      </c>
      <c r="J20" s="244">
        <v>852.16351401011252</v>
      </c>
      <c r="K20" s="244">
        <v>17.267878439029083</v>
      </c>
      <c r="L20" s="234">
        <v>0</v>
      </c>
      <c r="M20" s="244">
        <v>0</v>
      </c>
      <c r="N20" s="245">
        <v>92.885013120869687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229.31648986280689</v>
      </c>
      <c r="V20" s="246">
        <v>61.040500495758792</v>
      </c>
      <c r="W20" s="246">
        <v>28.005011209359054</v>
      </c>
      <c r="X20" s="246">
        <v>7.4545005534984341</v>
      </c>
      <c r="Y20" s="250">
        <v>158.53413430126184</v>
      </c>
      <c r="Z20" s="250">
        <v>42.199332935892755</v>
      </c>
      <c r="AA20" s="251">
        <v>0</v>
      </c>
      <c r="AB20" s="252">
        <v>0</v>
      </c>
      <c r="AC20" s="253">
        <v>0</v>
      </c>
      <c r="AD20" s="253">
        <v>13.701092571682368</v>
      </c>
      <c r="AE20" s="252">
        <v>10.714670888447911</v>
      </c>
      <c r="AF20" s="252">
        <v>2.852079560739321</v>
      </c>
      <c r="AG20" s="252">
        <v>0.78977430362403511</v>
      </c>
      <c r="AH20" s="253">
        <v>172.80675605932871</v>
      </c>
      <c r="AI20" s="253">
        <v>859.071974213918</v>
      </c>
      <c r="AJ20" s="253">
        <v>2955.636154556275</v>
      </c>
      <c r="AK20" s="253">
        <v>957.80860875447593</v>
      </c>
      <c r="AL20" s="253">
        <v>2862.6393171946206</v>
      </c>
      <c r="AM20" s="253">
        <v>2202.3938632965087</v>
      </c>
      <c r="AN20" s="253">
        <v>536.70666875839242</v>
      </c>
      <c r="AO20" s="253">
        <v>2118.4419052124022</v>
      </c>
      <c r="AP20" s="253">
        <v>377.97050673961638</v>
      </c>
      <c r="AQ20" s="253">
        <v>778.94779262542716</v>
      </c>
    </row>
    <row r="21" spans="1:43">
      <c r="A21" s="232">
        <v>40830</v>
      </c>
      <c r="B21" s="243"/>
      <c r="C21" s="244">
        <v>53.096690436204376</v>
      </c>
      <c r="D21" s="244">
        <v>670.65145524342915</v>
      </c>
      <c r="E21" s="244">
        <v>10.288726384441066</v>
      </c>
      <c r="F21" s="244">
        <v>0</v>
      </c>
      <c r="G21" s="244">
        <v>2744.1402566909778</v>
      </c>
      <c r="H21" s="245">
        <v>30.916749501228391</v>
      </c>
      <c r="I21" s="243">
        <v>373.5567444960285</v>
      </c>
      <c r="J21" s="244">
        <v>887.03973108927198</v>
      </c>
      <c r="K21" s="244">
        <v>18.083831078807542</v>
      </c>
      <c r="L21" s="234">
        <v>0</v>
      </c>
      <c r="M21" s="244">
        <v>0</v>
      </c>
      <c r="N21" s="245">
        <v>92.641524980962288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254.17835295200902</v>
      </c>
      <c r="V21" s="246">
        <v>63.542800582772124</v>
      </c>
      <c r="W21" s="246">
        <v>30.463923107924742</v>
      </c>
      <c r="X21" s="246">
        <v>7.6157665219478918</v>
      </c>
      <c r="Y21" s="250">
        <v>182.1028093637583</v>
      </c>
      <c r="Z21" s="250">
        <v>45.524421598359417</v>
      </c>
      <c r="AA21" s="251">
        <v>0</v>
      </c>
      <c r="AB21" s="252">
        <v>0</v>
      </c>
      <c r="AC21" s="253">
        <v>0</v>
      </c>
      <c r="AD21" s="253">
        <v>14.97835260033607</v>
      </c>
      <c r="AE21" s="252">
        <v>11.868603328542637</v>
      </c>
      <c r="AF21" s="252">
        <v>2.967067359367157</v>
      </c>
      <c r="AG21" s="252">
        <v>0.80000450119284849</v>
      </c>
      <c r="AH21" s="253">
        <v>181.18869190216063</v>
      </c>
      <c r="AI21" s="253">
        <v>894.32613652547218</v>
      </c>
      <c r="AJ21" s="253">
        <v>2967.6033189137775</v>
      </c>
      <c r="AK21" s="253">
        <v>961.20630772908532</v>
      </c>
      <c r="AL21" s="253">
        <v>3116.1847869873041</v>
      </c>
      <c r="AM21" s="253">
        <v>2146.1951985677083</v>
      </c>
      <c r="AN21" s="253">
        <v>548.0622379302979</v>
      </c>
      <c r="AO21" s="253">
        <v>2194.205832544963</v>
      </c>
      <c r="AP21" s="253">
        <v>430.40944086710613</v>
      </c>
      <c r="AQ21" s="253">
        <v>705.49354597727461</v>
      </c>
    </row>
    <row r="22" spans="1:43">
      <c r="A22" s="232">
        <v>40831</v>
      </c>
      <c r="B22" s="243"/>
      <c r="C22" s="244">
        <v>52.08951744238535</v>
      </c>
      <c r="D22" s="244">
        <v>659.19857575098706</v>
      </c>
      <c r="E22" s="244">
        <v>10.136361248791204</v>
      </c>
      <c r="F22" s="244">
        <v>0</v>
      </c>
      <c r="G22" s="244">
        <v>2744.3066111882499</v>
      </c>
      <c r="H22" s="245">
        <v>30.327658824125976</v>
      </c>
      <c r="I22" s="243">
        <v>371.66452163060518</v>
      </c>
      <c r="J22" s="244">
        <v>909.24454364776773</v>
      </c>
      <c r="K22" s="244">
        <v>18.508122417330767</v>
      </c>
      <c r="L22" s="234">
        <v>0</v>
      </c>
      <c r="M22" s="244">
        <v>0</v>
      </c>
      <c r="N22" s="245">
        <v>91.724902004003582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258.46650728577782</v>
      </c>
      <c r="V22" s="246">
        <v>64.433500343614483</v>
      </c>
      <c r="W22" s="246">
        <v>31.279150938660916</v>
      </c>
      <c r="X22" s="246">
        <v>7.7976260983237919</v>
      </c>
      <c r="Y22" s="250">
        <v>203.38017894645597</v>
      </c>
      <c r="Z22" s="250">
        <v>50.700947552719633</v>
      </c>
      <c r="AA22" s="251">
        <v>0</v>
      </c>
      <c r="AB22" s="252">
        <v>0</v>
      </c>
      <c r="AC22" s="253">
        <v>0</v>
      </c>
      <c r="AD22" s="253">
        <v>15.245767337746058</v>
      </c>
      <c r="AE22" s="252">
        <v>12.032719771031241</v>
      </c>
      <c r="AF22" s="252">
        <v>2.999654623119596</v>
      </c>
      <c r="AG22" s="252">
        <v>0.80045370448684572</v>
      </c>
      <c r="AH22" s="253">
        <v>219.29809667269387</v>
      </c>
      <c r="AI22" s="253">
        <v>910.44313484827694</v>
      </c>
      <c r="AJ22" s="253">
        <v>3008.8522112528485</v>
      </c>
      <c r="AK22" s="253">
        <v>958.78224525451662</v>
      </c>
      <c r="AL22" s="253">
        <v>3102.4684787750257</v>
      </c>
      <c r="AM22" s="253">
        <v>2178.7199824015297</v>
      </c>
      <c r="AN22" s="253">
        <v>513.15830338795979</v>
      </c>
      <c r="AO22" s="253">
        <v>2167.5643615722656</v>
      </c>
      <c r="AP22" s="253">
        <v>440.94078696568801</v>
      </c>
      <c r="AQ22" s="253">
        <v>788.17959191004434</v>
      </c>
    </row>
    <row r="23" spans="1:43">
      <c r="A23" s="232">
        <v>40832</v>
      </c>
      <c r="B23" s="243"/>
      <c r="C23" s="244">
        <v>51.287987246115954</v>
      </c>
      <c r="D23" s="244">
        <v>685.0677411079397</v>
      </c>
      <c r="E23" s="244">
        <v>10.045856185257438</v>
      </c>
      <c r="F23" s="244">
        <v>0</v>
      </c>
      <c r="G23" s="244">
        <v>2825.9497968037895</v>
      </c>
      <c r="H23" s="245">
        <v>30.553778072198291</v>
      </c>
      <c r="I23" s="243">
        <v>348.60605489412939</v>
      </c>
      <c r="J23" s="244">
        <v>899.11844863891804</v>
      </c>
      <c r="K23" s="244">
        <v>18.294352793693555</v>
      </c>
      <c r="L23" s="234">
        <v>0</v>
      </c>
      <c r="M23" s="244">
        <v>0</v>
      </c>
      <c r="N23" s="245">
        <v>92.989000916481032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254.66401639745291</v>
      </c>
      <c r="V23" s="246">
        <v>63.679811517740305</v>
      </c>
      <c r="W23" s="246">
        <v>30.82759329930667</v>
      </c>
      <c r="X23" s="246">
        <v>7.7085697406955571</v>
      </c>
      <c r="Y23" s="250">
        <v>213.32073631203247</v>
      </c>
      <c r="Z23" s="250">
        <v>53.341749939162874</v>
      </c>
      <c r="AA23" s="251">
        <v>0</v>
      </c>
      <c r="AB23" s="252">
        <v>0</v>
      </c>
      <c r="AC23" s="253">
        <v>0</v>
      </c>
      <c r="AD23" s="253">
        <v>15.072409809297982</v>
      </c>
      <c r="AE23" s="252">
        <v>11.86149066075126</v>
      </c>
      <c r="AF23" s="252">
        <v>2.9660157735721313</v>
      </c>
      <c r="AG23" s="252">
        <v>0.79996530187258852</v>
      </c>
      <c r="AH23" s="253">
        <v>218.13616207440697</v>
      </c>
      <c r="AI23" s="253">
        <v>907.68405599594121</v>
      </c>
      <c r="AJ23" s="253">
        <v>2990.1110181172689</v>
      </c>
      <c r="AK23" s="253">
        <v>960.11495984395333</v>
      </c>
      <c r="AL23" s="253">
        <v>3069.3632633209227</v>
      </c>
      <c r="AM23" s="253">
        <v>2190.8867811838791</v>
      </c>
      <c r="AN23" s="253">
        <v>511.4941776434581</v>
      </c>
      <c r="AO23" s="253">
        <v>2177.2995981852214</v>
      </c>
      <c r="AP23" s="253">
        <v>437.42510385513305</v>
      </c>
      <c r="AQ23" s="253">
        <v>660.49259646733594</v>
      </c>
    </row>
    <row r="24" spans="1:43">
      <c r="A24" s="232">
        <v>40833</v>
      </c>
      <c r="B24" s="243"/>
      <c r="C24" s="244">
        <v>52.378667000929518</v>
      </c>
      <c r="D24" s="244">
        <v>687.10323982238799</v>
      </c>
      <c r="E24" s="244">
        <v>10.038649611175051</v>
      </c>
      <c r="F24" s="244">
        <v>0</v>
      </c>
      <c r="G24" s="244">
        <v>2903.8409935633285</v>
      </c>
      <c r="H24" s="245">
        <v>30.368716465433476</v>
      </c>
      <c r="I24" s="243">
        <v>363.78823601404866</v>
      </c>
      <c r="J24" s="244">
        <v>885.95964399973684</v>
      </c>
      <c r="K24" s="244">
        <v>18.27956176797549</v>
      </c>
      <c r="L24" s="234">
        <v>0</v>
      </c>
      <c r="M24" s="244">
        <v>0</v>
      </c>
      <c r="N24" s="245">
        <v>91.983682467540078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264.13144291868764</v>
      </c>
      <c r="V24" s="246">
        <v>63.1776286433373</v>
      </c>
      <c r="W24" s="246">
        <v>32.040389066660993</v>
      </c>
      <c r="X24" s="246">
        <v>7.6637441558395221</v>
      </c>
      <c r="Y24" s="250">
        <v>213.35102257227609</v>
      </c>
      <c r="Z24" s="250">
        <v>51.031454361520375</v>
      </c>
      <c r="AA24" s="251">
        <v>0</v>
      </c>
      <c r="AB24" s="252">
        <v>0</v>
      </c>
      <c r="AC24" s="253">
        <v>0</v>
      </c>
      <c r="AD24" s="253">
        <v>15.118565315008146</v>
      </c>
      <c r="AE24" s="252">
        <v>11.999142015266536</v>
      </c>
      <c r="AF24" s="252">
        <v>2.8700760875052187</v>
      </c>
      <c r="AG24" s="252">
        <v>0.80697868121456828</v>
      </c>
      <c r="AH24" s="253">
        <v>237.44097138245894</v>
      </c>
      <c r="AI24" s="253">
        <v>929.31228574116994</v>
      </c>
      <c r="AJ24" s="253">
        <v>2996.2052845001222</v>
      </c>
      <c r="AK24" s="253">
        <v>963.9968365351358</v>
      </c>
      <c r="AL24" s="253">
        <v>3215.4744836171462</v>
      </c>
      <c r="AM24" s="253">
        <v>2203.6036515553792</v>
      </c>
      <c r="AN24" s="253">
        <v>556.6548072020214</v>
      </c>
      <c r="AO24" s="253">
        <v>2305.5169100443527</v>
      </c>
      <c r="AP24" s="253">
        <v>436.36488520304363</v>
      </c>
      <c r="AQ24" s="253">
        <v>616.08674589792884</v>
      </c>
    </row>
    <row r="25" spans="1:43">
      <c r="A25" s="232">
        <v>40834</v>
      </c>
      <c r="B25" s="243"/>
      <c r="C25" s="244">
        <v>52.291699212789453</v>
      </c>
      <c r="D25" s="244">
        <v>674.2540588061014</v>
      </c>
      <c r="E25" s="244">
        <v>9.8660715073346985</v>
      </c>
      <c r="F25" s="244">
        <v>0</v>
      </c>
      <c r="G25" s="244">
        <v>2917.1383735020941</v>
      </c>
      <c r="H25" s="245">
        <v>31.224912122885502</v>
      </c>
      <c r="I25" s="243">
        <v>346.51915489832544</v>
      </c>
      <c r="J25" s="244">
        <v>796.25270808537789</v>
      </c>
      <c r="K25" s="244">
        <v>16.134838498632085</v>
      </c>
      <c r="L25" s="234">
        <v>0</v>
      </c>
      <c r="M25" s="244">
        <v>0</v>
      </c>
      <c r="N25" s="245">
        <v>92.606229790051742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227.62590069579605</v>
      </c>
      <c r="V25" s="246">
        <v>64.285002556700036</v>
      </c>
      <c r="W25" s="246">
        <v>28.89504625895443</v>
      </c>
      <c r="X25" s="246">
        <v>8.1603987813112582</v>
      </c>
      <c r="Y25" s="250">
        <v>175.93371535901997</v>
      </c>
      <c r="Z25" s="250">
        <v>49.686346356424167</v>
      </c>
      <c r="AA25" s="251">
        <v>0</v>
      </c>
      <c r="AB25" s="252">
        <v>0</v>
      </c>
      <c r="AC25" s="253">
        <v>0</v>
      </c>
      <c r="AD25" s="253">
        <v>13.71261714564428</v>
      </c>
      <c r="AE25" s="252">
        <v>10.496681494257828</v>
      </c>
      <c r="AF25" s="252">
        <v>2.9644218633846031</v>
      </c>
      <c r="AG25" s="252">
        <v>0.77977868644017378</v>
      </c>
      <c r="AH25" s="253">
        <v>216.07644045352936</v>
      </c>
      <c r="AI25" s="253">
        <v>936.01570316950495</v>
      </c>
      <c r="AJ25" s="253">
        <v>2986.0279253641766</v>
      </c>
      <c r="AK25" s="253">
        <v>967.07582372029617</v>
      </c>
      <c r="AL25" s="253">
        <v>3483.5796685536707</v>
      </c>
      <c r="AM25" s="253">
        <v>2344.5995230356853</v>
      </c>
      <c r="AN25" s="253">
        <v>568.08586986859621</v>
      </c>
      <c r="AO25" s="253">
        <v>2134.6440673828129</v>
      </c>
      <c r="AP25" s="253">
        <v>429.49140764872237</v>
      </c>
      <c r="AQ25" s="253">
        <v>640.27845478057861</v>
      </c>
    </row>
    <row r="26" spans="1:43">
      <c r="A26" s="232">
        <v>40835</v>
      </c>
      <c r="B26" s="243"/>
      <c r="C26" s="244">
        <v>51.398709754149237</v>
      </c>
      <c r="D26" s="244">
        <v>672.75961624781337</v>
      </c>
      <c r="E26" s="244">
        <v>9.8727861841519591</v>
      </c>
      <c r="F26" s="244">
        <v>0</v>
      </c>
      <c r="G26" s="244">
        <v>2897.0390124003093</v>
      </c>
      <c r="H26" s="245">
        <v>30.789688416322161</v>
      </c>
      <c r="I26" s="243">
        <v>328.29277674357127</v>
      </c>
      <c r="J26" s="244">
        <v>745.03811016082534</v>
      </c>
      <c r="K26" s="244">
        <v>15.149558998147654</v>
      </c>
      <c r="L26" s="234">
        <v>0</v>
      </c>
      <c r="M26" s="244">
        <v>0</v>
      </c>
      <c r="N26" s="245">
        <v>92.227629328270737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211.77245242452605</v>
      </c>
      <c r="V26" s="246">
        <v>63.549905664498702</v>
      </c>
      <c r="W26" s="246">
        <v>27.397443974126183</v>
      </c>
      <c r="X26" s="246">
        <v>8.2215838749122607</v>
      </c>
      <c r="Y26" s="250">
        <v>165.92880372136631</v>
      </c>
      <c r="Z26" s="250">
        <v>49.792877698642201</v>
      </c>
      <c r="AA26" s="251">
        <v>0</v>
      </c>
      <c r="AB26" s="252">
        <v>0</v>
      </c>
      <c r="AC26" s="253">
        <v>0</v>
      </c>
      <c r="AD26" s="253">
        <v>13.240704426500535</v>
      </c>
      <c r="AE26" s="252">
        <v>9.9978880894027284</v>
      </c>
      <c r="AF26" s="252">
        <v>3.0002242390435443</v>
      </c>
      <c r="AG26" s="252">
        <v>0.76918000373965267</v>
      </c>
      <c r="AH26" s="253">
        <v>208.73951830069223</v>
      </c>
      <c r="AI26" s="253">
        <v>941.48874130249021</v>
      </c>
      <c r="AJ26" s="253">
        <v>2941.1603832244873</v>
      </c>
      <c r="AK26" s="253">
        <v>966.30162143707287</v>
      </c>
      <c r="AL26" s="253">
        <v>3403.3936049143467</v>
      </c>
      <c r="AM26" s="253">
        <v>2500.6492200215657</v>
      </c>
      <c r="AN26" s="253">
        <v>566.60092973709095</v>
      </c>
      <c r="AO26" s="253">
        <v>2093.6176381429032</v>
      </c>
      <c r="AP26" s="253">
        <v>403.97611573537193</v>
      </c>
      <c r="AQ26" s="253">
        <v>640.83422784805293</v>
      </c>
    </row>
    <row r="27" spans="1:43">
      <c r="A27" s="232">
        <v>40836</v>
      </c>
      <c r="B27" s="243"/>
      <c r="C27" s="244">
        <v>51.764375690619218</v>
      </c>
      <c r="D27" s="244">
        <v>670.93760798772166</v>
      </c>
      <c r="E27" s="244">
        <v>9.9668162142237176</v>
      </c>
      <c r="F27" s="244">
        <v>0</v>
      </c>
      <c r="G27" s="244">
        <v>2832.9578649520849</v>
      </c>
      <c r="H27" s="245">
        <v>30.093193600575155</v>
      </c>
      <c r="I27" s="243">
        <v>328.37433640162203</v>
      </c>
      <c r="J27" s="244">
        <v>734.33357480366817</v>
      </c>
      <c r="K27" s="244">
        <v>14.830117415388438</v>
      </c>
      <c r="L27" s="234">
        <v>0</v>
      </c>
      <c r="M27" s="244">
        <v>0</v>
      </c>
      <c r="N27" s="245">
        <v>77.369216409325489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201.68774539481151</v>
      </c>
      <c r="V27" s="246">
        <v>61.677715297700757</v>
      </c>
      <c r="W27" s="246">
        <v>25.653119327249023</v>
      </c>
      <c r="X27" s="246">
        <v>7.8449277484199262</v>
      </c>
      <c r="Y27" s="246">
        <v>164.92773195440088</v>
      </c>
      <c r="Z27" s="246">
        <v>50.43621106610243</v>
      </c>
      <c r="AA27" s="256">
        <v>0</v>
      </c>
      <c r="AB27" s="253">
        <v>0</v>
      </c>
      <c r="AC27" s="253">
        <v>0</v>
      </c>
      <c r="AD27" s="253">
        <v>13.045292576154075</v>
      </c>
      <c r="AE27" s="253">
        <v>9.8101557711576604</v>
      </c>
      <c r="AF27" s="253">
        <v>3.0000235933775463</v>
      </c>
      <c r="AG27" s="253">
        <v>0.76580939985250573</v>
      </c>
      <c r="AH27" s="253">
        <v>208.66504631042477</v>
      </c>
      <c r="AI27" s="253">
        <v>961.71849632263184</v>
      </c>
      <c r="AJ27" s="253">
        <v>2899.7237135569258</v>
      </c>
      <c r="AK27" s="253">
        <v>964.11075305938698</v>
      </c>
      <c r="AL27" s="253">
        <v>3293.7789538065599</v>
      </c>
      <c r="AM27" s="253">
        <v>2465.3223593393964</v>
      </c>
      <c r="AN27" s="253">
        <v>545.79008838335676</v>
      </c>
      <c r="AO27" s="253">
        <v>2026.694387054443</v>
      </c>
      <c r="AP27" s="253">
        <v>432.47734684944152</v>
      </c>
      <c r="AQ27" s="253">
        <v>740.01499954859423</v>
      </c>
    </row>
    <row r="28" spans="1:43">
      <c r="A28" s="232">
        <v>40837</v>
      </c>
      <c r="B28" s="243"/>
      <c r="C28" s="244">
        <v>51.152116396029776</v>
      </c>
      <c r="D28" s="244">
        <v>671.91527926127071</v>
      </c>
      <c r="E28" s="244">
        <v>10.001550994813449</v>
      </c>
      <c r="F28" s="244">
        <v>0</v>
      </c>
      <c r="G28" s="244">
        <v>2852.0715970992983</v>
      </c>
      <c r="H28" s="245">
        <v>30.430962961912225</v>
      </c>
      <c r="I28" s="243">
        <v>300.95315400759341</v>
      </c>
      <c r="J28" s="244">
        <v>674.72246818542374</v>
      </c>
      <c r="K28" s="244">
        <v>13.559797299901639</v>
      </c>
      <c r="L28" s="234">
        <v>0</v>
      </c>
      <c r="M28" s="244">
        <v>0</v>
      </c>
      <c r="N28" s="245">
        <v>48.581408003966047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185.59946372778037</v>
      </c>
      <c r="V28" s="246">
        <v>58.998965136167982</v>
      </c>
      <c r="W28" s="246">
        <v>23.246639573170189</v>
      </c>
      <c r="X28" s="246">
        <v>7.3897178912227748</v>
      </c>
      <c r="Y28" s="250">
        <v>150.08125506946766</v>
      </c>
      <c r="Z28" s="250">
        <v>47.708320690101772</v>
      </c>
      <c r="AA28" s="251">
        <v>0</v>
      </c>
      <c r="AB28" s="252">
        <v>0</v>
      </c>
      <c r="AC28" s="253">
        <v>0</v>
      </c>
      <c r="AD28" s="253">
        <v>11.921527414189455</v>
      </c>
      <c r="AE28" s="252">
        <v>8.8849076014001778</v>
      </c>
      <c r="AF28" s="252">
        <v>2.8243635153058961</v>
      </c>
      <c r="AG28" s="252">
        <v>0.75879254249427475</v>
      </c>
      <c r="AH28" s="253">
        <v>196.0373552163442</v>
      </c>
      <c r="AI28" s="253">
        <v>936.70791956583662</v>
      </c>
      <c r="AJ28" s="253">
        <v>2911.4681046803794</v>
      </c>
      <c r="AK28" s="253">
        <v>952.67813485463466</v>
      </c>
      <c r="AL28" s="253">
        <v>3148.2156379699704</v>
      </c>
      <c r="AM28" s="253">
        <v>2501.6779571533207</v>
      </c>
      <c r="AN28" s="253">
        <v>584.17406595548005</v>
      </c>
      <c r="AO28" s="253">
        <v>1931.345747121175</v>
      </c>
      <c r="AP28" s="253">
        <v>446.06198921203611</v>
      </c>
      <c r="AQ28" s="253">
        <v>768.82373701731376</v>
      </c>
    </row>
    <row r="29" spans="1:43">
      <c r="A29" s="232">
        <v>40838</v>
      </c>
      <c r="B29" s="243"/>
      <c r="C29" s="244">
        <v>49.527762212355903</v>
      </c>
      <c r="D29" s="244">
        <v>670.99207998911527</v>
      </c>
      <c r="E29" s="244">
        <v>9.9942048564553438</v>
      </c>
      <c r="F29" s="244">
        <v>0</v>
      </c>
      <c r="G29" s="244">
        <v>2827.4561775207517</v>
      </c>
      <c r="H29" s="245">
        <v>29.824394003550228</v>
      </c>
      <c r="I29" s="243">
        <v>304.99351708094269</v>
      </c>
      <c r="J29" s="244">
        <v>667.15442231496218</v>
      </c>
      <c r="K29" s="244">
        <v>13.55371187031273</v>
      </c>
      <c r="L29" s="234">
        <v>0</v>
      </c>
      <c r="M29" s="244">
        <v>0</v>
      </c>
      <c r="N29" s="245">
        <v>47.349604607125116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180.95689767872011</v>
      </c>
      <c r="V29" s="246">
        <v>60.311067902964751</v>
      </c>
      <c r="W29" s="246">
        <v>23.780844792803212</v>
      </c>
      <c r="X29" s="246">
        <v>7.9259103327194298</v>
      </c>
      <c r="Y29" s="250">
        <v>150.37853569882213</v>
      </c>
      <c r="Z29" s="250">
        <v>50.119615190256496</v>
      </c>
      <c r="AA29" s="251">
        <v>0</v>
      </c>
      <c r="AB29" s="252">
        <v>0</v>
      </c>
      <c r="AC29" s="253">
        <v>0</v>
      </c>
      <c r="AD29" s="253">
        <v>12.213123517566281</v>
      </c>
      <c r="AE29" s="252">
        <v>9.0010400264164296</v>
      </c>
      <c r="AF29" s="252">
        <v>2.9999538188056789</v>
      </c>
      <c r="AG29" s="252">
        <v>0.7500245515082874</v>
      </c>
      <c r="AH29" s="253">
        <v>195.78846151828768</v>
      </c>
      <c r="AI29" s="253">
        <v>924.29043127695684</v>
      </c>
      <c r="AJ29" s="253">
        <v>2908.7635543823239</v>
      </c>
      <c r="AK29" s="253">
        <v>953.84217135111487</v>
      </c>
      <c r="AL29" s="253">
        <v>2992.7292526245114</v>
      </c>
      <c r="AM29" s="253">
        <v>2503.826717249553</v>
      </c>
      <c r="AN29" s="253">
        <v>572.62934101422627</v>
      </c>
      <c r="AO29" s="253">
        <v>1846.0331185658774</v>
      </c>
      <c r="AP29" s="253">
        <v>454.22897545496625</v>
      </c>
      <c r="AQ29" s="253">
        <v>649.74045842488601</v>
      </c>
    </row>
    <row r="30" spans="1:43">
      <c r="A30" s="232">
        <v>40839</v>
      </c>
      <c r="B30" s="243"/>
      <c r="C30" s="244">
        <v>54.644636515776455</v>
      </c>
      <c r="D30" s="244">
        <v>671.77177594502768</v>
      </c>
      <c r="E30" s="244">
        <v>10.070655147234588</v>
      </c>
      <c r="F30" s="244">
        <v>0</v>
      </c>
      <c r="G30" s="244">
        <v>2765.4958843866989</v>
      </c>
      <c r="H30" s="245">
        <v>30.192858143647523</v>
      </c>
      <c r="I30" s="243">
        <v>303.24751623471627</v>
      </c>
      <c r="J30" s="244">
        <v>668.60202302932748</v>
      </c>
      <c r="K30" s="244">
        <v>13.581417528788288</v>
      </c>
      <c r="L30" s="234">
        <v>0</v>
      </c>
      <c r="M30" s="244">
        <v>0</v>
      </c>
      <c r="N30" s="245">
        <v>53.545511589944397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180.93819046858775</v>
      </c>
      <c r="V30" s="246">
        <v>60.325227940974422</v>
      </c>
      <c r="W30" s="246">
        <v>22.914335408780513</v>
      </c>
      <c r="X30" s="246">
        <v>7.6396945446992612</v>
      </c>
      <c r="Y30" s="250">
        <v>148.20604474618889</v>
      </c>
      <c r="Z30" s="250">
        <v>49.412251821409974</v>
      </c>
      <c r="AA30" s="251">
        <v>0</v>
      </c>
      <c r="AB30" s="252">
        <v>0</v>
      </c>
      <c r="AC30" s="253">
        <v>0</v>
      </c>
      <c r="AD30" s="253">
        <v>12.210934331682006</v>
      </c>
      <c r="AE30" s="252">
        <v>8.9991637676535436</v>
      </c>
      <c r="AF30" s="252">
        <v>3.0003428472227678</v>
      </c>
      <c r="AG30" s="252">
        <v>0.74996114894398136</v>
      </c>
      <c r="AH30" s="253">
        <v>193.29122114181519</v>
      </c>
      <c r="AI30" s="253">
        <v>923.57970832188926</v>
      </c>
      <c r="AJ30" s="253">
        <v>2936.0678891499833</v>
      </c>
      <c r="AK30" s="253">
        <v>956.72223955790207</v>
      </c>
      <c r="AL30" s="253">
        <v>2995.5406752268473</v>
      </c>
      <c r="AM30" s="253">
        <v>2498.9745835622148</v>
      </c>
      <c r="AN30" s="253">
        <v>595.40461675326026</v>
      </c>
      <c r="AO30" s="253">
        <v>1909.7015785217286</v>
      </c>
      <c r="AP30" s="253">
        <v>449.58913482030238</v>
      </c>
      <c r="AQ30" s="253">
        <v>691.95561695098888</v>
      </c>
    </row>
    <row r="31" spans="1:43">
      <c r="A31" s="232">
        <v>40840</v>
      </c>
      <c r="B31" s="243"/>
      <c r="C31" s="244">
        <v>54.46092869440723</v>
      </c>
      <c r="D31" s="244">
        <v>669.44659334818482</v>
      </c>
      <c r="E31" s="244">
        <v>10.112439885735498</v>
      </c>
      <c r="F31" s="244">
        <v>0</v>
      </c>
      <c r="G31" s="244">
        <v>2753.8712424596115</v>
      </c>
      <c r="H31" s="245">
        <v>30.887855976820045</v>
      </c>
      <c r="I31" s="243">
        <v>309.75826096534655</v>
      </c>
      <c r="J31" s="244">
        <v>681.7207786242185</v>
      </c>
      <c r="K31" s="244">
        <v>13.609109096725795</v>
      </c>
      <c r="L31" s="234">
        <v>0</v>
      </c>
      <c r="M31" s="244">
        <v>0</v>
      </c>
      <c r="N31" s="245">
        <v>59.436992896099873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180.9420876480425</v>
      </c>
      <c r="V31" s="246">
        <v>60.307529504700582</v>
      </c>
      <c r="W31" s="246">
        <v>22.732256241945624</v>
      </c>
      <c r="X31" s="246">
        <v>7.5766021705585258</v>
      </c>
      <c r="Y31" s="250">
        <v>149.15250151129567</v>
      </c>
      <c r="Z31" s="250">
        <v>49.712142722089752</v>
      </c>
      <c r="AA31" s="251">
        <v>0</v>
      </c>
      <c r="AB31" s="252">
        <v>0</v>
      </c>
      <c r="AC31" s="253">
        <v>0</v>
      </c>
      <c r="AD31" s="253">
        <v>12.209807045592184</v>
      </c>
      <c r="AE31" s="252">
        <v>9.0001464739045396</v>
      </c>
      <c r="AF31" s="252">
        <v>2.9997255258677065</v>
      </c>
      <c r="AG31" s="252">
        <v>0.75002020638848144</v>
      </c>
      <c r="AH31" s="253">
        <v>188.58791752656302</v>
      </c>
      <c r="AI31" s="253">
        <v>911.041895421346</v>
      </c>
      <c r="AJ31" s="253">
        <v>2973.6342473347981</v>
      </c>
      <c r="AK31" s="253">
        <v>965.72746022542321</v>
      </c>
      <c r="AL31" s="253">
        <v>3000.0150118509932</v>
      </c>
      <c r="AM31" s="253">
        <v>2552.6178003946939</v>
      </c>
      <c r="AN31" s="253">
        <v>576.79972791671753</v>
      </c>
      <c r="AO31" s="253">
        <v>1867.3301745096844</v>
      </c>
      <c r="AP31" s="253">
        <v>449.22502117156984</v>
      </c>
      <c r="AQ31" s="253">
        <v>794.40435946782441</v>
      </c>
    </row>
    <row r="32" spans="1:43">
      <c r="A32" s="232">
        <v>40841</v>
      </c>
      <c r="B32" s="243"/>
      <c r="C32" s="244">
        <v>62.561295590798167</v>
      </c>
      <c r="D32" s="244">
        <v>668.04311412175389</v>
      </c>
      <c r="E32" s="244">
        <v>10.078248734275505</v>
      </c>
      <c r="F32" s="244">
        <v>0</v>
      </c>
      <c r="G32" s="244">
        <v>2633.3873432159385</v>
      </c>
      <c r="H32" s="245">
        <v>31.016075269381247</v>
      </c>
      <c r="I32" s="243">
        <v>290.49099318186455</v>
      </c>
      <c r="J32" s="244">
        <v>660.06682847340778</v>
      </c>
      <c r="K32" s="244">
        <v>13.082932105660436</v>
      </c>
      <c r="L32" s="234">
        <v>0</v>
      </c>
      <c r="M32" s="244">
        <v>0</v>
      </c>
      <c r="N32" s="245">
        <v>60.66405696570871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167.49387357022158</v>
      </c>
      <c r="V32" s="246">
        <v>59.173755110112374</v>
      </c>
      <c r="W32" s="246">
        <v>21.085815937657888</v>
      </c>
      <c r="X32" s="246">
        <v>7.4493883387846092</v>
      </c>
      <c r="Y32" s="250">
        <v>146.14429644925147</v>
      </c>
      <c r="Z32" s="250">
        <v>51.631182827723229</v>
      </c>
      <c r="AA32" s="251">
        <v>0</v>
      </c>
      <c r="AB32" s="252">
        <v>0</v>
      </c>
      <c r="AC32" s="253">
        <v>0</v>
      </c>
      <c r="AD32" s="253">
        <v>11.523856643173442</v>
      </c>
      <c r="AE32" s="252">
        <v>8.3538050207993457</v>
      </c>
      <c r="AF32" s="252">
        <v>2.9513080210134501</v>
      </c>
      <c r="AG32" s="252">
        <v>0.73894042367397661</v>
      </c>
      <c r="AH32" s="253">
        <v>205.21564354101818</v>
      </c>
      <c r="AI32" s="253">
        <v>917.45890916188534</v>
      </c>
      <c r="AJ32" s="253">
        <v>2997.8416959126789</v>
      </c>
      <c r="AK32" s="253">
        <v>970.11597614288303</v>
      </c>
      <c r="AL32" s="253">
        <v>2935.7980248769122</v>
      </c>
      <c r="AM32" s="253">
        <v>2555.9134670257572</v>
      </c>
      <c r="AN32" s="253">
        <v>567.76448698043828</v>
      </c>
      <c r="AO32" s="253">
        <v>1833.2422650655112</v>
      </c>
      <c r="AP32" s="253">
        <v>446.36554416020715</v>
      </c>
      <c r="AQ32" s="253">
        <v>653.36463975906372</v>
      </c>
    </row>
    <row r="33" spans="1:43">
      <c r="A33" s="232">
        <v>40842</v>
      </c>
      <c r="B33" s="243"/>
      <c r="C33" s="244">
        <v>55.978841841220941</v>
      </c>
      <c r="D33" s="244">
        <v>669.37788991927994</v>
      </c>
      <c r="E33" s="244">
        <v>9.8984434107939254</v>
      </c>
      <c r="F33" s="244">
        <v>0</v>
      </c>
      <c r="G33" s="244">
        <v>2758.1805943171162</v>
      </c>
      <c r="H33" s="245">
        <v>30.877457471688636</v>
      </c>
      <c r="I33" s="243">
        <v>220.17832064628618</v>
      </c>
      <c r="J33" s="244">
        <v>543.23949632644656</v>
      </c>
      <c r="K33" s="244">
        <v>10.308737461765622</v>
      </c>
      <c r="L33" s="234">
        <v>0</v>
      </c>
      <c r="M33" s="244">
        <v>0</v>
      </c>
      <c r="N33" s="245">
        <v>59.340063681701814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129.9205630223999</v>
      </c>
      <c r="V33" s="246">
        <v>58.727144312754149</v>
      </c>
      <c r="W33" s="246">
        <v>16.863151133034496</v>
      </c>
      <c r="X33" s="246">
        <v>7.6225401670000172</v>
      </c>
      <c r="Y33" s="250">
        <v>113.76108147105347</v>
      </c>
      <c r="Z33" s="250">
        <v>51.422679315003244</v>
      </c>
      <c r="AA33" s="251">
        <v>0</v>
      </c>
      <c r="AB33" s="252">
        <v>0</v>
      </c>
      <c r="AC33" s="253">
        <v>0</v>
      </c>
      <c r="AD33" s="253">
        <v>9.6118577917416825</v>
      </c>
      <c r="AE33" s="252">
        <v>6.5079576797415202</v>
      </c>
      <c r="AF33" s="252">
        <v>2.941749642614941</v>
      </c>
      <c r="AG33" s="252">
        <v>0.68869410001141063</v>
      </c>
      <c r="AH33" s="253">
        <v>247.37661801179249</v>
      </c>
      <c r="AI33" s="253">
        <v>987.38354886372883</v>
      </c>
      <c r="AJ33" s="253">
        <v>3052.25852394104</v>
      </c>
      <c r="AK33" s="253">
        <v>987.41576894124353</v>
      </c>
      <c r="AL33" s="253">
        <v>3251.4992262522373</v>
      </c>
      <c r="AM33" s="253">
        <v>2693.687728754679</v>
      </c>
      <c r="AN33" s="253">
        <v>559.09066286087045</v>
      </c>
      <c r="AO33" s="253">
        <v>1857.1427469889325</v>
      </c>
      <c r="AP33" s="253">
        <v>484.07846145629884</v>
      </c>
      <c r="AQ33" s="253">
        <v>672.16169672012313</v>
      </c>
    </row>
    <row r="34" spans="1:43">
      <c r="A34" s="232">
        <v>40843</v>
      </c>
      <c r="B34" s="243"/>
      <c r="C34" s="244">
        <v>56.54190916220351</v>
      </c>
      <c r="D34" s="244">
        <v>664.76658178965101</v>
      </c>
      <c r="E34" s="244">
        <v>9.7942649324734976</v>
      </c>
      <c r="F34" s="244">
        <v>0</v>
      </c>
      <c r="G34" s="244">
        <v>2865.9207507451347</v>
      </c>
      <c r="H34" s="245">
        <v>30.461354388793371</v>
      </c>
      <c r="I34" s="243">
        <v>193.23358917236351</v>
      </c>
      <c r="J34" s="244">
        <v>469.07880077362103</v>
      </c>
      <c r="K34" s="244">
        <v>9.0599146137634694</v>
      </c>
      <c r="L34" s="234">
        <v>0</v>
      </c>
      <c r="M34" s="244">
        <v>0</v>
      </c>
      <c r="N34" s="245">
        <v>58.330281549692174</v>
      </c>
      <c r="O34" s="243">
        <v>2.2162427077709437E-4</v>
      </c>
      <c r="P34" s="244">
        <v>1.1080540051044228E-4</v>
      </c>
      <c r="Q34" s="244">
        <v>0</v>
      </c>
      <c r="R34" s="247">
        <v>0</v>
      </c>
      <c r="S34" s="244">
        <v>0</v>
      </c>
      <c r="T34" s="248">
        <v>0</v>
      </c>
      <c r="U34" s="249">
        <v>117.90725706658445</v>
      </c>
      <c r="V34" s="246">
        <v>58.950045482567489</v>
      </c>
      <c r="W34" s="246">
        <v>16.33086692089714</v>
      </c>
      <c r="X34" s="246">
        <v>8.1649371862919811</v>
      </c>
      <c r="Y34" s="250">
        <v>103.91735068274252</v>
      </c>
      <c r="Z34" s="250">
        <v>51.955517426006764</v>
      </c>
      <c r="AA34" s="251">
        <v>0</v>
      </c>
      <c r="AB34" s="252">
        <v>0</v>
      </c>
      <c r="AC34" s="253">
        <v>0</v>
      </c>
      <c r="AD34" s="253">
        <v>9.1135255210929706</v>
      </c>
      <c r="AE34" s="252">
        <v>5.9996926175494085</v>
      </c>
      <c r="AF34" s="252">
        <v>2.9996639857903835</v>
      </c>
      <c r="AG34" s="252">
        <v>0.66668017303846316</v>
      </c>
      <c r="AH34" s="253">
        <v>252.16460031668345</v>
      </c>
      <c r="AI34" s="253">
        <v>1023.720007832845</v>
      </c>
      <c r="AJ34" s="253">
        <v>3075.832934188843</v>
      </c>
      <c r="AK34" s="253">
        <v>980.51055774688734</v>
      </c>
      <c r="AL34" s="253">
        <v>3265.1178634643557</v>
      </c>
      <c r="AM34" s="253">
        <v>2688.0424814860025</v>
      </c>
      <c r="AN34" s="253">
        <v>575.36195429166162</v>
      </c>
      <c r="AO34" s="253">
        <v>1794.8661279042562</v>
      </c>
      <c r="AP34" s="253">
        <v>509.9657022158305</v>
      </c>
      <c r="AQ34" s="253">
        <v>667.79789991378789</v>
      </c>
    </row>
    <row r="35" spans="1:43">
      <c r="A35" s="232">
        <v>40844</v>
      </c>
      <c r="B35" s="243"/>
      <c r="C35" s="244">
        <v>56.151631601651737</v>
      </c>
      <c r="D35" s="244">
        <v>665.55912783940664</v>
      </c>
      <c r="E35" s="244">
        <v>9.7463904519875868</v>
      </c>
      <c r="F35" s="244">
        <v>0</v>
      </c>
      <c r="G35" s="244">
        <v>2895.1993256886817</v>
      </c>
      <c r="H35" s="245">
        <v>30.712925134102569</v>
      </c>
      <c r="I35" s="243">
        <v>204.93809652328463</v>
      </c>
      <c r="J35" s="244">
        <v>465.83911600112918</v>
      </c>
      <c r="K35" s="244">
        <v>9.1167563349008436</v>
      </c>
      <c r="L35" s="234">
        <v>0</v>
      </c>
      <c r="M35" s="244">
        <v>0</v>
      </c>
      <c r="N35" s="245">
        <v>57.431123337646305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114.31858303835662</v>
      </c>
      <c r="V35" s="246">
        <v>57.147818676393086</v>
      </c>
      <c r="W35" s="246">
        <v>15.100185172360369</v>
      </c>
      <c r="X35" s="246">
        <v>7.5485771540788944</v>
      </c>
      <c r="Y35" s="250">
        <v>107.29531006101998</v>
      </c>
      <c r="Z35" s="250">
        <v>53.636887032943839</v>
      </c>
      <c r="AA35" s="251">
        <v>0</v>
      </c>
      <c r="AB35" s="252">
        <v>0</v>
      </c>
      <c r="AC35" s="253">
        <v>0</v>
      </c>
      <c r="AD35" s="253">
        <v>9.110231155819374</v>
      </c>
      <c r="AE35" s="252">
        <v>6.0007705374718681</v>
      </c>
      <c r="AF35" s="252">
        <v>2.9997830403393171</v>
      </c>
      <c r="AG35" s="252">
        <v>0.6667112734338253</v>
      </c>
      <c r="AH35" s="253">
        <v>232.51284410158794</v>
      </c>
      <c r="AI35" s="253">
        <v>993.68937721252451</v>
      </c>
      <c r="AJ35" s="253">
        <v>3067.8733339945466</v>
      </c>
      <c r="AK35" s="253">
        <v>970.61395041147875</v>
      </c>
      <c r="AL35" s="253">
        <v>3039.6551670074464</v>
      </c>
      <c r="AM35" s="253">
        <v>2689.2311684926349</v>
      </c>
      <c r="AN35" s="253">
        <v>565.51464591026297</v>
      </c>
      <c r="AO35" s="253">
        <v>1780.7914507548016</v>
      </c>
      <c r="AP35" s="253">
        <v>496.93363428115845</v>
      </c>
      <c r="AQ35" s="253">
        <v>689.56187280019128</v>
      </c>
    </row>
    <row r="36" spans="1:43">
      <c r="A36" s="232">
        <v>40845</v>
      </c>
      <c r="B36" s="243"/>
      <c r="C36" s="244">
        <v>55.851317252715383</v>
      </c>
      <c r="D36" s="244">
        <v>689.95203971862929</v>
      </c>
      <c r="E36" s="244">
        <v>9.8969405839840565</v>
      </c>
      <c r="F36" s="244">
        <v>0</v>
      </c>
      <c r="G36" s="244">
        <v>3068.987549018862</v>
      </c>
      <c r="H36" s="245">
        <v>30.725944578647681</v>
      </c>
      <c r="I36" s="243">
        <v>224.66036577224742</v>
      </c>
      <c r="J36" s="244">
        <v>500.53526465098128</v>
      </c>
      <c r="K36" s="244">
        <v>10.138572104275221</v>
      </c>
      <c r="L36" s="234">
        <v>0</v>
      </c>
      <c r="M36" s="244">
        <v>0</v>
      </c>
      <c r="N36" s="245">
        <v>58.033317621548953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126.30114854420148</v>
      </c>
      <c r="V36" s="246">
        <v>57.282132019151113</v>
      </c>
      <c r="W36" s="246">
        <v>16.93897797204021</v>
      </c>
      <c r="X36" s="246">
        <v>7.682438233127586</v>
      </c>
      <c r="Y36" s="250">
        <v>125.8116593137989</v>
      </c>
      <c r="Z36" s="250">
        <v>57.060130976080153</v>
      </c>
      <c r="AA36" s="251">
        <v>0</v>
      </c>
      <c r="AB36" s="252">
        <v>0</v>
      </c>
      <c r="AC36" s="253">
        <v>0</v>
      </c>
      <c r="AD36" s="253">
        <v>9.7181515700287395</v>
      </c>
      <c r="AE36" s="252">
        <v>6.6154550217748875</v>
      </c>
      <c r="AF36" s="252">
        <v>3.0003477584484957</v>
      </c>
      <c r="AG36" s="252">
        <v>0.68797740271678132</v>
      </c>
      <c r="AH36" s="253">
        <v>223.16612214247385</v>
      </c>
      <c r="AI36" s="253">
        <v>976.94841391245518</v>
      </c>
      <c r="AJ36" s="253">
        <v>3053.7850293477377</v>
      </c>
      <c r="AK36" s="253">
        <v>957.53019161224347</v>
      </c>
      <c r="AL36" s="253">
        <v>2902.132628885905</v>
      </c>
      <c r="AM36" s="253">
        <v>2583.5700818379719</v>
      </c>
      <c r="AN36" s="253">
        <v>560.12881865501402</v>
      </c>
      <c r="AO36" s="253">
        <v>1794.2574417114258</v>
      </c>
      <c r="AP36" s="253">
        <v>476.65659799575809</v>
      </c>
      <c r="AQ36" s="253">
        <v>701.34765307108569</v>
      </c>
    </row>
    <row r="37" spans="1:43">
      <c r="A37" s="232">
        <v>40846</v>
      </c>
      <c r="B37" s="243"/>
      <c r="C37" s="244">
        <v>52.968201597531696</v>
      </c>
      <c r="D37" s="244">
        <v>670.11992095311496</v>
      </c>
      <c r="E37" s="244">
        <v>9.8383885746200939</v>
      </c>
      <c r="F37" s="244">
        <v>0</v>
      </c>
      <c r="G37" s="244">
        <v>3111.9768432617188</v>
      </c>
      <c r="H37" s="245">
        <v>30.77921951611841</v>
      </c>
      <c r="I37" s="243">
        <v>274.11052942276007</v>
      </c>
      <c r="J37" s="244">
        <v>593.46875619888181</v>
      </c>
      <c r="K37" s="244">
        <v>12.491926619907225</v>
      </c>
      <c r="L37" s="234">
        <v>0.1190923333168019</v>
      </c>
      <c r="M37" s="244">
        <v>0</v>
      </c>
      <c r="N37" s="245">
        <v>59.567537364363645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153.51860666633019</v>
      </c>
      <c r="V37" s="246">
        <v>57.566546966362687</v>
      </c>
      <c r="W37" s="246">
        <v>20.822472140961295</v>
      </c>
      <c r="X37" s="246">
        <v>7.8080295704072578</v>
      </c>
      <c r="Y37" s="250">
        <v>150.39258518135728</v>
      </c>
      <c r="Z37" s="250">
        <v>56.394348582464637</v>
      </c>
      <c r="AA37" s="251">
        <v>0</v>
      </c>
      <c r="AB37" s="252">
        <v>0</v>
      </c>
      <c r="AC37" s="253">
        <v>0</v>
      </c>
      <c r="AD37" s="253">
        <v>11.12266838235985</v>
      </c>
      <c r="AE37" s="252">
        <v>8.0009059779106124</v>
      </c>
      <c r="AF37" s="252">
        <v>3.0001870115452198</v>
      </c>
      <c r="AG37" s="252">
        <v>0.72728282413203893</v>
      </c>
      <c r="AH37" s="253">
        <v>218.80104055404661</v>
      </c>
      <c r="AI37" s="253">
        <v>978.07540213267009</v>
      </c>
      <c r="AJ37" s="253">
        <v>3064.7598411560061</v>
      </c>
      <c r="AK37" s="253">
        <v>962.10474770863846</v>
      </c>
      <c r="AL37" s="253">
        <v>2896.8133914947512</v>
      </c>
      <c r="AM37" s="253">
        <v>2352.0944032033281</v>
      </c>
      <c r="AN37" s="253">
        <v>558.48848557472229</v>
      </c>
      <c r="AO37" s="253">
        <v>1846.9859357198079</v>
      </c>
      <c r="AP37" s="253">
        <v>464.39937992095946</v>
      </c>
      <c r="AQ37" s="253">
        <v>677.07849003473927</v>
      </c>
    </row>
    <row r="38" spans="1:43" ht="15.75" thickBot="1">
      <c r="A38" s="232">
        <v>40847</v>
      </c>
      <c r="B38" s="257"/>
      <c r="C38" s="258">
        <v>18.955812378724428</v>
      </c>
      <c r="D38" s="258">
        <v>257.73904294768994</v>
      </c>
      <c r="E38" s="258">
        <v>4.5188245877623583</v>
      </c>
      <c r="F38" s="258">
        <v>0</v>
      </c>
      <c r="G38" s="258">
        <v>1184.5916790008539</v>
      </c>
      <c r="H38" s="259">
        <v>9.8863327582677112</v>
      </c>
      <c r="I38" s="260">
        <v>322.68556820551584</v>
      </c>
      <c r="J38" s="258">
        <v>745.98428255716954</v>
      </c>
      <c r="K38" s="258">
        <v>15.610600447654743</v>
      </c>
      <c r="L38" s="258">
        <v>0.12450604438781625</v>
      </c>
      <c r="M38" s="258">
        <v>0</v>
      </c>
      <c r="N38" s="259">
        <v>57.085446762045173</v>
      </c>
      <c r="O38" s="260">
        <v>0</v>
      </c>
      <c r="P38" s="258">
        <v>0</v>
      </c>
      <c r="Q38" s="258">
        <v>0</v>
      </c>
      <c r="R38" s="261">
        <v>0</v>
      </c>
      <c r="S38" s="258">
        <v>0</v>
      </c>
      <c r="T38" s="262">
        <v>0</v>
      </c>
      <c r="U38" s="263">
        <v>186.77064046980431</v>
      </c>
      <c r="V38" s="264">
        <v>18.501226710065218</v>
      </c>
      <c r="W38" s="265">
        <v>25.14130162715453</v>
      </c>
      <c r="X38" s="265">
        <v>2.4904605992681099</v>
      </c>
      <c r="Y38" s="264">
        <v>186.5769308617418</v>
      </c>
      <c r="Z38" s="264">
        <v>18.48203811936559</v>
      </c>
      <c r="AA38" s="266">
        <v>0</v>
      </c>
      <c r="AB38" s="267">
        <v>0</v>
      </c>
      <c r="AC38" s="268">
        <v>0</v>
      </c>
      <c r="AD38" s="269">
        <v>10.767602082755833</v>
      </c>
      <c r="AE38" s="267">
        <v>9.6678306600523047</v>
      </c>
      <c r="AF38" s="267">
        <v>0.95768117722477297</v>
      </c>
      <c r="AG38" s="267">
        <v>0.90986964280958427</v>
      </c>
      <c r="AH38" s="268">
        <v>201.046826672554</v>
      </c>
      <c r="AI38" s="268">
        <v>697.19095894495638</v>
      </c>
      <c r="AJ38" s="268">
        <v>1844.5702838261923</v>
      </c>
      <c r="AK38" s="268">
        <v>960.90570894877112</v>
      </c>
      <c r="AL38" s="268">
        <v>1672.5906982421875</v>
      </c>
      <c r="AM38" s="268">
        <v>2044.495607121785</v>
      </c>
      <c r="AN38" s="268">
        <v>569.1053389231364</v>
      </c>
      <c r="AO38" s="268">
        <v>1799.1578974405925</v>
      </c>
      <c r="AP38" s="268">
        <v>200.50076594750087</v>
      </c>
      <c r="AQ38" s="268">
        <v>737.74876279830937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0">SUM(C8:C38)</f>
        <v>2088.3148785909025</v>
      </c>
      <c r="D39" s="272">
        <f t="shared" si="0"/>
        <v>23939.09420797426</v>
      </c>
      <c r="E39" s="272">
        <f t="shared" si="0"/>
        <v>347.8113060380025</v>
      </c>
      <c r="F39" s="272">
        <f t="shared" si="0"/>
        <v>0</v>
      </c>
      <c r="G39" s="272">
        <f t="shared" si="0"/>
        <v>95929.010603523187</v>
      </c>
      <c r="H39" s="273">
        <f t="shared" si="0"/>
        <v>1092.4559769113871</v>
      </c>
      <c r="I39" s="271">
        <f t="shared" si="0"/>
        <v>10601.48581444423</v>
      </c>
      <c r="J39" s="272">
        <f t="shared" si="0"/>
        <v>24271.813072808571</v>
      </c>
      <c r="K39" s="272">
        <f t="shared" si="0"/>
        <v>494.9921213169896</v>
      </c>
      <c r="L39" s="272">
        <f t="shared" si="0"/>
        <v>0.24359837770461815</v>
      </c>
      <c r="M39" s="272">
        <f t="shared" si="0"/>
        <v>0</v>
      </c>
      <c r="N39" s="273">
        <f t="shared" si="0"/>
        <v>2640.4614415913816</v>
      </c>
      <c r="O39" s="274">
        <f t="shared" si="0"/>
        <v>2.2162427077709437E-4</v>
      </c>
      <c r="P39" s="275">
        <f t="shared" si="0"/>
        <v>1.1080540051044228E-4</v>
      </c>
      <c r="Q39" s="275">
        <f t="shared" si="0"/>
        <v>0</v>
      </c>
      <c r="R39" s="275">
        <f t="shared" si="0"/>
        <v>0</v>
      </c>
      <c r="S39" s="275">
        <f t="shared" si="0"/>
        <v>0</v>
      </c>
      <c r="T39" s="276">
        <f t="shared" si="0"/>
        <v>0</v>
      </c>
      <c r="U39" s="274">
        <f t="shared" si="0"/>
        <v>6778.3238983074962</v>
      </c>
      <c r="V39" s="275">
        <f t="shared" si="0"/>
        <v>2223.6853077331753</v>
      </c>
      <c r="W39" s="275">
        <f t="shared" si="0"/>
        <v>841.69776737472864</v>
      </c>
      <c r="X39" s="275">
        <f t="shared" si="0"/>
        <v>276.3370161028559</v>
      </c>
      <c r="Y39" s="275">
        <f t="shared" si="0"/>
        <v>5703.2815121368349</v>
      </c>
      <c r="Z39" s="275">
        <f t="shared" si="0"/>
        <v>1879.0637421969805</v>
      </c>
      <c r="AA39" s="277">
        <f t="shared" si="0"/>
        <v>0</v>
      </c>
      <c r="AB39" s="278">
        <f t="shared" si="0"/>
        <v>0</v>
      </c>
      <c r="AC39" s="278">
        <f t="shared" si="0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1">SUM(AH8:AH38)</f>
        <v>6823.4588642438248</v>
      </c>
      <c r="AI39" s="278">
        <f t="shared" si="1"/>
        <v>28889.602003987635</v>
      </c>
      <c r="AJ39" s="278">
        <f t="shared" si="1"/>
        <v>91530.381545384749</v>
      </c>
      <c r="AK39" s="278">
        <f t="shared" si="1"/>
        <v>29976.336094443006</v>
      </c>
      <c r="AL39" s="278">
        <f t="shared" si="1"/>
        <v>104462.44410552978</v>
      </c>
      <c r="AM39" s="278">
        <f t="shared" si="1"/>
        <v>72867.426481692004</v>
      </c>
      <c r="AN39" s="278">
        <f t="shared" si="1"/>
        <v>17180.949895509082</v>
      </c>
      <c r="AO39" s="278">
        <f t="shared" si="1"/>
        <v>69283.210752487183</v>
      </c>
      <c r="AP39" s="278">
        <f t="shared" si="1"/>
        <v>12672.869730039436</v>
      </c>
      <c r="AQ39" s="278">
        <f t="shared" si="1"/>
        <v>22510.49961681366</v>
      </c>
    </row>
    <row r="40" spans="1:43" ht="15.75" thickBot="1">
      <c r="A40" s="280" t="s">
        <v>182</v>
      </c>
      <c r="B40" s="281">
        <f>Projection!$AD$30</f>
        <v>0.91139353199999984</v>
      </c>
      <c r="C40" s="282">
        <f>Projection!$AD$28</f>
        <v>1.4375491199999999</v>
      </c>
      <c r="D40" s="282">
        <f>Projection!$AD$31</f>
        <v>2.2090991999999998</v>
      </c>
      <c r="E40" s="282">
        <f>Projection!$AD$26</f>
        <v>3.1224959999999999</v>
      </c>
      <c r="F40" s="282">
        <f>Projection!$AD$23</f>
        <v>5.8379999999999994E-2</v>
      </c>
      <c r="G40" s="282">
        <f>Projection!$AD$24</f>
        <v>4.9500000000000002E-2</v>
      </c>
      <c r="H40" s="283">
        <f>Projection!$AD$29</f>
        <v>3.6371774160000006</v>
      </c>
      <c r="I40" s="281">
        <f>Projection!$AD$30</f>
        <v>0.91139353199999984</v>
      </c>
      <c r="J40" s="282">
        <f>Projection!$AD$28</f>
        <v>1.4375491199999999</v>
      </c>
      <c r="K40" s="282">
        <f>Projection!$AD$26</f>
        <v>3.1224959999999999</v>
      </c>
      <c r="L40" s="282">
        <f>Projection!$AD$25</f>
        <v>0.37613399999999997</v>
      </c>
      <c r="M40" s="282">
        <f>Projection!$AD$23</f>
        <v>5.8379999999999994E-2</v>
      </c>
      <c r="N40" s="283">
        <f>Projection!$AD$23</f>
        <v>5.8379999999999994E-2</v>
      </c>
      <c r="O40" s="284">
        <v>15.77</v>
      </c>
      <c r="P40" s="285">
        <v>15.77</v>
      </c>
      <c r="Q40" s="285">
        <v>15.77</v>
      </c>
      <c r="R40" s="285">
        <v>15.77</v>
      </c>
      <c r="S40" s="285">
        <f>Projection!$AD$28</f>
        <v>1.4375491199999999</v>
      </c>
      <c r="T40" s="286">
        <f>Projection!$AD$28</f>
        <v>1.4375491199999999</v>
      </c>
      <c r="U40" s="284">
        <f>Projection!$AD$27</f>
        <v>0.29749999999999999</v>
      </c>
      <c r="V40" s="285">
        <f>Projection!$AD$27</f>
        <v>0.29749999999999999</v>
      </c>
      <c r="W40" s="285">
        <f>Projection!$AD$22</f>
        <v>1.02</v>
      </c>
      <c r="X40" s="285">
        <f>Projection!$AD$22</f>
        <v>1.02</v>
      </c>
      <c r="Y40" s="285">
        <f>Projection!$AD$31</f>
        <v>2.2090991999999998</v>
      </c>
      <c r="Z40" s="285">
        <f>Projection!$AD$31</f>
        <v>2.2090991999999998</v>
      </c>
      <c r="AA40" s="287">
        <v>0</v>
      </c>
      <c r="AB40" s="288">
        <f>Projection!$AD$27</f>
        <v>0.29749999999999999</v>
      </c>
      <c r="AC40" s="288">
        <f>Projection!$AD$30</f>
        <v>0.91139353199999984</v>
      </c>
      <c r="AD40" s="289">
        <f>SUM(AD8:AD38)</f>
        <v>434.58132714314576</v>
      </c>
      <c r="AE40" s="289">
        <f>SUM(AE8:AE38)</f>
        <v>322.49971956139166</v>
      </c>
      <c r="AF40" s="289">
        <f>SUM(AF8:AF38)</f>
        <v>106.02228014636094</v>
      </c>
      <c r="AG40" s="289">
        <f>IF(SUM(AE40:AF40)&gt;0, AE40/(AE40+AF40), "")</f>
        <v>0.75258614442510074</v>
      </c>
      <c r="AH40" s="290">
        <v>6.8000000000000005E-2</v>
      </c>
      <c r="AI40" s="290">
        <f t="shared" ref="AI40:AQ40" si="2">$AH$40</f>
        <v>6.8000000000000005E-2</v>
      </c>
      <c r="AJ40" s="290">
        <f t="shared" si="2"/>
        <v>6.8000000000000005E-2</v>
      </c>
      <c r="AK40" s="290">
        <f t="shared" si="2"/>
        <v>6.8000000000000005E-2</v>
      </c>
      <c r="AL40" s="290">
        <f t="shared" si="2"/>
        <v>6.8000000000000005E-2</v>
      </c>
      <c r="AM40" s="290">
        <f t="shared" si="2"/>
        <v>6.8000000000000005E-2</v>
      </c>
      <c r="AN40" s="290">
        <f t="shared" si="2"/>
        <v>6.8000000000000005E-2</v>
      </c>
      <c r="AO40" s="290">
        <f t="shared" si="2"/>
        <v>6.8000000000000005E-2</v>
      </c>
      <c r="AP40" s="290">
        <f t="shared" si="2"/>
        <v>6.8000000000000005E-2</v>
      </c>
      <c r="AQ40" s="290">
        <f t="shared" si="2"/>
        <v>6.8000000000000005E-2</v>
      </c>
    </row>
    <row r="41" spans="1:43" ht="16.5" thickTop="1" thickBot="1">
      <c r="A41" s="291" t="s">
        <v>26</v>
      </c>
      <c r="B41" s="292">
        <f t="shared" ref="B41:AC41" si="3">B40*B39</f>
        <v>0</v>
      </c>
      <c r="C41" s="293">
        <f t="shared" si="3"/>
        <v>3002.0552160012585</v>
      </c>
      <c r="D41" s="293">
        <f t="shared" si="3"/>
        <v>52883.833863560569</v>
      </c>
      <c r="E41" s="293">
        <f t="shared" si="3"/>
        <v>1086.0394118584386</v>
      </c>
      <c r="F41" s="293">
        <f t="shared" si="3"/>
        <v>0</v>
      </c>
      <c r="G41" s="293">
        <f t="shared" si="3"/>
        <v>4748.486024874398</v>
      </c>
      <c r="H41" s="294">
        <f t="shared" si="3"/>
        <v>3973.4562071963151</v>
      </c>
      <c r="I41" s="292">
        <f t="shared" si="3"/>
        <v>9662.1256008742221</v>
      </c>
      <c r="J41" s="293">
        <f t="shared" si="3"/>
        <v>34891.923523620455</v>
      </c>
      <c r="K41" s="293">
        <f t="shared" si="3"/>
        <v>1545.6109188438147</v>
      </c>
      <c r="L41" s="293">
        <f t="shared" si="3"/>
        <v>9.1625632199548834E-2</v>
      </c>
      <c r="M41" s="293">
        <f t="shared" si="3"/>
        <v>0</v>
      </c>
      <c r="N41" s="294">
        <f t="shared" si="3"/>
        <v>154.15013896010484</v>
      </c>
      <c r="O41" s="295">
        <f t="shared" si="3"/>
        <v>3.495014750154778E-3</v>
      </c>
      <c r="P41" s="296">
        <f t="shared" si="3"/>
        <v>1.7474011660496747E-3</v>
      </c>
      <c r="Q41" s="296">
        <f t="shared" si="3"/>
        <v>0</v>
      </c>
      <c r="R41" s="296">
        <f t="shared" si="3"/>
        <v>0</v>
      </c>
      <c r="S41" s="296">
        <f t="shared" si="3"/>
        <v>0</v>
      </c>
      <c r="T41" s="297">
        <f t="shared" si="3"/>
        <v>0</v>
      </c>
      <c r="U41" s="295">
        <f t="shared" si="3"/>
        <v>2016.5513597464801</v>
      </c>
      <c r="V41" s="296">
        <f t="shared" si="3"/>
        <v>661.54637905061963</v>
      </c>
      <c r="W41" s="296">
        <f t="shared" si="3"/>
        <v>858.53172272222321</v>
      </c>
      <c r="X41" s="296">
        <f t="shared" si="3"/>
        <v>281.86375642491305</v>
      </c>
      <c r="Y41" s="296">
        <f t="shared" si="3"/>
        <v>12599.114625836271</v>
      </c>
      <c r="Z41" s="296">
        <f t="shared" si="3"/>
        <v>4151.0382096363555</v>
      </c>
      <c r="AA41" s="298">
        <f t="shared" si="3"/>
        <v>0</v>
      </c>
      <c r="AB41" s="299">
        <f t="shared" si="3"/>
        <v>0</v>
      </c>
      <c r="AC41" s="299">
        <f t="shared" si="3"/>
        <v>0</v>
      </c>
      <c r="AH41" s="300">
        <f t="shared" ref="AH41:AQ41" si="4">AH40*AH39</f>
        <v>463.9952027685801</v>
      </c>
      <c r="AI41" s="300">
        <f t="shared" si="4"/>
        <v>1964.4929362711594</v>
      </c>
      <c r="AJ41" s="300">
        <f t="shared" si="4"/>
        <v>6224.0659450861631</v>
      </c>
      <c r="AK41" s="300">
        <f t="shared" si="4"/>
        <v>2038.3908544221244</v>
      </c>
      <c r="AL41" s="300">
        <f t="shared" si="4"/>
        <v>7103.4461991760254</v>
      </c>
      <c r="AM41" s="300">
        <f t="shared" si="4"/>
        <v>4954.9850007550567</v>
      </c>
      <c r="AN41" s="300">
        <f t="shared" si="4"/>
        <v>1168.3045928946176</v>
      </c>
      <c r="AO41" s="300">
        <f t="shared" si="4"/>
        <v>4711.2583311691287</v>
      </c>
      <c r="AP41" s="300">
        <f t="shared" si="4"/>
        <v>861.75514164268168</v>
      </c>
      <c r="AQ41" s="300">
        <f t="shared" si="4"/>
        <v>1530.7139739433289</v>
      </c>
    </row>
    <row r="42" spans="1:43" ht="49.5" customHeight="1" thickTop="1" thickBot="1">
      <c r="A42" s="544" t="s">
        <v>211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913.01</v>
      </c>
      <c r="AI42" s="300" t="s">
        <v>207</v>
      </c>
      <c r="AJ42" s="300">
        <v>852.36</v>
      </c>
      <c r="AK42" s="300">
        <v>670.43</v>
      </c>
      <c r="AL42" s="300">
        <v>1341.79</v>
      </c>
      <c r="AM42" s="300">
        <v>3620.32</v>
      </c>
      <c r="AN42" s="300">
        <v>880.64</v>
      </c>
      <c r="AO42" s="300" t="s">
        <v>207</v>
      </c>
      <c r="AP42" s="300">
        <v>34.67</v>
      </c>
      <c r="AQ42" s="300">
        <v>377.96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132516.42382725453</v>
      </c>
      <c r="C44" s="309"/>
      <c r="D44" s="307" t="s">
        <v>143</v>
      </c>
      <c r="E44" s="308">
        <f>SUM(B41:H41)+P41+R41+T41+V41+X41+Z41</f>
        <v>70788.320816004038</v>
      </c>
      <c r="F44" s="309"/>
      <c r="G44" s="307" t="s">
        <v>143</v>
      </c>
      <c r="H44" s="308">
        <f>SUM(I41:N41)+O41+Q41+S41+U41+W41+Y41</f>
        <v>61728.103011250525</v>
      </c>
      <c r="I44" s="309"/>
      <c r="J44" s="307" t="s">
        <v>208</v>
      </c>
      <c r="K44" s="308">
        <v>119640.44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31021.408178128862</v>
      </c>
      <c r="C45" s="309"/>
      <c r="D45" s="314" t="s">
        <v>193</v>
      </c>
      <c r="E45" s="315">
        <f>AH41*(1-$AG$40)+AI41+AJ41*0.5+AL41+AM41*(1-$AG$40)+AN41*(1-$AG$40)+AO41*(1-$AG$40)+AP41*0.5+AQ41*0.5</f>
        <v>16171.622783358947</v>
      </c>
      <c r="F45" s="316"/>
      <c r="G45" s="314" t="s">
        <v>193</v>
      </c>
      <c r="H45" s="315">
        <f>AH41*AG40+AJ41*0.5+AK41+AM41*AG40+AN41*AG40+AO41*AG40+AP41*0.5+AQ41*0.5</f>
        <v>14849.785394769919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1118.0347834775846</v>
      </c>
      <c r="U45" s="321">
        <f>(T45*8.34*0.895)/27000</f>
        <v>0.30908692719673087</v>
      </c>
    </row>
    <row r="46" spans="1:43" ht="32.25" thickBot="1">
      <c r="A46" s="322" t="s">
        <v>194</v>
      </c>
      <c r="B46" s="323">
        <f>SUM(AH42:AQ42)</f>
        <v>8691.1799999999985</v>
      </c>
      <c r="C46" s="309"/>
      <c r="D46" s="322" t="s">
        <v>194</v>
      </c>
      <c r="E46" s="323">
        <f>AH42*(1-$AG$40)+AJ42*0.5+AL42+AM42*(1-$AG$40)+AN42*(1-$AG$40)+AP42*0.5+AQ42*0.5</f>
        <v>3313.7761916668373</v>
      </c>
      <c r="F46" s="324"/>
      <c r="G46" s="322" t="s">
        <v>194</v>
      </c>
      <c r="H46" s="323">
        <f>AH42*AG40+AJ42*0.5+AK42+AM42*AG40+AN42*AG40+AP42*0.5+AQ42*0.5</f>
        <v>5377.4038083331625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2640.4614415913816</v>
      </c>
      <c r="U46" s="325">
        <f>(((T46*8.34)*0.005)/(8.34*1.055))/400</f>
        <v>3.1285088170514001E-2</v>
      </c>
    </row>
    <row r="47" spans="1:43" ht="24.75" thickTop="1" thickBot="1">
      <c r="A47" s="322" t="s">
        <v>195</v>
      </c>
      <c r="B47" s="323">
        <f>K44</f>
        <v>119640.44</v>
      </c>
      <c r="C47" s="309"/>
      <c r="D47" s="322" t="s">
        <v>197</v>
      </c>
      <c r="E47" s="323">
        <f>K44*0.5</f>
        <v>59820.22</v>
      </c>
      <c r="F47" s="316"/>
      <c r="G47" s="322" t="s">
        <v>195</v>
      </c>
      <c r="H47" s="323">
        <f>K44*0.5</f>
        <v>59820.22</v>
      </c>
      <c r="I47" s="309"/>
      <c r="J47" s="307" t="s">
        <v>208</v>
      </c>
      <c r="K47" s="308">
        <v>26333.040000000005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95929.010603523187</v>
      </c>
      <c r="U47" s="321">
        <f>T47/40000</f>
        <v>2.3982252650880795</v>
      </c>
    </row>
    <row r="48" spans="1:43" ht="24" thickBot="1">
      <c r="A48" s="322" t="s">
        <v>196</v>
      </c>
      <c r="B48" s="323">
        <f>K47</f>
        <v>26333.040000000005</v>
      </c>
      <c r="C48" s="309"/>
      <c r="D48" s="322" t="s">
        <v>196</v>
      </c>
      <c r="E48" s="323">
        <f>K47*0.5</f>
        <v>13166.520000000002</v>
      </c>
      <c r="F48" s="324"/>
      <c r="G48" s="322" t="s">
        <v>196</v>
      </c>
      <c r="H48" s="323">
        <f>K47*0.5</f>
        <v>13166.520000000002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0.24359837770461815</v>
      </c>
      <c r="U48" s="321">
        <f>T48*9.34*0.107</f>
        <v>0.24344734671044127</v>
      </c>
    </row>
    <row r="49" spans="1:25" ht="48" thickTop="1" thickBot="1">
      <c r="A49" s="327" t="s">
        <v>204</v>
      </c>
      <c r="B49" s="328">
        <f>AD40</f>
        <v>434.58132714314576</v>
      </c>
      <c r="C49" s="309"/>
      <c r="D49" s="327" t="s">
        <v>205</v>
      </c>
      <c r="E49" s="328">
        <f>AF40</f>
        <v>106.02228014636094</v>
      </c>
      <c r="F49" s="324"/>
      <c r="G49" s="327" t="s">
        <v>206</v>
      </c>
      <c r="H49" s="328">
        <f>AE40</f>
        <v>322.49971956139166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842.8034273549921</v>
      </c>
      <c r="U49" s="321">
        <f>(T49*8.34*1.04)/45000</f>
        <v>0.16244755127791688</v>
      </c>
    </row>
    <row r="50" spans="1:25" ht="48" thickTop="1" thickBot="1">
      <c r="A50" s="327" t="s">
        <v>200</v>
      </c>
      <c r="B50" s="329">
        <f>(SUM(B44:B48)/AD40)</f>
        <v>732.20470400140175</v>
      </c>
      <c r="C50" s="309"/>
      <c r="D50" s="327" t="s">
        <v>198</v>
      </c>
      <c r="E50" s="329">
        <f>SUM(E44:E48)/AF40</f>
        <v>1539.8693516650756</v>
      </c>
      <c r="F50" s="324"/>
      <c r="G50" s="327" t="s">
        <v>199</v>
      </c>
      <c r="H50" s="329">
        <f>SUM(H44:H48)/AE40</f>
        <v>480.44082774732004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9002.0092060406714</v>
      </c>
      <c r="U50" s="321">
        <f>T50/2000/8</f>
        <v>0.56262557537754199</v>
      </c>
    </row>
    <row r="51" spans="1:25" ht="48" thickTop="1" thickBot="1">
      <c r="A51" s="330" t="s">
        <v>201</v>
      </c>
      <c r="B51" s="331">
        <f>B50/1000</f>
        <v>0.7322047040014017</v>
      </c>
      <c r="C51" s="309"/>
      <c r="D51" s="330" t="s">
        <v>202</v>
      </c>
      <c r="E51" s="331">
        <f>E50/1000</f>
        <v>1.5398693516650757</v>
      </c>
      <c r="F51" s="309"/>
      <c r="G51" s="330" t="s">
        <v>203</v>
      </c>
      <c r="H51" s="331">
        <f>H50/1000</f>
        <v>0.48044082774732005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26360.127951399474</v>
      </c>
      <c r="U51" s="321">
        <f>(T51*8.34*1.4)/45000</f>
        <v>6.8395745324564494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1092.4559769113871</v>
      </c>
      <c r="U52" s="321">
        <f>(T52*8.34*1.135)/45000</f>
        <v>0.22980175626323329</v>
      </c>
    </row>
    <row r="53" spans="1:25" ht="33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10601.48581444423</v>
      </c>
      <c r="U53" s="321">
        <f>(T53*8.34*1.029*0.03)/3300</f>
        <v>0.82709515501405773</v>
      </c>
    </row>
    <row r="54" spans="1:25" ht="59.2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31521.439462308073</v>
      </c>
      <c r="U54" s="350">
        <f>(T54*1.54*8.34)/45000</f>
        <v>8.9966391084022206</v>
      </c>
      <c r="V54" s="337"/>
      <c r="W54" s="309"/>
    </row>
    <row r="55" spans="1:25" ht="15.75" thickTop="1">
      <c r="B55" s="309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41"/>
      <c r="T55" s="577"/>
      <c r="U55" s="577"/>
      <c r="V55" s="339"/>
      <c r="W55" s="340"/>
      <c r="X55" s="341"/>
      <c r="Y55" s="341"/>
    </row>
    <row r="56" spans="1:25"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41"/>
      <c r="T56" s="578"/>
      <c r="U56" s="578"/>
      <c r="V56" s="339"/>
      <c r="W56" s="340"/>
      <c r="X56" s="341"/>
      <c r="Y56" s="341"/>
    </row>
    <row r="57" spans="1:25"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41"/>
      <c r="T57" s="578"/>
      <c r="U57" s="578"/>
      <c r="V57" s="339"/>
      <c r="W57" s="340"/>
      <c r="X57" s="341"/>
      <c r="Y57" s="341"/>
    </row>
    <row r="58" spans="1:25"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41"/>
      <c r="T58" s="578"/>
      <c r="U58" s="578"/>
      <c r="V58" s="339"/>
      <c r="W58" s="340"/>
      <c r="X58" s="341"/>
      <c r="Y58" s="341"/>
    </row>
    <row r="59" spans="1:25"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41"/>
      <c r="T59" s="578"/>
      <c r="U59" s="578"/>
      <c r="V59" s="339"/>
      <c r="W59" s="340"/>
      <c r="X59" s="341"/>
      <c r="Y59" s="341"/>
    </row>
    <row r="60" spans="1:25">
      <c r="S60" s="341"/>
      <c r="T60" s="578"/>
      <c r="U60" s="578"/>
      <c r="V60" s="339"/>
      <c r="W60" s="340"/>
      <c r="X60" s="341"/>
      <c r="Y60" s="341"/>
    </row>
    <row r="61" spans="1:25">
      <c r="S61" s="341"/>
      <c r="T61" s="578"/>
      <c r="U61" s="578"/>
      <c r="V61" s="339"/>
      <c r="W61" s="340"/>
      <c r="X61" s="341"/>
      <c r="Y61" s="341"/>
    </row>
    <row r="62" spans="1:25">
      <c r="S62" s="341"/>
      <c r="T62" s="578"/>
      <c r="U62" s="578"/>
      <c r="V62" s="339"/>
      <c r="W62" s="340"/>
      <c r="X62" s="341"/>
      <c r="Y62" s="341"/>
    </row>
    <row r="63" spans="1:25">
      <c r="S63" s="341"/>
      <c r="T63" s="341"/>
      <c r="U63" s="341"/>
      <c r="V63" s="341"/>
      <c r="W63" s="341"/>
      <c r="X63" s="341"/>
      <c r="Y63" s="341"/>
    </row>
    <row r="64" spans="1:25">
      <c r="S64" s="341"/>
      <c r="T64" s="341"/>
      <c r="U64" s="341"/>
      <c r="V64" s="341"/>
      <c r="W64" s="341"/>
      <c r="X64" s="341"/>
      <c r="Y64" s="341"/>
    </row>
    <row r="65" spans="19:25">
      <c r="S65" s="341"/>
      <c r="T65" s="341"/>
      <c r="U65" s="341"/>
      <c r="V65" s="341"/>
      <c r="W65" s="341"/>
      <c r="X65" s="341"/>
      <c r="Y65" s="341"/>
    </row>
    <row r="66" spans="19:25">
      <c r="S66" s="341"/>
      <c r="T66" s="341"/>
      <c r="U66" s="341"/>
      <c r="V66" s="341"/>
      <c r="W66" s="341"/>
      <c r="X66" s="341"/>
      <c r="Y66" s="341"/>
    </row>
  </sheetData>
  <sheetProtection password="A25B" sheet="1" objects="1" scenarios="1"/>
  <mergeCells count="38">
    <mergeCell ref="AG4:AG5"/>
    <mergeCell ref="AB4:AB5"/>
    <mergeCell ref="AC4:AC5"/>
    <mergeCell ref="AD4:AD5"/>
    <mergeCell ref="AE4:AE5"/>
    <mergeCell ref="AF4:AF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T61:U61"/>
    <mergeCell ref="T62:U62"/>
    <mergeCell ref="T56:U56"/>
    <mergeCell ref="T57:U57"/>
    <mergeCell ref="T58:U58"/>
    <mergeCell ref="T59:U59"/>
    <mergeCell ref="T60:U60"/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</mergeCells>
  <pageMargins left="0.33" right="0.19" top="0.75" bottom="0.75" header="0.3" footer="0.3"/>
  <pageSetup paperSize="17" scale="22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9"/>
  <sheetViews>
    <sheetView topLeftCell="A40" zoomScaleNormal="100" workbookViewId="0">
      <selection activeCell="A3" sqref="A3"/>
    </sheetView>
  </sheetViews>
  <sheetFormatPr defaultRowHeight="15"/>
  <cols>
    <col min="1" max="1" width="26.28515625" style="208" customWidth="1"/>
    <col min="2" max="2" width="19.85546875" style="208" bestFit="1" customWidth="1"/>
    <col min="3" max="3" width="27.7109375" style="208" bestFit="1" customWidth="1"/>
    <col min="4" max="4" width="29.5703125" style="208" customWidth="1"/>
    <col min="5" max="5" width="22.28515625" style="208" bestFit="1" customWidth="1"/>
    <col min="6" max="6" width="15" style="208" bestFit="1" customWidth="1"/>
    <col min="7" max="7" width="35.5703125" style="208" customWidth="1"/>
    <col min="8" max="8" width="17.85546875" style="208" bestFit="1" customWidth="1"/>
    <col min="9" max="9" width="15" style="208" bestFit="1" customWidth="1"/>
    <col min="10" max="10" width="16.42578125" style="208" bestFit="1" customWidth="1"/>
    <col min="11" max="11" width="19.85546875" style="208" bestFit="1" customWidth="1"/>
    <col min="12" max="12" width="17.140625" style="208" bestFit="1" customWidth="1"/>
    <col min="13" max="13" width="16.140625" style="208" bestFit="1" customWidth="1"/>
    <col min="14" max="14" width="15.140625" style="208" bestFit="1" customWidth="1"/>
    <col min="15" max="16" width="16.28515625" style="208" bestFit="1" customWidth="1"/>
    <col min="17" max="17" width="24.140625" style="208" bestFit="1" customWidth="1"/>
    <col min="18" max="18" width="24.5703125" style="208" bestFit="1" customWidth="1"/>
    <col min="19" max="19" width="26.140625" style="208" bestFit="1" customWidth="1"/>
    <col min="20" max="20" width="26" style="208" bestFit="1" customWidth="1"/>
    <col min="21" max="22" width="14.5703125" style="208" bestFit="1" customWidth="1"/>
    <col min="23" max="23" width="20.42578125" style="208" bestFit="1" customWidth="1"/>
    <col min="24" max="24" width="20.140625" style="208" bestFit="1" customWidth="1"/>
    <col min="25" max="25" width="22.7109375" style="208" bestFit="1" customWidth="1"/>
    <col min="26" max="26" width="22.42578125" style="208" bestFit="1" customWidth="1"/>
    <col min="27" max="27" width="21.42578125" style="208" bestFit="1" customWidth="1"/>
    <col min="28" max="28" width="33" style="208" bestFit="1" customWidth="1"/>
    <col min="29" max="29" width="36.7109375" style="208" customWidth="1"/>
    <col min="30" max="30" width="33.28515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3" style="208" bestFit="1" customWidth="1"/>
    <col min="35" max="35" width="17" style="208" bestFit="1" customWidth="1"/>
    <col min="36" max="36" width="17.5703125" style="208" bestFit="1" customWidth="1"/>
    <col min="37" max="38" width="15.85546875" style="208" bestFit="1" customWidth="1"/>
    <col min="39" max="39" width="21.85546875" style="208" bestFit="1" customWidth="1"/>
    <col min="40" max="40" width="18.7109375" style="208" bestFit="1" customWidth="1"/>
    <col min="41" max="43" width="15.85546875" style="208" bestFit="1" customWidth="1"/>
    <col min="44" max="16384" width="9.140625" style="208"/>
  </cols>
  <sheetData>
    <row r="1" spans="1:53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53" ht="15" customHeight="1">
      <c r="A2" s="206" t="s">
        <v>2</v>
      </c>
      <c r="B2" s="211"/>
      <c r="O2" s="210"/>
      <c r="P2" s="210"/>
      <c r="Q2" s="210"/>
      <c r="R2" s="210"/>
    </row>
    <row r="3" spans="1:53" ht="15.75" thickBot="1">
      <c r="A3" s="212"/>
      <c r="BA3" s="213"/>
    </row>
    <row r="4" spans="1:53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53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53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53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53">
      <c r="A8" s="232">
        <v>40848</v>
      </c>
      <c r="B8" s="233"/>
      <c r="C8" s="234">
        <v>0</v>
      </c>
      <c r="D8" s="234">
        <v>0</v>
      </c>
      <c r="E8" s="234">
        <v>0</v>
      </c>
      <c r="F8" s="234">
        <v>0</v>
      </c>
      <c r="G8" s="234">
        <v>0</v>
      </c>
      <c r="H8" s="235">
        <v>0</v>
      </c>
      <c r="I8" s="233">
        <v>345.98728497823151</v>
      </c>
      <c r="J8" s="234">
        <v>833.11797962188552</v>
      </c>
      <c r="K8" s="234">
        <v>17.460809059937812</v>
      </c>
      <c r="L8" s="234">
        <v>0</v>
      </c>
      <c r="M8" s="234">
        <v>0</v>
      </c>
      <c r="N8" s="235">
        <v>58.684136619667171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211.11384265687937</v>
      </c>
      <c r="V8" s="238">
        <v>0</v>
      </c>
      <c r="W8" s="238">
        <v>28.860222802559562</v>
      </c>
      <c r="X8" s="238">
        <v>0</v>
      </c>
      <c r="Y8" s="238">
        <v>202.92569610277795</v>
      </c>
      <c r="Z8" s="238">
        <v>0</v>
      </c>
      <c r="AA8" s="239">
        <v>0</v>
      </c>
      <c r="AB8" s="240">
        <v>0</v>
      </c>
      <c r="AC8" s="241">
        <v>0</v>
      </c>
      <c r="AD8" s="241">
        <v>11.131022006935543</v>
      </c>
      <c r="AE8" s="242">
        <v>11.001941284450595</v>
      </c>
      <c r="AF8" s="242">
        <v>0</v>
      </c>
      <c r="AG8" s="242">
        <v>1</v>
      </c>
      <c r="AH8" s="241">
        <v>215.1534995873769</v>
      </c>
      <c r="AI8" s="241">
        <v>501.49513505299893</v>
      </c>
      <c r="AJ8" s="241">
        <v>1051.6529760996502</v>
      </c>
      <c r="AK8" s="241">
        <v>967.33162549336737</v>
      </c>
      <c r="AL8" s="241">
        <v>1220.0896794319151</v>
      </c>
      <c r="AM8" s="241">
        <v>1900.1460376739499</v>
      </c>
      <c r="AN8" s="241">
        <v>563.07737520535784</v>
      </c>
      <c r="AO8" s="241">
        <v>1750.5236375172933</v>
      </c>
      <c r="AP8" s="241">
        <v>108.97477617661157</v>
      </c>
      <c r="AQ8" s="241">
        <v>670.18527453740433</v>
      </c>
    </row>
    <row r="9" spans="1:53">
      <c r="A9" s="232">
        <v>40849</v>
      </c>
      <c r="B9" s="243"/>
      <c r="C9" s="244">
        <v>0</v>
      </c>
      <c r="D9" s="244">
        <v>0</v>
      </c>
      <c r="E9" s="234">
        <v>0</v>
      </c>
      <c r="F9" s="244">
        <v>0</v>
      </c>
      <c r="G9" s="244">
        <v>0</v>
      </c>
      <c r="H9" s="245">
        <v>0</v>
      </c>
      <c r="I9" s="243">
        <v>350.4150637626646</v>
      </c>
      <c r="J9" s="244">
        <v>813.19233105977469</v>
      </c>
      <c r="K9" s="244">
        <v>15.497507068514823</v>
      </c>
      <c r="L9" s="234">
        <v>0</v>
      </c>
      <c r="M9" s="244">
        <v>0</v>
      </c>
      <c r="N9" s="245">
        <v>59.639087311426778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200.42257234784952</v>
      </c>
      <c r="V9" s="246">
        <v>0</v>
      </c>
      <c r="W9" s="246">
        <v>26.858245422442735</v>
      </c>
      <c r="X9" s="246">
        <v>0</v>
      </c>
      <c r="Y9" s="250">
        <v>185.36351494789147</v>
      </c>
      <c r="Z9" s="250">
        <v>0</v>
      </c>
      <c r="AA9" s="251">
        <v>0</v>
      </c>
      <c r="AB9" s="252">
        <v>0</v>
      </c>
      <c r="AC9" s="253">
        <v>0</v>
      </c>
      <c r="AD9" s="253">
        <v>10.453945950667062</v>
      </c>
      <c r="AE9" s="252">
        <v>10.331062096900343</v>
      </c>
      <c r="AF9" s="252">
        <v>0</v>
      </c>
      <c r="AG9" s="252">
        <v>1</v>
      </c>
      <c r="AH9" s="253">
        <v>286.62786291440329</v>
      </c>
      <c r="AI9" s="253">
        <v>644.23658068974805</v>
      </c>
      <c r="AJ9" s="253">
        <v>1066.3757729848226</v>
      </c>
      <c r="AK9" s="253">
        <v>989.47310962677011</v>
      </c>
      <c r="AL9" s="253">
        <v>1495.6543882369995</v>
      </c>
      <c r="AM9" s="253">
        <v>1939.4031040191651</v>
      </c>
      <c r="AN9" s="253">
        <v>560.75944714546199</v>
      </c>
      <c r="AO9" s="253">
        <v>1867.7346254984541</v>
      </c>
      <c r="AP9" s="253">
        <v>349.24843382835388</v>
      </c>
      <c r="AQ9" s="253">
        <v>731.74645846684768</v>
      </c>
    </row>
    <row r="10" spans="1:53">
      <c r="A10" s="232">
        <v>40850</v>
      </c>
      <c r="B10" s="243"/>
      <c r="C10" s="244">
        <v>0</v>
      </c>
      <c r="D10" s="244">
        <v>0</v>
      </c>
      <c r="E10" s="234">
        <v>0</v>
      </c>
      <c r="F10" s="244">
        <v>0</v>
      </c>
      <c r="G10" s="244">
        <v>0</v>
      </c>
      <c r="H10" s="245">
        <v>0</v>
      </c>
      <c r="I10" s="243">
        <v>329.02132450739509</v>
      </c>
      <c r="J10" s="244">
        <v>853.19915154775094</v>
      </c>
      <c r="K10" s="244">
        <v>15.1588584025701</v>
      </c>
      <c r="L10" s="234">
        <v>0</v>
      </c>
      <c r="M10" s="244">
        <v>0</v>
      </c>
      <c r="N10" s="245">
        <v>57.696500034133535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185.60986977683109</v>
      </c>
      <c r="V10" s="246">
        <v>0</v>
      </c>
      <c r="W10" s="246">
        <v>25.269468976060576</v>
      </c>
      <c r="X10" s="246">
        <v>0</v>
      </c>
      <c r="Y10" s="250">
        <v>171.75876684188864</v>
      </c>
      <c r="Z10" s="250">
        <v>0</v>
      </c>
      <c r="AA10" s="251">
        <v>0</v>
      </c>
      <c r="AB10" s="252">
        <v>0</v>
      </c>
      <c r="AC10" s="253">
        <v>0</v>
      </c>
      <c r="AD10" s="253">
        <v>9.7985677527056598</v>
      </c>
      <c r="AE10" s="252">
        <v>9.628803205827289</v>
      </c>
      <c r="AF10" s="252">
        <v>0</v>
      </c>
      <c r="AG10" s="252">
        <v>1</v>
      </c>
      <c r="AH10" s="253">
        <v>258.47259964148196</v>
      </c>
      <c r="AI10" s="253">
        <v>627.59574057261159</v>
      </c>
      <c r="AJ10" s="253">
        <v>1069.268505096436</v>
      </c>
      <c r="AK10" s="253">
        <v>969.97412439982088</v>
      </c>
      <c r="AL10" s="253">
        <v>1626.4500977834066</v>
      </c>
      <c r="AM10" s="253">
        <v>2001.0578784942627</v>
      </c>
      <c r="AN10" s="253">
        <v>555.72994511922207</v>
      </c>
      <c r="AO10" s="253">
        <v>1858.8718388875325</v>
      </c>
      <c r="AP10" s="253">
        <v>438.85448520978298</v>
      </c>
      <c r="AQ10" s="253">
        <v>766.04407698313378</v>
      </c>
    </row>
    <row r="11" spans="1:53">
      <c r="A11" s="232">
        <v>40851</v>
      </c>
      <c r="B11" s="243"/>
      <c r="C11" s="244">
        <v>0</v>
      </c>
      <c r="D11" s="244">
        <v>0</v>
      </c>
      <c r="E11" s="234">
        <v>0</v>
      </c>
      <c r="F11" s="244">
        <v>0</v>
      </c>
      <c r="G11" s="244">
        <v>0</v>
      </c>
      <c r="H11" s="245">
        <v>0</v>
      </c>
      <c r="I11" s="243">
        <v>387.29643182754569</v>
      </c>
      <c r="J11" s="244">
        <v>1003.4067911783847</v>
      </c>
      <c r="K11" s="244">
        <v>18.102331882715241</v>
      </c>
      <c r="L11" s="234">
        <v>0</v>
      </c>
      <c r="M11" s="244">
        <v>0</v>
      </c>
      <c r="N11" s="245">
        <v>57.659548306465112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236.6253826353288</v>
      </c>
      <c r="V11" s="246">
        <v>0</v>
      </c>
      <c r="W11" s="246">
        <v>30.315259997049985</v>
      </c>
      <c r="X11" s="246">
        <v>0</v>
      </c>
      <c r="Y11" s="250">
        <v>211.77686020533253</v>
      </c>
      <c r="Z11" s="250">
        <v>0</v>
      </c>
      <c r="AA11" s="251">
        <v>0</v>
      </c>
      <c r="AB11" s="252">
        <v>0</v>
      </c>
      <c r="AC11" s="253">
        <v>0</v>
      </c>
      <c r="AD11" s="253">
        <v>12.231355370415573</v>
      </c>
      <c r="AE11" s="252">
        <v>11.999498040140764</v>
      </c>
      <c r="AF11" s="252">
        <v>0</v>
      </c>
      <c r="AG11" s="252">
        <v>1</v>
      </c>
      <c r="AH11" s="253">
        <v>241.82450405756632</v>
      </c>
      <c r="AI11" s="253">
        <v>620.18580045700071</v>
      </c>
      <c r="AJ11" s="253">
        <v>1062.1588987350463</v>
      </c>
      <c r="AK11" s="253">
        <v>955.67479228973377</v>
      </c>
      <c r="AL11" s="253">
        <v>1647.3940372467041</v>
      </c>
      <c r="AM11" s="253">
        <v>1981.1550207773848</v>
      </c>
      <c r="AN11" s="253">
        <v>534.32480924924209</v>
      </c>
      <c r="AO11" s="253">
        <v>1976.5616040547688</v>
      </c>
      <c r="AP11" s="253">
        <v>440.70656154950456</v>
      </c>
      <c r="AQ11" s="253">
        <v>794.91023613611844</v>
      </c>
    </row>
    <row r="12" spans="1:53">
      <c r="A12" s="232">
        <v>40852</v>
      </c>
      <c r="B12" s="243"/>
      <c r="C12" s="244">
        <v>0</v>
      </c>
      <c r="D12" s="244">
        <v>0</v>
      </c>
      <c r="E12" s="234">
        <v>0</v>
      </c>
      <c r="F12" s="244">
        <v>0</v>
      </c>
      <c r="G12" s="244">
        <v>0</v>
      </c>
      <c r="H12" s="245">
        <v>0</v>
      </c>
      <c r="I12" s="243">
        <v>410.49160094261242</v>
      </c>
      <c r="J12" s="244">
        <v>997.25924421946161</v>
      </c>
      <c r="K12" s="244">
        <v>18.082391726970688</v>
      </c>
      <c r="L12" s="234">
        <v>0</v>
      </c>
      <c r="M12" s="244">
        <v>0</v>
      </c>
      <c r="N12" s="245">
        <v>57.70816118468835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239.09132263395574</v>
      </c>
      <c r="V12" s="246">
        <v>0</v>
      </c>
      <c r="W12" s="246">
        <v>30.637312004963569</v>
      </c>
      <c r="X12" s="246">
        <v>0</v>
      </c>
      <c r="Y12" s="250">
        <v>212.31489521662465</v>
      </c>
      <c r="Z12" s="250">
        <v>0</v>
      </c>
      <c r="AA12" s="251">
        <v>0</v>
      </c>
      <c r="AB12" s="252">
        <v>0</v>
      </c>
      <c r="AC12" s="253">
        <v>0</v>
      </c>
      <c r="AD12" s="253">
        <v>12.227713579601707</v>
      </c>
      <c r="AE12" s="252">
        <v>11.999685787278608</v>
      </c>
      <c r="AF12" s="252">
        <v>0</v>
      </c>
      <c r="AG12" s="252">
        <v>1</v>
      </c>
      <c r="AH12" s="253">
        <v>240.45828742980956</v>
      </c>
      <c r="AI12" s="253">
        <v>625.91503626505516</v>
      </c>
      <c r="AJ12" s="253">
        <v>1029.1693250020346</v>
      </c>
      <c r="AK12" s="253">
        <v>950.60027167002386</v>
      </c>
      <c r="AL12" s="253">
        <v>1636.351245625814</v>
      </c>
      <c r="AM12" s="253">
        <v>1891.5303291320802</v>
      </c>
      <c r="AN12" s="253">
        <v>536.85787390073142</v>
      </c>
      <c r="AO12" s="253">
        <v>1946.3030685424806</v>
      </c>
      <c r="AP12" s="253">
        <v>469.90728448232016</v>
      </c>
      <c r="AQ12" s="253">
        <v>737.77978153228742</v>
      </c>
    </row>
    <row r="13" spans="1:53">
      <c r="A13" s="232">
        <v>40853</v>
      </c>
      <c r="B13" s="243"/>
      <c r="C13" s="244">
        <v>0</v>
      </c>
      <c r="D13" s="244">
        <v>0</v>
      </c>
      <c r="E13" s="234">
        <v>0</v>
      </c>
      <c r="F13" s="244">
        <v>0</v>
      </c>
      <c r="G13" s="244">
        <v>0</v>
      </c>
      <c r="H13" s="245">
        <v>0</v>
      </c>
      <c r="I13" s="243">
        <v>419.49</v>
      </c>
      <c r="J13" s="244">
        <v>1051.7</v>
      </c>
      <c r="K13" s="244">
        <v>18.84</v>
      </c>
      <c r="L13" s="234">
        <v>0</v>
      </c>
      <c r="M13" s="244">
        <v>0</v>
      </c>
      <c r="N13" s="245">
        <v>59.26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249.1</v>
      </c>
      <c r="V13" s="246">
        <v>0</v>
      </c>
      <c r="W13" s="246">
        <v>32.340000000000003</v>
      </c>
      <c r="X13" s="246">
        <v>0</v>
      </c>
      <c r="Y13" s="250">
        <v>220.14</v>
      </c>
      <c r="Z13" s="250">
        <v>0</v>
      </c>
      <c r="AA13" s="251">
        <v>0</v>
      </c>
      <c r="AB13" s="252">
        <v>0</v>
      </c>
      <c r="AC13" s="253">
        <v>0</v>
      </c>
      <c r="AD13" s="253">
        <v>12.73</v>
      </c>
      <c r="AE13" s="252">
        <v>12.499000000000001</v>
      </c>
      <c r="AF13" s="252">
        <v>0</v>
      </c>
      <c r="AG13" s="252">
        <v>1</v>
      </c>
      <c r="AH13" s="253">
        <v>269.45</v>
      </c>
      <c r="AI13" s="253">
        <v>651.84</v>
      </c>
      <c r="AJ13" s="253">
        <v>1090.6500000000001</v>
      </c>
      <c r="AK13" s="253">
        <v>999.06</v>
      </c>
      <c r="AL13" s="253">
        <v>1755.96</v>
      </c>
      <c r="AM13" s="253">
        <v>2038.4</v>
      </c>
      <c r="AN13" s="253">
        <v>556.59</v>
      </c>
      <c r="AO13" s="253">
        <v>2050.67</v>
      </c>
      <c r="AP13" s="253">
        <v>516.91</v>
      </c>
      <c r="AQ13" s="253">
        <v>741.65</v>
      </c>
    </row>
    <row r="14" spans="1:53">
      <c r="A14" s="232">
        <v>40854</v>
      </c>
      <c r="B14" s="243"/>
      <c r="C14" s="244">
        <v>0</v>
      </c>
      <c r="D14" s="244">
        <v>0</v>
      </c>
      <c r="E14" s="234">
        <v>0</v>
      </c>
      <c r="F14" s="244">
        <v>0</v>
      </c>
      <c r="G14" s="244">
        <v>0</v>
      </c>
      <c r="H14" s="245">
        <v>0</v>
      </c>
      <c r="I14" s="243">
        <v>322.4645234107976</v>
      </c>
      <c r="J14" s="244">
        <v>904.96529693603748</v>
      </c>
      <c r="K14" s="244">
        <v>16.347705672184595</v>
      </c>
      <c r="L14" s="234">
        <v>0</v>
      </c>
      <c r="M14" s="244">
        <v>0</v>
      </c>
      <c r="N14" s="245">
        <v>56.224731050431728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217.35105562210182</v>
      </c>
      <c r="V14" s="246">
        <v>0</v>
      </c>
      <c r="W14" s="246">
        <v>28.549725945790605</v>
      </c>
      <c r="X14" s="246">
        <v>0</v>
      </c>
      <c r="Y14" s="250">
        <v>198.35928523540505</v>
      </c>
      <c r="Z14" s="250">
        <v>0</v>
      </c>
      <c r="AA14" s="251">
        <v>0</v>
      </c>
      <c r="AB14" s="252">
        <v>0</v>
      </c>
      <c r="AC14" s="253">
        <v>0</v>
      </c>
      <c r="AD14" s="253">
        <v>11.110492228799405</v>
      </c>
      <c r="AE14" s="252">
        <v>10.897996180333902</v>
      </c>
      <c r="AF14" s="252">
        <v>0</v>
      </c>
      <c r="AG14" s="252">
        <v>1</v>
      </c>
      <c r="AH14" s="253">
        <v>283.34991388320924</v>
      </c>
      <c r="AI14" s="253">
        <v>654.60136292775462</v>
      </c>
      <c r="AJ14" s="253">
        <v>1056.537467257182</v>
      </c>
      <c r="AK14" s="253">
        <v>855.56688098907466</v>
      </c>
      <c r="AL14" s="253">
        <v>1744.5292257944743</v>
      </c>
      <c r="AM14" s="253">
        <v>2017.9368311564128</v>
      </c>
      <c r="AN14" s="253">
        <v>517.2701999664306</v>
      </c>
      <c r="AO14" s="253">
        <v>1898.7101065317788</v>
      </c>
      <c r="AP14" s="253">
        <v>565.70047206878667</v>
      </c>
      <c r="AQ14" s="253">
        <v>726.50716403325396</v>
      </c>
    </row>
    <row r="15" spans="1:53">
      <c r="A15" s="232">
        <v>40855</v>
      </c>
      <c r="B15" s="243"/>
      <c r="C15" s="244">
        <v>0</v>
      </c>
      <c r="D15" s="244">
        <v>0</v>
      </c>
      <c r="E15" s="234">
        <v>0</v>
      </c>
      <c r="F15" s="244">
        <v>0</v>
      </c>
      <c r="G15" s="244">
        <v>0</v>
      </c>
      <c r="H15" s="245">
        <v>0</v>
      </c>
      <c r="I15" s="243">
        <v>209.51637808481831</v>
      </c>
      <c r="J15" s="244">
        <v>943.8609282811484</v>
      </c>
      <c r="K15" s="244">
        <v>15.742945489287342</v>
      </c>
      <c r="L15" s="234">
        <v>0</v>
      </c>
      <c r="M15" s="244">
        <v>0</v>
      </c>
      <c r="N15" s="245">
        <v>38.849919925133392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209.01760115093685</v>
      </c>
      <c r="V15" s="246">
        <v>0</v>
      </c>
      <c r="W15" s="246">
        <v>27.020695462822918</v>
      </c>
      <c r="X15" s="246">
        <v>0</v>
      </c>
      <c r="Y15" s="250">
        <v>214.8233983357749</v>
      </c>
      <c r="Z15" s="250">
        <v>0</v>
      </c>
      <c r="AA15" s="251">
        <v>0</v>
      </c>
      <c r="AB15" s="252">
        <v>0</v>
      </c>
      <c r="AC15" s="253">
        <v>0</v>
      </c>
      <c r="AD15" s="253">
        <v>10.695397263103057</v>
      </c>
      <c r="AE15" s="252">
        <v>10.49963511909003</v>
      </c>
      <c r="AF15" s="252">
        <v>0</v>
      </c>
      <c r="AG15" s="252">
        <v>1</v>
      </c>
      <c r="AH15" s="253">
        <v>273.7388277053833</v>
      </c>
      <c r="AI15" s="253">
        <v>646.32822367350275</v>
      </c>
      <c r="AJ15" s="253">
        <v>1063.2434325536092</v>
      </c>
      <c r="AK15" s="253">
        <v>743.82457984288533</v>
      </c>
      <c r="AL15" s="253">
        <v>1664.4372529983523</v>
      </c>
      <c r="AM15" s="253">
        <v>2018.6149046579994</v>
      </c>
      <c r="AN15" s="253">
        <v>523.72471783955905</v>
      </c>
      <c r="AO15" s="253">
        <v>1867.457423909505</v>
      </c>
      <c r="AP15" s="253">
        <v>611.48320124944041</v>
      </c>
      <c r="AQ15" s="253">
        <v>680.19464864730844</v>
      </c>
    </row>
    <row r="16" spans="1:53">
      <c r="A16" s="232">
        <v>40856</v>
      </c>
      <c r="B16" s="243"/>
      <c r="C16" s="244">
        <v>0</v>
      </c>
      <c r="D16" s="244">
        <v>0</v>
      </c>
      <c r="E16" s="234">
        <v>0</v>
      </c>
      <c r="F16" s="244">
        <v>0</v>
      </c>
      <c r="G16" s="244">
        <v>0</v>
      </c>
      <c r="H16" s="245">
        <v>0</v>
      </c>
      <c r="I16" s="243">
        <v>156.85651183128346</v>
      </c>
      <c r="J16" s="244">
        <v>964.94945271810025</v>
      </c>
      <c r="K16" s="244">
        <v>15.718129091461458</v>
      </c>
      <c r="L16" s="234">
        <v>0</v>
      </c>
      <c r="M16" s="244">
        <v>0</v>
      </c>
      <c r="N16" s="245">
        <v>38.984750122328613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209.01621714697939</v>
      </c>
      <c r="V16" s="246">
        <v>0</v>
      </c>
      <c r="W16" s="246">
        <v>27.467593285441378</v>
      </c>
      <c r="X16" s="246">
        <v>0</v>
      </c>
      <c r="Y16" s="250">
        <v>231.24573348363231</v>
      </c>
      <c r="Z16" s="250">
        <v>0</v>
      </c>
      <c r="AA16" s="251">
        <v>0</v>
      </c>
      <c r="AB16" s="252">
        <v>0</v>
      </c>
      <c r="AC16" s="253">
        <v>0</v>
      </c>
      <c r="AD16" s="253">
        <v>10.695020408762829</v>
      </c>
      <c r="AE16" s="252">
        <v>10.500020380848834</v>
      </c>
      <c r="AF16" s="252">
        <v>0</v>
      </c>
      <c r="AG16" s="252">
        <v>1</v>
      </c>
      <c r="AH16" s="253">
        <v>267.7981858253479</v>
      </c>
      <c r="AI16" s="253">
        <v>584.48153196970623</v>
      </c>
      <c r="AJ16" s="253">
        <v>1082.1094643274942</v>
      </c>
      <c r="AK16" s="253">
        <v>740.34115851720162</v>
      </c>
      <c r="AL16" s="253">
        <v>1712.4221721013384</v>
      </c>
      <c r="AM16" s="253">
        <v>2025.0818269093832</v>
      </c>
      <c r="AN16" s="253">
        <v>524.19623316129048</v>
      </c>
      <c r="AO16" s="253">
        <v>1847.0404917399085</v>
      </c>
      <c r="AP16" s="253">
        <v>613.02237723668406</v>
      </c>
      <c r="AQ16" s="253">
        <v>679.95321855545046</v>
      </c>
    </row>
    <row r="17" spans="1:43">
      <c r="A17" s="232">
        <v>40857</v>
      </c>
      <c r="B17" s="233"/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5">
        <v>0</v>
      </c>
      <c r="I17" s="233">
        <v>70.583826700846274</v>
      </c>
      <c r="J17" s="234">
        <v>923.10885601043947</v>
      </c>
      <c r="K17" s="234">
        <v>15.801836642622915</v>
      </c>
      <c r="L17" s="234">
        <v>0</v>
      </c>
      <c r="M17" s="234">
        <v>0</v>
      </c>
      <c r="N17" s="235">
        <v>39.384835188090797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204.6328957239794</v>
      </c>
      <c r="V17" s="250">
        <v>0</v>
      </c>
      <c r="W17" s="246">
        <v>26.471927328904432</v>
      </c>
      <c r="X17" s="246">
        <v>0</v>
      </c>
      <c r="Y17" s="250">
        <v>225.93807628154775</v>
      </c>
      <c r="Z17" s="250">
        <v>0</v>
      </c>
      <c r="AA17" s="251">
        <v>0</v>
      </c>
      <c r="AB17" s="252">
        <v>0</v>
      </c>
      <c r="AC17" s="253">
        <v>0</v>
      </c>
      <c r="AD17" s="253">
        <v>10.449617435203679</v>
      </c>
      <c r="AE17" s="252">
        <v>10.249257363384251</v>
      </c>
      <c r="AF17" s="252">
        <v>0</v>
      </c>
      <c r="AG17" s="252">
        <v>1</v>
      </c>
      <c r="AH17" s="253">
        <v>251.80375431378681</v>
      </c>
      <c r="AI17" s="253">
        <v>491.83645288149512</v>
      </c>
      <c r="AJ17" s="253">
        <v>1105.0931471506756</v>
      </c>
      <c r="AK17" s="253">
        <v>727.77087217966709</v>
      </c>
      <c r="AL17" s="253">
        <v>1660.4052043914796</v>
      </c>
      <c r="AM17" s="253">
        <v>2017.9768372853596</v>
      </c>
      <c r="AN17" s="253">
        <v>513.88221634229023</v>
      </c>
      <c r="AO17" s="253">
        <v>1894.8337702433269</v>
      </c>
      <c r="AP17" s="253">
        <v>603.71464068094883</v>
      </c>
      <c r="AQ17" s="253">
        <v>682.07544240951529</v>
      </c>
    </row>
    <row r="18" spans="1:43">
      <c r="A18" s="232">
        <f t="shared" ref="A18:A37" si="0">A17+1</f>
        <v>40858</v>
      </c>
      <c r="B18" s="243"/>
      <c r="C18" s="244">
        <v>0</v>
      </c>
      <c r="D18" s="244">
        <v>0</v>
      </c>
      <c r="E18" s="234">
        <v>0</v>
      </c>
      <c r="F18" s="244">
        <v>0</v>
      </c>
      <c r="G18" s="244">
        <v>0</v>
      </c>
      <c r="H18" s="245">
        <v>0</v>
      </c>
      <c r="I18" s="243">
        <v>211.45445836385082</v>
      </c>
      <c r="J18" s="244">
        <v>968.68924274444805</v>
      </c>
      <c r="K18" s="244">
        <v>16.170975169539407</v>
      </c>
      <c r="L18" s="234">
        <v>0</v>
      </c>
      <c r="M18" s="244">
        <v>0</v>
      </c>
      <c r="N18" s="245">
        <v>37.913590515156592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218.81817169189077</v>
      </c>
      <c r="V18" s="246">
        <v>0</v>
      </c>
      <c r="W18" s="246">
        <v>26.854878446459761</v>
      </c>
      <c r="X18" s="246">
        <v>0</v>
      </c>
      <c r="Y18" s="250">
        <v>231.98192680676829</v>
      </c>
      <c r="Z18" s="250">
        <v>0</v>
      </c>
      <c r="AA18" s="251">
        <v>0</v>
      </c>
      <c r="AB18" s="252">
        <v>0</v>
      </c>
      <c r="AC18" s="253">
        <v>0</v>
      </c>
      <c r="AD18" s="253">
        <v>10.692993099821951</v>
      </c>
      <c r="AE18" s="252">
        <v>10.504001955902828</v>
      </c>
      <c r="AF18" s="252">
        <v>0</v>
      </c>
      <c r="AG18" s="252">
        <v>1</v>
      </c>
      <c r="AH18" s="253">
        <v>238.54895671208703</v>
      </c>
      <c r="AI18" s="253">
        <v>472.05328745841979</v>
      </c>
      <c r="AJ18" s="253">
        <v>1062.0058746337888</v>
      </c>
      <c r="AK18" s="253">
        <v>727.15045944849646</v>
      </c>
      <c r="AL18" s="253">
        <v>1605.2627360661825</v>
      </c>
      <c r="AM18" s="253">
        <v>1906.1006004333494</v>
      </c>
      <c r="AN18" s="253">
        <v>527.68216640154515</v>
      </c>
      <c r="AO18" s="253">
        <v>1858.5383881886801</v>
      </c>
      <c r="AP18" s="253">
        <v>471.63074129422506</v>
      </c>
      <c r="AQ18" s="253">
        <v>685.0713437080384</v>
      </c>
    </row>
    <row r="19" spans="1:43">
      <c r="A19" s="232">
        <f t="shared" si="0"/>
        <v>40859</v>
      </c>
      <c r="B19" s="243"/>
      <c r="C19" s="244">
        <v>0</v>
      </c>
      <c r="D19" s="244">
        <v>0</v>
      </c>
      <c r="E19" s="234">
        <v>0</v>
      </c>
      <c r="F19" s="244">
        <v>0</v>
      </c>
      <c r="G19" s="244">
        <v>0</v>
      </c>
      <c r="H19" s="245">
        <v>0</v>
      </c>
      <c r="I19" s="243">
        <v>361.62873633702634</v>
      </c>
      <c r="J19" s="244">
        <v>910.46698884964155</v>
      </c>
      <c r="K19" s="244">
        <v>15.779640245437626</v>
      </c>
      <c r="L19" s="234">
        <v>0</v>
      </c>
      <c r="M19" s="244">
        <v>0</v>
      </c>
      <c r="N19" s="245">
        <v>37.881943533817925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215.12053526772004</v>
      </c>
      <c r="V19" s="246">
        <v>0</v>
      </c>
      <c r="W19" s="246">
        <v>26.797489413619012</v>
      </c>
      <c r="X19" s="246">
        <v>0</v>
      </c>
      <c r="Y19" s="250">
        <v>229.56799397468583</v>
      </c>
      <c r="Z19" s="250">
        <v>0</v>
      </c>
      <c r="AA19" s="251">
        <v>0</v>
      </c>
      <c r="AB19" s="252">
        <v>0</v>
      </c>
      <c r="AC19" s="253">
        <v>0</v>
      </c>
      <c r="AD19" s="253">
        <v>10.681146417723758</v>
      </c>
      <c r="AE19" s="252">
        <v>10.497016221339626</v>
      </c>
      <c r="AF19" s="252">
        <v>0</v>
      </c>
      <c r="AG19" s="252">
        <v>1</v>
      </c>
      <c r="AH19" s="253">
        <v>232.77288643519086</v>
      </c>
      <c r="AI19" s="253">
        <v>456.41443502108262</v>
      </c>
      <c r="AJ19" s="253">
        <v>1084.3950929005941</v>
      </c>
      <c r="AK19" s="253">
        <v>724.34396626154569</v>
      </c>
      <c r="AL19" s="253">
        <v>1600.5117242177325</v>
      </c>
      <c r="AM19" s="253">
        <v>1867.0371269226075</v>
      </c>
      <c r="AN19" s="253">
        <v>538.62795468966169</v>
      </c>
      <c r="AO19" s="253">
        <v>1832.0749111175537</v>
      </c>
      <c r="AP19" s="253">
        <v>425.54464023907985</v>
      </c>
      <c r="AQ19" s="253">
        <v>694.55058339436857</v>
      </c>
    </row>
    <row r="20" spans="1:43">
      <c r="A20" s="232">
        <f t="shared" si="0"/>
        <v>40860</v>
      </c>
      <c r="B20" s="243"/>
      <c r="C20" s="244">
        <v>0</v>
      </c>
      <c r="D20" s="244">
        <v>0</v>
      </c>
      <c r="E20" s="234">
        <v>0</v>
      </c>
      <c r="F20" s="244">
        <v>0</v>
      </c>
      <c r="G20" s="244">
        <v>0</v>
      </c>
      <c r="H20" s="245">
        <v>0</v>
      </c>
      <c r="I20" s="243">
        <v>345.96890829404197</v>
      </c>
      <c r="J20" s="244">
        <v>929.91364587148155</v>
      </c>
      <c r="K20" s="244">
        <v>15.789931393663053</v>
      </c>
      <c r="L20" s="234">
        <v>0</v>
      </c>
      <c r="M20" s="244">
        <v>0</v>
      </c>
      <c r="N20" s="245">
        <v>38.04029224912324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215.17291606267111</v>
      </c>
      <c r="V20" s="246">
        <v>0</v>
      </c>
      <c r="W20" s="246">
        <v>26.32917380034926</v>
      </c>
      <c r="X20" s="246">
        <v>0</v>
      </c>
      <c r="Y20" s="250">
        <v>229.64042085011772</v>
      </c>
      <c r="Z20" s="250">
        <v>0</v>
      </c>
      <c r="AA20" s="251">
        <v>0</v>
      </c>
      <c r="AB20" s="252">
        <v>0</v>
      </c>
      <c r="AC20" s="253">
        <v>0</v>
      </c>
      <c r="AD20" s="253">
        <v>10.679987287521362</v>
      </c>
      <c r="AE20" s="252">
        <v>10.498433470651023</v>
      </c>
      <c r="AF20" s="252">
        <v>0</v>
      </c>
      <c r="AG20" s="252">
        <v>1</v>
      </c>
      <c r="AH20" s="253">
        <v>246.38156674702961</v>
      </c>
      <c r="AI20" s="253">
        <v>481.47187388737996</v>
      </c>
      <c r="AJ20" s="253">
        <v>1068.5978001276651</v>
      </c>
      <c r="AK20" s="253">
        <v>717.74917386372886</v>
      </c>
      <c r="AL20" s="253">
        <v>1630.9024698257451</v>
      </c>
      <c r="AM20" s="253">
        <v>1773.7107747395833</v>
      </c>
      <c r="AN20" s="253">
        <v>532.14393924077342</v>
      </c>
      <c r="AO20" s="253">
        <v>1842.0289791107177</v>
      </c>
      <c r="AP20" s="253">
        <v>453.46781943639127</v>
      </c>
      <c r="AQ20" s="253">
        <v>660.4241664568583</v>
      </c>
    </row>
    <row r="21" spans="1:43">
      <c r="A21" s="232">
        <v>40861</v>
      </c>
      <c r="B21" s="243"/>
      <c r="C21" s="244">
        <v>0</v>
      </c>
      <c r="D21" s="244">
        <v>0</v>
      </c>
      <c r="E21" s="234">
        <v>0</v>
      </c>
      <c r="F21" s="244">
        <v>0</v>
      </c>
      <c r="G21" s="244">
        <v>0</v>
      </c>
      <c r="H21" s="245">
        <v>0</v>
      </c>
      <c r="I21" s="243">
        <v>332.05239605903608</v>
      </c>
      <c r="J21" s="244">
        <v>919.50265312194961</v>
      </c>
      <c r="K21" s="244">
        <v>15.73456276953215</v>
      </c>
      <c r="L21" s="234">
        <v>0</v>
      </c>
      <c r="M21" s="244">
        <v>0</v>
      </c>
      <c r="N21" s="245">
        <v>38.369384514292065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215.19444698757508</v>
      </c>
      <c r="V21" s="246">
        <v>0</v>
      </c>
      <c r="W21" s="246">
        <v>26.392985835671421</v>
      </c>
      <c r="X21" s="246">
        <v>0</v>
      </c>
      <c r="Y21" s="250">
        <v>228.14568874041237</v>
      </c>
      <c r="Z21" s="250">
        <v>0</v>
      </c>
      <c r="AA21" s="251">
        <v>0</v>
      </c>
      <c r="AB21" s="252">
        <v>0</v>
      </c>
      <c r="AC21" s="253">
        <v>0</v>
      </c>
      <c r="AD21" s="253">
        <v>10.678676869471884</v>
      </c>
      <c r="AE21" s="252">
        <v>10.499654287821119</v>
      </c>
      <c r="AF21" s="252">
        <v>0</v>
      </c>
      <c r="AG21" s="252">
        <v>1</v>
      </c>
      <c r="AH21" s="253">
        <v>246.77930811246233</v>
      </c>
      <c r="AI21" s="253">
        <v>490.03868424097698</v>
      </c>
      <c r="AJ21" s="253">
        <v>1062.1659260431927</v>
      </c>
      <c r="AK21" s="253">
        <v>716.45236107508345</v>
      </c>
      <c r="AL21" s="253">
        <v>1641.4778727213545</v>
      </c>
      <c r="AM21" s="253">
        <v>1817.1642580032344</v>
      </c>
      <c r="AN21" s="253">
        <v>521.66998866399115</v>
      </c>
      <c r="AO21" s="253">
        <v>1863.045299657186</v>
      </c>
      <c r="AP21" s="253">
        <v>465.03677396774293</v>
      </c>
      <c r="AQ21" s="253">
        <v>699.60966145197551</v>
      </c>
    </row>
    <row r="22" spans="1:43">
      <c r="A22" s="232">
        <v>40862</v>
      </c>
      <c r="B22" s="243"/>
      <c r="C22" s="244">
        <v>0</v>
      </c>
      <c r="D22" s="244">
        <v>0</v>
      </c>
      <c r="E22" s="234">
        <v>0</v>
      </c>
      <c r="F22" s="244">
        <v>0</v>
      </c>
      <c r="G22" s="244">
        <v>0</v>
      </c>
      <c r="H22" s="245">
        <v>0</v>
      </c>
      <c r="I22" s="243">
        <v>319.45148762067134</v>
      </c>
      <c r="J22" s="244">
        <v>918.12271766662673</v>
      </c>
      <c r="K22" s="244">
        <v>15.776258619626336</v>
      </c>
      <c r="L22" s="234">
        <v>0</v>
      </c>
      <c r="M22" s="244">
        <v>0</v>
      </c>
      <c r="N22" s="245">
        <v>37.389082579314667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209.26836838722249</v>
      </c>
      <c r="V22" s="246">
        <v>0</v>
      </c>
      <c r="W22" s="246">
        <v>24.729561623930906</v>
      </c>
      <c r="X22" s="246">
        <v>0</v>
      </c>
      <c r="Y22" s="250">
        <v>223.26662766138688</v>
      </c>
      <c r="Z22" s="250">
        <v>0</v>
      </c>
      <c r="AA22" s="251">
        <v>0</v>
      </c>
      <c r="AB22" s="252">
        <v>0</v>
      </c>
      <c r="AC22" s="253">
        <v>0</v>
      </c>
      <c r="AD22" s="253">
        <v>10.407871303624567</v>
      </c>
      <c r="AE22" s="252">
        <v>10.166936791273878</v>
      </c>
      <c r="AF22" s="252">
        <v>0</v>
      </c>
      <c r="AG22" s="252">
        <v>1</v>
      </c>
      <c r="AH22" s="253">
        <v>226.49583494663244</v>
      </c>
      <c r="AI22" s="253">
        <v>468.08132049242653</v>
      </c>
      <c r="AJ22" s="253">
        <v>1048.5801115036011</v>
      </c>
      <c r="AK22" s="253">
        <v>710.88190806706734</v>
      </c>
      <c r="AL22" s="253">
        <v>1507.8104055404665</v>
      </c>
      <c r="AM22" s="253">
        <v>1863.1618348439533</v>
      </c>
      <c r="AN22" s="253">
        <v>558.67296142578141</v>
      </c>
      <c r="AO22" s="253">
        <v>1813.520672225952</v>
      </c>
      <c r="AP22" s="253">
        <v>471.44949824015299</v>
      </c>
      <c r="AQ22" s="253">
        <v>708.22754020690911</v>
      </c>
    </row>
    <row r="23" spans="1:43">
      <c r="A23" s="232">
        <v>40863</v>
      </c>
      <c r="B23" s="243"/>
      <c r="C23" s="244">
        <v>0</v>
      </c>
      <c r="D23" s="244">
        <v>0</v>
      </c>
      <c r="E23" s="234">
        <v>0</v>
      </c>
      <c r="F23" s="244">
        <v>0</v>
      </c>
      <c r="G23" s="244">
        <v>0</v>
      </c>
      <c r="H23" s="245">
        <v>0</v>
      </c>
      <c r="I23" s="243">
        <v>236.64397279421482</v>
      </c>
      <c r="J23" s="244">
        <v>902.1918703715022</v>
      </c>
      <c r="K23" s="244">
        <v>15.649462303519204</v>
      </c>
      <c r="L23" s="234">
        <v>0</v>
      </c>
      <c r="M23" s="244">
        <v>0</v>
      </c>
      <c r="N23" s="245">
        <v>37.21194994846978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200.29478402667721</v>
      </c>
      <c r="V23" s="246">
        <v>0</v>
      </c>
      <c r="W23" s="246">
        <v>25.443442536393803</v>
      </c>
      <c r="X23" s="246">
        <v>0</v>
      </c>
      <c r="Y23" s="250">
        <v>215.87326998710699</v>
      </c>
      <c r="Z23" s="250">
        <v>0</v>
      </c>
      <c r="AA23" s="251">
        <v>0</v>
      </c>
      <c r="AB23" s="252">
        <v>0</v>
      </c>
      <c r="AC23" s="253">
        <v>0</v>
      </c>
      <c r="AD23" s="253">
        <v>10.028357975350476</v>
      </c>
      <c r="AE23" s="252">
        <v>9.9799100833911787</v>
      </c>
      <c r="AF23" s="252">
        <v>0</v>
      </c>
      <c r="AG23" s="252">
        <v>1</v>
      </c>
      <c r="AH23" s="253">
        <v>237.77940223217007</v>
      </c>
      <c r="AI23" s="253">
        <v>496.00145030021667</v>
      </c>
      <c r="AJ23" s="253">
        <v>1042.6473042805987</v>
      </c>
      <c r="AK23" s="253">
        <v>712.45208015441892</v>
      </c>
      <c r="AL23" s="253">
        <v>1556.876403872172</v>
      </c>
      <c r="AM23" s="253">
        <v>1998.9920911153158</v>
      </c>
      <c r="AN23" s="253">
        <v>591.19011678695676</v>
      </c>
      <c r="AO23" s="253">
        <v>1820.5390492757163</v>
      </c>
      <c r="AP23" s="253">
        <v>528.83486801783249</v>
      </c>
      <c r="AQ23" s="253">
        <v>718.87070837020883</v>
      </c>
    </row>
    <row r="24" spans="1:43">
      <c r="A24" s="232">
        <f t="shared" si="0"/>
        <v>40864</v>
      </c>
      <c r="B24" s="243"/>
      <c r="C24" s="244">
        <v>0</v>
      </c>
      <c r="D24" s="244">
        <v>0</v>
      </c>
      <c r="E24" s="234">
        <v>0</v>
      </c>
      <c r="F24" s="244">
        <v>0</v>
      </c>
      <c r="G24" s="244">
        <v>0</v>
      </c>
      <c r="H24" s="245">
        <v>0</v>
      </c>
      <c r="I24" s="243">
        <v>149.38499506314596</v>
      </c>
      <c r="J24" s="244">
        <v>899.48917617797929</v>
      </c>
      <c r="K24" s="244">
        <v>15.575332364439939</v>
      </c>
      <c r="L24" s="234">
        <v>0</v>
      </c>
      <c r="M24" s="244">
        <v>0</v>
      </c>
      <c r="N24" s="245">
        <v>36.695047053197996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212.00024982028543</v>
      </c>
      <c r="V24" s="246">
        <v>0</v>
      </c>
      <c r="W24" s="246">
        <v>27.320796828468652</v>
      </c>
      <c r="X24" s="246">
        <v>0</v>
      </c>
      <c r="Y24" s="250">
        <v>225.04478872617113</v>
      </c>
      <c r="Z24" s="250">
        <v>0</v>
      </c>
      <c r="AA24" s="251">
        <v>0</v>
      </c>
      <c r="AB24" s="252">
        <v>0</v>
      </c>
      <c r="AC24" s="253">
        <v>0</v>
      </c>
      <c r="AD24" s="253">
        <v>10.602418285608303</v>
      </c>
      <c r="AE24" s="252">
        <v>10.498862846518474</v>
      </c>
      <c r="AF24" s="252">
        <v>0</v>
      </c>
      <c r="AG24" s="252">
        <v>1</v>
      </c>
      <c r="AH24" s="253">
        <v>215.43651653925579</v>
      </c>
      <c r="AI24" s="253">
        <v>466.25477266311651</v>
      </c>
      <c r="AJ24" s="253">
        <v>1089.7693978627524</v>
      </c>
      <c r="AK24" s="253">
        <v>697.83202095031731</v>
      </c>
      <c r="AL24" s="253">
        <v>1259.4155281702676</v>
      </c>
      <c r="AM24" s="253">
        <v>2110.8908756256105</v>
      </c>
      <c r="AN24" s="253">
        <v>602.30987949371342</v>
      </c>
      <c r="AO24" s="253">
        <v>1793.0843678792319</v>
      </c>
      <c r="AP24" s="253">
        <v>487.77400620778405</v>
      </c>
      <c r="AQ24" s="253">
        <v>774.3224375406902</v>
      </c>
    </row>
    <row r="25" spans="1:43">
      <c r="A25" s="232">
        <v>40865</v>
      </c>
      <c r="B25" s="243"/>
      <c r="C25" s="244">
        <v>0</v>
      </c>
      <c r="D25" s="244">
        <v>0</v>
      </c>
      <c r="E25" s="234">
        <v>0</v>
      </c>
      <c r="F25" s="244">
        <v>0</v>
      </c>
      <c r="G25" s="244">
        <v>0</v>
      </c>
      <c r="H25" s="245">
        <v>0</v>
      </c>
      <c r="I25" s="243">
        <v>146.7182292938229</v>
      </c>
      <c r="J25" s="244">
        <v>908.51731204986766</v>
      </c>
      <c r="K25" s="244">
        <v>15.598454365134192</v>
      </c>
      <c r="L25" s="234">
        <v>0</v>
      </c>
      <c r="M25" s="244">
        <v>0</v>
      </c>
      <c r="N25" s="245">
        <v>37.640150581300233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211.90529037051971</v>
      </c>
      <c r="V25" s="246">
        <v>0</v>
      </c>
      <c r="W25" s="246">
        <v>26.861168516675619</v>
      </c>
      <c r="X25" s="246">
        <v>0</v>
      </c>
      <c r="Y25" s="250">
        <v>226.78379532496183</v>
      </c>
      <c r="Z25" s="250">
        <v>0</v>
      </c>
      <c r="AA25" s="251">
        <v>0</v>
      </c>
      <c r="AB25" s="252">
        <v>0</v>
      </c>
      <c r="AC25" s="253">
        <v>0</v>
      </c>
      <c r="AD25" s="253">
        <v>10.599520382616257</v>
      </c>
      <c r="AE25" s="252">
        <v>10.499406389385282</v>
      </c>
      <c r="AF25" s="252">
        <v>0</v>
      </c>
      <c r="AG25" s="252">
        <v>1</v>
      </c>
      <c r="AH25" s="253">
        <v>191.30354716777805</v>
      </c>
      <c r="AI25" s="253">
        <v>429.23166611989342</v>
      </c>
      <c r="AJ25" s="253">
        <v>1068.8483125050861</v>
      </c>
      <c r="AK25" s="253">
        <v>691.21701138814285</v>
      </c>
      <c r="AL25" s="253">
        <v>1039.6027403195699</v>
      </c>
      <c r="AM25" s="253">
        <v>2123.2171044667562</v>
      </c>
      <c r="AN25" s="253">
        <v>553.82427304585769</v>
      </c>
      <c r="AO25" s="253">
        <v>1740.9379531860352</v>
      </c>
      <c r="AP25" s="253">
        <v>479.95412651697802</v>
      </c>
      <c r="AQ25" s="253">
        <v>764.8649716059366</v>
      </c>
    </row>
    <row r="26" spans="1:43">
      <c r="A26" s="232">
        <v>40866</v>
      </c>
      <c r="B26" s="243"/>
      <c r="C26" s="244">
        <v>0</v>
      </c>
      <c r="D26" s="244">
        <v>0</v>
      </c>
      <c r="E26" s="234">
        <v>0</v>
      </c>
      <c r="F26" s="244">
        <v>0</v>
      </c>
      <c r="G26" s="244">
        <v>0</v>
      </c>
      <c r="H26" s="245">
        <v>0</v>
      </c>
      <c r="I26" s="243">
        <v>149.2364346981048</v>
      </c>
      <c r="J26" s="244">
        <v>911.32387771606523</v>
      </c>
      <c r="K26" s="244">
        <v>15.620675701896339</v>
      </c>
      <c r="L26" s="234">
        <v>0</v>
      </c>
      <c r="M26" s="244">
        <v>0</v>
      </c>
      <c r="N26" s="245">
        <v>36.576982486744726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211.95325299369139</v>
      </c>
      <c r="V26" s="246">
        <v>0</v>
      </c>
      <c r="W26" s="246">
        <v>26.756682957212139</v>
      </c>
      <c r="X26" s="246">
        <v>0</v>
      </c>
      <c r="Y26" s="250">
        <v>225.7634595235192</v>
      </c>
      <c r="Z26" s="250">
        <v>0</v>
      </c>
      <c r="AA26" s="251">
        <v>0</v>
      </c>
      <c r="AB26" s="252">
        <v>0</v>
      </c>
      <c r="AC26" s="253">
        <v>0</v>
      </c>
      <c r="AD26" s="253">
        <v>10.596289748615693</v>
      </c>
      <c r="AE26" s="252">
        <v>10.500525769039868</v>
      </c>
      <c r="AF26" s="252">
        <v>0</v>
      </c>
      <c r="AG26" s="252">
        <v>1</v>
      </c>
      <c r="AH26" s="253">
        <v>214.90317242940262</v>
      </c>
      <c r="AI26" s="253">
        <v>463.73702586491908</v>
      </c>
      <c r="AJ26" s="253">
        <v>1044.2899803161622</v>
      </c>
      <c r="AK26" s="253">
        <v>707.87660223643002</v>
      </c>
      <c r="AL26" s="253">
        <v>1079.3972176551817</v>
      </c>
      <c r="AM26" s="253">
        <v>2081.4284581502279</v>
      </c>
      <c r="AN26" s="253">
        <v>561.87367184956872</v>
      </c>
      <c r="AO26" s="253">
        <v>1803.821909840902</v>
      </c>
      <c r="AP26" s="253">
        <v>476.50868631998702</v>
      </c>
      <c r="AQ26" s="253">
        <v>674.89538036982219</v>
      </c>
    </row>
    <row r="27" spans="1:43">
      <c r="A27" s="232">
        <v>40867</v>
      </c>
      <c r="B27" s="243"/>
      <c r="C27" s="244">
        <v>0</v>
      </c>
      <c r="D27" s="244">
        <v>0</v>
      </c>
      <c r="E27" s="234">
        <v>0</v>
      </c>
      <c r="F27" s="244">
        <v>0</v>
      </c>
      <c r="G27" s="244">
        <v>0</v>
      </c>
      <c r="H27" s="245">
        <v>0</v>
      </c>
      <c r="I27" s="243">
        <v>152.49174658457429</v>
      </c>
      <c r="J27" s="244">
        <v>922.8918968200702</v>
      </c>
      <c r="K27" s="244">
        <v>15.907988324761362</v>
      </c>
      <c r="L27" s="234">
        <v>0</v>
      </c>
      <c r="M27" s="244">
        <v>0</v>
      </c>
      <c r="N27" s="245">
        <v>36.35795647054907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215.56853593190681</v>
      </c>
      <c r="V27" s="246">
        <v>0</v>
      </c>
      <c r="W27" s="246">
        <v>26.929074955979999</v>
      </c>
      <c r="X27" s="246">
        <v>0</v>
      </c>
      <c r="Y27" s="246">
        <v>228.28765892982472</v>
      </c>
      <c r="Z27" s="246">
        <v>0</v>
      </c>
      <c r="AA27" s="256">
        <v>0</v>
      </c>
      <c r="AB27" s="253">
        <v>0</v>
      </c>
      <c r="AC27" s="253">
        <v>0</v>
      </c>
      <c r="AD27" s="253">
        <v>10.762602443827525</v>
      </c>
      <c r="AE27" s="253">
        <v>10.676189524000746</v>
      </c>
      <c r="AF27" s="253">
        <v>0</v>
      </c>
      <c r="AG27" s="253">
        <v>1</v>
      </c>
      <c r="AH27" s="253">
        <v>223.24070851802827</v>
      </c>
      <c r="AI27" s="253">
        <v>478.05386150677992</v>
      </c>
      <c r="AJ27" s="253">
        <v>1064.7453942616783</v>
      </c>
      <c r="AK27" s="253">
        <v>702.51297108332301</v>
      </c>
      <c r="AL27" s="253">
        <v>1099.6064233144123</v>
      </c>
      <c r="AM27" s="253">
        <v>2104.576266479492</v>
      </c>
      <c r="AN27" s="253">
        <v>566.2249585787456</v>
      </c>
      <c r="AO27" s="253">
        <v>1804.668006769816</v>
      </c>
      <c r="AP27" s="253">
        <v>495.87721172968554</v>
      </c>
      <c r="AQ27" s="253">
        <v>662.15519488652558</v>
      </c>
    </row>
    <row r="28" spans="1:43">
      <c r="A28" s="232">
        <f t="shared" si="0"/>
        <v>40868</v>
      </c>
      <c r="B28" s="243"/>
      <c r="C28" s="244">
        <v>0</v>
      </c>
      <c r="D28" s="244">
        <v>0</v>
      </c>
      <c r="E28" s="234">
        <v>0</v>
      </c>
      <c r="F28" s="244">
        <v>0</v>
      </c>
      <c r="G28" s="244">
        <v>0</v>
      </c>
      <c r="H28" s="245">
        <v>0</v>
      </c>
      <c r="I28" s="243">
        <v>91.545414527256725</v>
      </c>
      <c r="J28" s="244">
        <v>1035.5960418065411</v>
      </c>
      <c r="K28" s="244">
        <v>17.973817383249596</v>
      </c>
      <c r="L28" s="234">
        <v>0</v>
      </c>
      <c r="M28" s="244">
        <v>0</v>
      </c>
      <c r="N28" s="245">
        <v>22.23013829092185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233.76532846027001</v>
      </c>
      <c r="V28" s="246">
        <v>0</v>
      </c>
      <c r="W28" s="246">
        <v>27.72051883836572</v>
      </c>
      <c r="X28" s="246">
        <v>0</v>
      </c>
      <c r="Y28" s="250">
        <v>253.24899710814026</v>
      </c>
      <c r="Z28" s="250">
        <v>0</v>
      </c>
      <c r="AA28" s="251">
        <v>0</v>
      </c>
      <c r="AB28" s="252">
        <v>0</v>
      </c>
      <c r="AC28" s="253">
        <v>0</v>
      </c>
      <c r="AD28" s="253">
        <v>11.818873180283543</v>
      </c>
      <c r="AE28" s="252">
        <v>11.696227249247082</v>
      </c>
      <c r="AF28" s="252">
        <v>0</v>
      </c>
      <c r="AG28" s="252">
        <v>1</v>
      </c>
      <c r="AH28" s="253">
        <v>191.00506182511646</v>
      </c>
      <c r="AI28" s="253">
        <v>416.81615832646685</v>
      </c>
      <c r="AJ28" s="253">
        <v>1061.7384315490722</v>
      </c>
      <c r="AK28" s="253">
        <v>721.87640269597375</v>
      </c>
      <c r="AL28" s="253">
        <v>974.91407051086412</v>
      </c>
      <c r="AM28" s="253">
        <v>2156.9449919382728</v>
      </c>
      <c r="AN28" s="253">
        <v>483.42697747548414</v>
      </c>
      <c r="AO28" s="253">
        <v>1950.3687023162845</v>
      </c>
      <c r="AP28" s="253">
        <v>476.97002998987836</v>
      </c>
      <c r="AQ28" s="253">
        <v>638.52306184768679</v>
      </c>
    </row>
    <row r="29" spans="1:43">
      <c r="A29" s="232">
        <f t="shared" si="0"/>
        <v>40869</v>
      </c>
      <c r="B29" s="243"/>
      <c r="C29" s="244">
        <v>0</v>
      </c>
      <c r="D29" s="244">
        <v>0</v>
      </c>
      <c r="E29" s="234">
        <v>0</v>
      </c>
      <c r="F29" s="244">
        <v>0</v>
      </c>
      <c r="G29" s="244">
        <v>0</v>
      </c>
      <c r="H29" s="245">
        <v>0</v>
      </c>
      <c r="I29" s="243">
        <v>141.7840894063315</v>
      </c>
      <c r="J29" s="244">
        <v>1038.1516037623066</v>
      </c>
      <c r="K29" s="244">
        <v>17.927156748374298</v>
      </c>
      <c r="L29" s="234">
        <v>0</v>
      </c>
      <c r="M29" s="244">
        <v>0</v>
      </c>
      <c r="N29" s="245">
        <v>36.988907592991978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247.51781605614423</v>
      </c>
      <c r="V29" s="246">
        <v>0</v>
      </c>
      <c r="W29" s="246">
        <v>30.325077479084321</v>
      </c>
      <c r="X29" s="246">
        <v>0</v>
      </c>
      <c r="Y29" s="250">
        <v>275.44310593605024</v>
      </c>
      <c r="Z29" s="250">
        <v>0</v>
      </c>
      <c r="AA29" s="251">
        <v>0</v>
      </c>
      <c r="AB29" s="252">
        <v>0</v>
      </c>
      <c r="AC29" s="253">
        <v>0</v>
      </c>
      <c r="AD29" s="253">
        <v>12.106743891371597</v>
      </c>
      <c r="AE29" s="252">
        <v>12.001093858526858</v>
      </c>
      <c r="AF29" s="252">
        <v>0</v>
      </c>
      <c r="AG29" s="252">
        <v>1</v>
      </c>
      <c r="AH29" s="253">
        <v>199.2087421735128</v>
      </c>
      <c r="AI29" s="253">
        <v>438.77486351331078</v>
      </c>
      <c r="AJ29" s="253">
        <v>1063.3260171254474</v>
      </c>
      <c r="AK29" s="253">
        <v>699.30539875030513</v>
      </c>
      <c r="AL29" s="253">
        <v>1037.7002950032554</v>
      </c>
      <c r="AM29" s="253">
        <v>2229.5661992390956</v>
      </c>
      <c r="AN29" s="253">
        <v>543.92700875600178</v>
      </c>
      <c r="AO29" s="253">
        <v>1871.8621762593584</v>
      </c>
      <c r="AP29" s="253">
        <v>488.69410718282063</v>
      </c>
      <c r="AQ29" s="253">
        <v>693.90889546076448</v>
      </c>
    </row>
    <row r="30" spans="1:43">
      <c r="A30" s="232">
        <v>40870</v>
      </c>
      <c r="B30" s="243"/>
      <c r="C30" s="244">
        <v>0</v>
      </c>
      <c r="D30" s="244">
        <v>0</v>
      </c>
      <c r="E30" s="234">
        <v>0</v>
      </c>
      <c r="F30" s="244">
        <v>0</v>
      </c>
      <c r="G30" s="244">
        <v>0</v>
      </c>
      <c r="H30" s="245">
        <v>0</v>
      </c>
      <c r="I30" s="243">
        <v>165.86583240826914</v>
      </c>
      <c r="J30" s="244">
        <v>1038.8761161168404</v>
      </c>
      <c r="K30" s="244">
        <v>17.986832668383929</v>
      </c>
      <c r="L30" s="234">
        <v>0</v>
      </c>
      <c r="M30" s="244">
        <v>0</v>
      </c>
      <c r="N30" s="245">
        <v>35.635547814766518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251.42061729431589</v>
      </c>
      <c r="V30" s="246">
        <v>0</v>
      </c>
      <c r="W30" s="246">
        <v>30.945495174328528</v>
      </c>
      <c r="X30" s="246">
        <v>0</v>
      </c>
      <c r="Y30" s="250">
        <v>278.56215600967414</v>
      </c>
      <c r="Z30" s="250">
        <v>0</v>
      </c>
      <c r="AA30" s="251">
        <v>0</v>
      </c>
      <c r="AB30" s="252">
        <v>0</v>
      </c>
      <c r="AC30" s="253">
        <v>0</v>
      </c>
      <c r="AD30" s="253">
        <v>12.111234200000766</v>
      </c>
      <c r="AE30" s="252">
        <v>12.001160748417938</v>
      </c>
      <c r="AF30" s="252">
        <v>0</v>
      </c>
      <c r="AG30" s="252">
        <v>1</v>
      </c>
      <c r="AH30" s="253">
        <v>184.75281092325844</v>
      </c>
      <c r="AI30" s="253">
        <v>416.51454199155165</v>
      </c>
      <c r="AJ30" s="253">
        <v>1047.6807107289633</v>
      </c>
      <c r="AK30" s="253">
        <v>684.52629098892214</v>
      </c>
      <c r="AL30" s="253">
        <v>1013.854447491964</v>
      </c>
      <c r="AM30" s="253">
        <v>2145.4795819600427</v>
      </c>
      <c r="AN30" s="253">
        <v>555.07672899564113</v>
      </c>
      <c r="AO30" s="253">
        <v>1869.1492598215739</v>
      </c>
      <c r="AP30" s="253">
        <v>475.6191313107808</v>
      </c>
      <c r="AQ30" s="253">
        <v>745.5462472915649</v>
      </c>
    </row>
    <row r="31" spans="1:43">
      <c r="A31" s="232">
        <v>40871</v>
      </c>
      <c r="B31" s="243"/>
      <c r="C31" s="244">
        <v>0</v>
      </c>
      <c r="D31" s="244">
        <v>0</v>
      </c>
      <c r="E31" s="244">
        <v>0</v>
      </c>
      <c r="F31" s="244">
        <v>0</v>
      </c>
      <c r="G31" s="244">
        <v>0</v>
      </c>
      <c r="H31" s="245">
        <v>0</v>
      </c>
      <c r="I31" s="243">
        <v>164.74604376157109</v>
      </c>
      <c r="J31" s="244">
        <v>1039.4479635238627</v>
      </c>
      <c r="K31" s="244">
        <v>17.920158005754175</v>
      </c>
      <c r="L31" s="234">
        <v>0</v>
      </c>
      <c r="M31" s="244">
        <v>0</v>
      </c>
      <c r="N31" s="245">
        <v>35.569321658213916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251.09496674008213</v>
      </c>
      <c r="V31" s="246">
        <v>0</v>
      </c>
      <c r="W31" s="246">
        <v>31.072571233908377</v>
      </c>
      <c r="X31" s="246">
        <v>0</v>
      </c>
      <c r="Y31" s="250">
        <v>278.93107981681806</v>
      </c>
      <c r="Z31" s="250">
        <v>0</v>
      </c>
      <c r="AA31" s="251">
        <v>0</v>
      </c>
      <c r="AB31" s="252">
        <v>0</v>
      </c>
      <c r="AC31" s="253">
        <v>0</v>
      </c>
      <c r="AD31" s="253">
        <v>12.10950609379346</v>
      </c>
      <c r="AE31" s="252">
        <v>11.998868005858615</v>
      </c>
      <c r="AF31" s="252">
        <v>0</v>
      </c>
      <c r="AG31" s="252">
        <v>1</v>
      </c>
      <c r="AH31" s="253">
        <v>175.26625265280404</v>
      </c>
      <c r="AI31" s="253">
        <v>401.5635385036469</v>
      </c>
      <c r="AJ31" s="253">
        <v>1067.0813366572061</v>
      </c>
      <c r="AK31" s="253">
        <v>682.6927774747212</v>
      </c>
      <c r="AL31" s="253">
        <v>998.53307196299238</v>
      </c>
      <c r="AM31" s="253">
        <v>2046.1652130126952</v>
      </c>
      <c r="AN31" s="253">
        <v>542.00827360153198</v>
      </c>
      <c r="AO31" s="253">
        <v>1860.9552454630534</v>
      </c>
      <c r="AP31" s="253">
        <v>471.45927429199219</v>
      </c>
      <c r="AQ31" s="253">
        <v>673.05249751408894</v>
      </c>
    </row>
    <row r="32" spans="1:43">
      <c r="A32" s="232">
        <v>40872</v>
      </c>
      <c r="B32" s="243"/>
      <c r="C32" s="244">
        <v>0</v>
      </c>
      <c r="D32" s="244">
        <v>0</v>
      </c>
      <c r="E32" s="244">
        <v>0</v>
      </c>
      <c r="F32" s="244">
        <v>0</v>
      </c>
      <c r="G32" s="244">
        <v>0</v>
      </c>
      <c r="H32" s="245">
        <v>0</v>
      </c>
      <c r="I32" s="243">
        <v>160.588394880295</v>
      </c>
      <c r="J32" s="244">
        <v>1026.2239772796631</v>
      </c>
      <c r="K32" s="244">
        <v>17.726194764177023</v>
      </c>
      <c r="L32" s="234">
        <v>0</v>
      </c>
      <c r="M32" s="244">
        <v>0</v>
      </c>
      <c r="N32" s="245">
        <v>36.542943955957902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241.17068728340899</v>
      </c>
      <c r="V32" s="246">
        <v>0</v>
      </c>
      <c r="W32" s="246">
        <v>29.205130555232348</v>
      </c>
      <c r="X32" s="246">
        <v>0</v>
      </c>
      <c r="Y32" s="250">
        <v>270.50149199167902</v>
      </c>
      <c r="Z32" s="250">
        <v>0</v>
      </c>
      <c r="AA32" s="251">
        <v>0</v>
      </c>
      <c r="AB32" s="252">
        <v>0</v>
      </c>
      <c r="AC32" s="253">
        <v>0</v>
      </c>
      <c r="AD32" s="253">
        <v>11.661127312315816</v>
      </c>
      <c r="AE32" s="252">
        <v>11.5300025922828</v>
      </c>
      <c r="AF32" s="252">
        <v>0</v>
      </c>
      <c r="AG32" s="252">
        <v>1</v>
      </c>
      <c r="AH32" s="253">
        <v>198.77438209851587</v>
      </c>
      <c r="AI32" s="253">
        <v>426.813094552358</v>
      </c>
      <c r="AJ32" s="253">
        <v>1050.0993427912392</v>
      </c>
      <c r="AK32" s="253">
        <v>687.71505235036216</v>
      </c>
      <c r="AL32" s="253">
        <v>1013.8617507934571</v>
      </c>
      <c r="AM32" s="253">
        <v>1929.4159264882405</v>
      </c>
      <c r="AN32" s="253">
        <v>536.09510795275378</v>
      </c>
      <c r="AO32" s="253">
        <v>1873.3678695678709</v>
      </c>
      <c r="AP32" s="253">
        <v>466.1971849123637</v>
      </c>
      <c r="AQ32" s="253">
        <v>644.49008789062498</v>
      </c>
    </row>
    <row r="33" spans="1:43">
      <c r="A33" s="232">
        <v>40873</v>
      </c>
      <c r="B33" s="243"/>
      <c r="C33" s="244">
        <v>0</v>
      </c>
      <c r="D33" s="244">
        <v>0</v>
      </c>
      <c r="E33" s="244">
        <v>0</v>
      </c>
      <c r="F33" s="244">
        <v>0</v>
      </c>
      <c r="G33" s="244">
        <v>0</v>
      </c>
      <c r="H33" s="245">
        <v>0</v>
      </c>
      <c r="I33" s="243">
        <v>145.00082278251651</v>
      </c>
      <c r="J33" s="244">
        <v>966.12909393310531</v>
      </c>
      <c r="K33" s="244">
        <v>16.538744020461998</v>
      </c>
      <c r="L33" s="234">
        <v>0</v>
      </c>
      <c r="M33" s="244">
        <v>0</v>
      </c>
      <c r="N33" s="245">
        <v>38.794108012318667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227.30793451733217</v>
      </c>
      <c r="V33" s="246">
        <v>0</v>
      </c>
      <c r="W33" s="246">
        <v>30.061555099487329</v>
      </c>
      <c r="X33" s="246">
        <v>0</v>
      </c>
      <c r="Y33" s="250">
        <v>249.8848956267031</v>
      </c>
      <c r="Z33" s="250">
        <v>0</v>
      </c>
      <c r="AA33" s="251">
        <v>0</v>
      </c>
      <c r="AB33" s="252">
        <v>0</v>
      </c>
      <c r="AC33" s="253">
        <v>0</v>
      </c>
      <c r="AD33" s="253">
        <v>11.197915777232904</v>
      </c>
      <c r="AE33" s="252">
        <v>10.999872809389069</v>
      </c>
      <c r="AF33" s="252">
        <v>0</v>
      </c>
      <c r="AG33" s="252">
        <v>1</v>
      </c>
      <c r="AH33" s="253">
        <v>265.53295999368038</v>
      </c>
      <c r="AI33" s="253">
        <v>529.3104551792145</v>
      </c>
      <c r="AJ33" s="253">
        <v>1091.6505903879802</v>
      </c>
      <c r="AK33" s="253">
        <v>703.92333539326978</v>
      </c>
      <c r="AL33" s="253">
        <v>1173.6869547526042</v>
      </c>
      <c r="AM33" s="253">
        <v>2088.8899817148845</v>
      </c>
      <c r="AN33" s="253">
        <v>542.95242694218939</v>
      </c>
      <c r="AO33" s="253">
        <v>1836.170215988159</v>
      </c>
      <c r="AP33" s="253">
        <v>549.00908463795975</v>
      </c>
      <c r="AQ33" s="253">
        <v>739.86239859263094</v>
      </c>
    </row>
    <row r="34" spans="1:43">
      <c r="A34" s="232">
        <v>40874</v>
      </c>
      <c r="B34" s="243"/>
      <c r="C34" s="244">
        <v>0</v>
      </c>
      <c r="D34" s="244">
        <v>0</v>
      </c>
      <c r="E34" s="244">
        <v>0</v>
      </c>
      <c r="F34" s="244">
        <v>0</v>
      </c>
      <c r="G34" s="244">
        <v>0</v>
      </c>
      <c r="H34" s="245">
        <v>0</v>
      </c>
      <c r="I34" s="243">
        <v>146.60756341616303</v>
      </c>
      <c r="J34" s="244">
        <v>960.60407009124651</v>
      </c>
      <c r="K34" s="244">
        <v>16.572627944747616</v>
      </c>
      <c r="L34" s="234">
        <v>0.14347757101059064</v>
      </c>
      <c r="M34" s="244">
        <v>0</v>
      </c>
      <c r="N34" s="245">
        <v>40.600092256069182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225.06080716451183</v>
      </c>
      <c r="V34" s="246">
        <v>0</v>
      </c>
      <c r="W34" s="246">
        <v>29.083122690518703</v>
      </c>
      <c r="X34" s="246">
        <v>0</v>
      </c>
      <c r="Y34" s="250">
        <v>246.90504775047285</v>
      </c>
      <c r="Z34" s="250">
        <v>0</v>
      </c>
      <c r="AA34" s="251">
        <v>0</v>
      </c>
      <c r="AB34" s="252">
        <v>0</v>
      </c>
      <c r="AC34" s="253">
        <v>0</v>
      </c>
      <c r="AD34" s="253">
        <v>11.194689288404241</v>
      </c>
      <c r="AE34" s="252">
        <v>11.000599593973673</v>
      </c>
      <c r="AF34" s="252">
        <v>0</v>
      </c>
      <c r="AG34" s="252">
        <v>1</v>
      </c>
      <c r="AH34" s="253">
        <v>208.38559415340418</v>
      </c>
      <c r="AI34" s="253">
        <v>455.07124217351281</v>
      </c>
      <c r="AJ34" s="253">
        <v>1089.5131657282511</v>
      </c>
      <c r="AK34" s="253">
        <v>683.50182571411142</v>
      </c>
      <c r="AL34" s="253">
        <v>1065.1509380340576</v>
      </c>
      <c r="AM34" s="253">
        <v>1991.3677382151286</v>
      </c>
      <c r="AN34" s="253">
        <v>545.8062079429626</v>
      </c>
      <c r="AO34" s="253">
        <v>1905.1115600585938</v>
      </c>
      <c r="AP34" s="253">
        <v>501.32832339604698</v>
      </c>
      <c r="AQ34" s="253">
        <v>720.87612613042199</v>
      </c>
    </row>
    <row r="35" spans="1:43">
      <c r="A35" s="232">
        <v>40875</v>
      </c>
      <c r="B35" s="243"/>
      <c r="C35" s="244">
        <v>0</v>
      </c>
      <c r="D35" s="244">
        <v>0</v>
      </c>
      <c r="E35" s="244">
        <v>0</v>
      </c>
      <c r="F35" s="244">
        <v>0</v>
      </c>
      <c r="G35" s="244">
        <v>0</v>
      </c>
      <c r="H35" s="245">
        <v>0</v>
      </c>
      <c r="I35" s="243">
        <v>96.411510467529396</v>
      </c>
      <c r="J35" s="244">
        <v>954.28576030731256</v>
      </c>
      <c r="K35" s="244">
        <v>16.597588809331249</v>
      </c>
      <c r="L35" s="234">
        <v>0.14239482879638674</v>
      </c>
      <c r="M35" s="244">
        <v>0</v>
      </c>
      <c r="N35" s="245">
        <v>41.468766730527136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227.30663474401064</v>
      </c>
      <c r="V35" s="246">
        <v>0</v>
      </c>
      <c r="W35" s="246">
        <v>27.745202648639701</v>
      </c>
      <c r="X35" s="246">
        <v>0</v>
      </c>
      <c r="Y35" s="250">
        <v>247.0907938957213</v>
      </c>
      <c r="Z35" s="250">
        <v>0</v>
      </c>
      <c r="AA35" s="251">
        <v>0</v>
      </c>
      <c r="AB35" s="252">
        <v>0</v>
      </c>
      <c r="AC35" s="253">
        <v>0</v>
      </c>
      <c r="AD35" s="253">
        <v>11.194671252038747</v>
      </c>
      <c r="AE35" s="252">
        <v>10.999703814083574</v>
      </c>
      <c r="AF35" s="252">
        <v>0</v>
      </c>
      <c r="AG35" s="252">
        <v>1</v>
      </c>
      <c r="AH35" s="253">
        <v>195.65656539599101</v>
      </c>
      <c r="AI35" s="253">
        <v>394.29052627881367</v>
      </c>
      <c r="AJ35" s="253">
        <v>1044.9725504557291</v>
      </c>
      <c r="AK35" s="253">
        <v>681.50657434463506</v>
      </c>
      <c r="AL35" s="253">
        <v>1024.0026605606079</v>
      </c>
      <c r="AM35" s="253">
        <v>2054.5269377390541</v>
      </c>
      <c r="AN35" s="253">
        <v>482.87836891810099</v>
      </c>
      <c r="AO35" s="253">
        <v>1827.0740521748862</v>
      </c>
      <c r="AP35" s="253">
        <v>467.76247517267865</v>
      </c>
      <c r="AQ35" s="253">
        <v>765.10954020818065</v>
      </c>
    </row>
    <row r="36" spans="1:43">
      <c r="A36" s="232">
        <v>40876</v>
      </c>
      <c r="B36" s="243"/>
      <c r="C36" s="244">
        <v>0</v>
      </c>
      <c r="D36" s="244">
        <v>0</v>
      </c>
      <c r="E36" s="244">
        <v>0</v>
      </c>
      <c r="F36" s="244">
        <v>0</v>
      </c>
      <c r="G36" s="244">
        <v>0</v>
      </c>
      <c r="H36" s="245">
        <v>0</v>
      </c>
      <c r="I36" s="243">
        <v>74.494631926218545</v>
      </c>
      <c r="J36" s="244">
        <v>963.33337510426873</v>
      </c>
      <c r="K36" s="244">
        <v>16.515746880571037</v>
      </c>
      <c r="L36" s="234">
        <v>0.13942905664443928</v>
      </c>
      <c r="M36" s="244">
        <v>0</v>
      </c>
      <c r="N36" s="245">
        <v>40.682251490652547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229.09193925858077</v>
      </c>
      <c r="V36" s="246">
        <v>0</v>
      </c>
      <c r="W36" s="246">
        <v>28.73246823747953</v>
      </c>
      <c r="X36" s="246">
        <v>0</v>
      </c>
      <c r="Y36" s="250">
        <v>245.76967957814477</v>
      </c>
      <c r="Z36" s="250">
        <v>0</v>
      </c>
      <c r="AA36" s="251">
        <v>0</v>
      </c>
      <c r="AB36" s="252">
        <v>0</v>
      </c>
      <c r="AC36" s="253">
        <v>0</v>
      </c>
      <c r="AD36" s="253">
        <v>11.195805922481748</v>
      </c>
      <c r="AE36" s="252">
        <v>10.999296924586718</v>
      </c>
      <c r="AF36" s="252">
        <v>0</v>
      </c>
      <c r="AG36" s="252">
        <v>1</v>
      </c>
      <c r="AH36" s="253">
        <v>194.73098915417987</v>
      </c>
      <c r="AI36" s="253">
        <v>396.5172531763713</v>
      </c>
      <c r="AJ36" s="253">
        <v>1034.3731573104858</v>
      </c>
      <c r="AK36" s="253">
        <v>683.91511230468745</v>
      </c>
      <c r="AL36" s="253">
        <v>1038.6255115509034</v>
      </c>
      <c r="AM36" s="253">
        <v>2139.1082888285323</v>
      </c>
      <c r="AN36" s="253">
        <v>493.7623805363973</v>
      </c>
      <c r="AO36" s="253">
        <v>1834.5849993387858</v>
      </c>
      <c r="AP36" s="253">
        <v>538.82034524281823</v>
      </c>
      <c r="AQ36" s="253">
        <v>694.52324307759591</v>
      </c>
    </row>
    <row r="37" spans="1:43">
      <c r="A37" s="232">
        <f t="shared" si="0"/>
        <v>40877</v>
      </c>
      <c r="B37" s="243"/>
      <c r="C37" s="244">
        <v>0</v>
      </c>
      <c r="D37" s="244">
        <v>0</v>
      </c>
      <c r="E37" s="244">
        <v>0</v>
      </c>
      <c r="F37" s="244">
        <v>0</v>
      </c>
      <c r="G37" s="244">
        <v>0</v>
      </c>
      <c r="H37" s="245">
        <v>0</v>
      </c>
      <c r="I37" s="243">
        <v>76.610072374344014</v>
      </c>
      <c r="J37" s="244">
        <v>959.89143333435027</v>
      </c>
      <c r="K37" s="244">
        <v>16.511667839686083</v>
      </c>
      <c r="L37" s="244">
        <v>0.15359885692596478</v>
      </c>
      <c r="M37" s="244">
        <v>0</v>
      </c>
      <c r="N37" s="245">
        <v>40.176404424508462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222.22526636123908</v>
      </c>
      <c r="V37" s="246">
        <v>0</v>
      </c>
      <c r="W37" s="246">
        <v>27.984435059626922</v>
      </c>
      <c r="X37" s="246">
        <v>0</v>
      </c>
      <c r="Y37" s="250">
        <v>239.07065289815239</v>
      </c>
      <c r="Z37" s="250">
        <v>0</v>
      </c>
      <c r="AA37" s="251">
        <v>0</v>
      </c>
      <c r="AB37" s="252">
        <v>0</v>
      </c>
      <c r="AC37" s="253">
        <v>0</v>
      </c>
      <c r="AD37" s="253">
        <v>10.864765637119609</v>
      </c>
      <c r="AE37" s="252">
        <v>10.668697754976369</v>
      </c>
      <c r="AF37" s="252">
        <v>0</v>
      </c>
      <c r="AG37" s="252">
        <v>1</v>
      </c>
      <c r="AH37" s="253">
        <v>186.94347973664605</v>
      </c>
      <c r="AI37" s="253">
        <v>405.40269228617348</v>
      </c>
      <c r="AJ37" s="253">
        <v>1032.9385032018024</v>
      </c>
      <c r="AK37" s="253">
        <v>684.22358579635602</v>
      </c>
      <c r="AL37" s="253">
        <v>1024.310939470927</v>
      </c>
      <c r="AM37" s="253">
        <v>2172.6956540425617</v>
      </c>
      <c r="AN37" s="253">
        <v>492.535427347819</v>
      </c>
      <c r="AO37" s="253">
        <v>1800.046151351929</v>
      </c>
      <c r="AP37" s="253">
        <v>516.57579825719188</v>
      </c>
      <c r="AQ37" s="253">
        <v>698.03234214782708</v>
      </c>
    </row>
    <row r="38" spans="1:43" ht="15.75" thickBot="1">
      <c r="A38" s="232"/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0</v>
      </c>
      <c r="D39" s="272">
        <f t="shared" si="1"/>
        <v>0</v>
      </c>
      <c r="E39" s="272">
        <f t="shared" si="1"/>
        <v>0</v>
      </c>
      <c r="F39" s="272">
        <f t="shared" si="1"/>
        <v>0</v>
      </c>
      <c r="G39" s="272">
        <f t="shared" si="1"/>
        <v>0</v>
      </c>
      <c r="H39" s="273">
        <f t="shared" si="1"/>
        <v>0</v>
      </c>
      <c r="I39" s="271">
        <f t="shared" si="1"/>
        <v>6670.8086871051801</v>
      </c>
      <c r="J39" s="272">
        <f t="shared" si="1"/>
        <v>28462.408848222116</v>
      </c>
      <c r="K39" s="272">
        <f t="shared" si="1"/>
        <v>496.62633135855157</v>
      </c>
      <c r="L39" s="272">
        <f t="shared" si="1"/>
        <v>0.57890031337738146</v>
      </c>
      <c r="M39" s="272">
        <f t="shared" si="1"/>
        <v>0</v>
      </c>
      <c r="N39" s="273">
        <f t="shared" si="1"/>
        <v>1266.8565319012598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6643.2393091148979</v>
      </c>
      <c r="V39" s="275">
        <f t="shared" si="1"/>
        <v>0</v>
      </c>
      <c r="W39" s="275">
        <f t="shared" si="1"/>
        <v>841.08128315746796</v>
      </c>
      <c r="X39" s="275">
        <f t="shared" si="1"/>
        <v>0</v>
      </c>
      <c r="Y39" s="275">
        <f t="shared" si="1"/>
        <v>6924.4097577873872</v>
      </c>
      <c r="Z39" s="275">
        <f t="shared" si="1"/>
        <v>0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6862.5761733055097</v>
      </c>
      <c r="AI39" s="278">
        <f t="shared" si="2"/>
        <v>15030.928608026505</v>
      </c>
      <c r="AJ39" s="278">
        <f t="shared" si="2"/>
        <v>31895.677989578253</v>
      </c>
      <c r="AK39" s="278">
        <f t="shared" si="2"/>
        <v>22921.272325350441</v>
      </c>
      <c r="AL39" s="278">
        <f t="shared" si="2"/>
        <v>40549.197465445206</v>
      </c>
      <c r="AM39" s="278">
        <f t="shared" si="2"/>
        <v>60431.742674064633</v>
      </c>
      <c r="AN39" s="278">
        <f t="shared" si="2"/>
        <v>16159.10163657506</v>
      </c>
      <c r="AO39" s="278">
        <f t="shared" si="2"/>
        <v>55759.65633651735</v>
      </c>
      <c r="AP39" s="278">
        <f t="shared" si="2"/>
        <v>14427.036358846821</v>
      </c>
      <c r="AQ39" s="278">
        <f t="shared" si="2"/>
        <v>21267.962729454044</v>
      </c>
    </row>
    <row r="40" spans="1:43" ht="15.75" thickBot="1">
      <c r="A40" s="280" t="s">
        <v>182</v>
      </c>
      <c r="B40" s="281">
        <f>Projection!$AD$30</f>
        <v>0.91139353199999984</v>
      </c>
      <c r="C40" s="282">
        <f>Projection!$AD$28</f>
        <v>1.4375491199999999</v>
      </c>
      <c r="D40" s="282">
        <f>Projection!$AD$31</f>
        <v>2.2090991999999998</v>
      </c>
      <c r="E40" s="282">
        <f>Projection!$AD$26</f>
        <v>3.1224959999999999</v>
      </c>
      <c r="F40" s="282">
        <f>Projection!$AD$23</f>
        <v>5.8379999999999994E-2</v>
      </c>
      <c r="G40" s="282">
        <f>Projection!$AD$24</f>
        <v>4.9500000000000002E-2</v>
      </c>
      <c r="H40" s="283">
        <f>Projection!$AD$29</f>
        <v>3.6371774160000006</v>
      </c>
      <c r="I40" s="281">
        <f>Projection!$AD$30</f>
        <v>0.91139353199999984</v>
      </c>
      <c r="J40" s="282">
        <f>Projection!$AD$28</f>
        <v>1.4375491199999999</v>
      </c>
      <c r="K40" s="282">
        <f>Projection!$AD$26</f>
        <v>3.1224959999999999</v>
      </c>
      <c r="L40" s="282">
        <f>Projection!$AD$25</f>
        <v>0.37613399999999997</v>
      </c>
      <c r="M40" s="282">
        <f>Projection!$AD$23</f>
        <v>5.8379999999999994E-2</v>
      </c>
      <c r="N40" s="283">
        <f>Projection!$AD$23</f>
        <v>5.8379999999999994E-2</v>
      </c>
      <c r="O40" s="284">
        <v>15.77</v>
      </c>
      <c r="P40" s="285">
        <v>15.77</v>
      </c>
      <c r="Q40" s="285">
        <v>15.77</v>
      </c>
      <c r="R40" s="285">
        <v>15.77</v>
      </c>
      <c r="S40" s="285">
        <f>Projection!$AD$28</f>
        <v>1.4375491199999999</v>
      </c>
      <c r="T40" s="286">
        <f>Projection!$AD$28</f>
        <v>1.4375491199999999</v>
      </c>
      <c r="U40" s="284">
        <f>Projection!$AD$27</f>
        <v>0.29749999999999999</v>
      </c>
      <c r="V40" s="285">
        <f>Projection!$AD$27</f>
        <v>0.29749999999999999</v>
      </c>
      <c r="W40" s="285">
        <f>Projection!$AD$22</f>
        <v>1.02</v>
      </c>
      <c r="X40" s="285">
        <f>Projection!$AD$22</f>
        <v>1.02</v>
      </c>
      <c r="Y40" s="285">
        <f>Projection!$AD$31</f>
        <v>2.2090991999999998</v>
      </c>
      <c r="Z40" s="285">
        <f>Projection!$AD$31</f>
        <v>2.2090991999999998</v>
      </c>
      <c r="AA40" s="287">
        <v>0</v>
      </c>
      <c r="AB40" s="288">
        <f>Projection!$AD$27</f>
        <v>0.29749999999999999</v>
      </c>
      <c r="AC40" s="288">
        <f>Projection!$AD$30</f>
        <v>0.91139353199999984</v>
      </c>
      <c r="AD40" s="289">
        <f>SUM(AD8:AD38)</f>
        <v>332.70832836541865</v>
      </c>
      <c r="AE40" s="289">
        <f>SUM(AE8:AE38)</f>
        <v>327.82336014892132</v>
      </c>
      <c r="AF40" s="289">
        <f>SUM(AF8:AF38)</f>
        <v>0</v>
      </c>
      <c r="AG40" s="289">
        <f>IF(SUM(AE40:AF40)&gt;0, AE40/(AE40+AF40), "")</f>
        <v>1</v>
      </c>
      <c r="AH40" s="290">
        <v>7.6999999999999999E-2</v>
      </c>
      <c r="AI40" s="290">
        <f t="shared" ref="AI40:AQ40" si="3">$AH$40</f>
        <v>7.6999999999999999E-2</v>
      </c>
      <c r="AJ40" s="290">
        <f t="shared" si="3"/>
        <v>7.6999999999999999E-2</v>
      </c>
      <c r="AK40" s="290">
        <f t="shared" si="3"/>
        <v>7.6999999999999999E-2</v>
      </c>
      <c r="AL40" s="290">
        <f t="shared" si="3"/>
        <v>7.6999999999999999E-2</v>
      </c>
      <c r="AM40" s="290">
        <f t="shared" si="3"/>
        <v>7.6999999999999999E-2</v>
      </c>
      <c r="AN40" s="290">
        <f t="shared" si="3"/>
        <v>7.6999999999999999E-2</v>
      </c>
      <c r="AO40" s="290">
        <f t="shared" si="3"/>
        <v>7.6999999999999999E-2</v>
      </c>
      <c r="AP40" s="290">
        <f t="shared" si="3"/>
        <v>7.6999999999999999E-2</v>
      </c>
      <c r="AQ40" s="290">
        <f t="shared" si="3"/>
        <v>7.6999999999999999E-2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0</v>
      </c>
      <c r="D41" s="293">
        <f t="shared" si="4"/>
        <v>0</v>
      </c>
      <c r="E41" s="293">
        <f t="shared" si="4"/>
        <v>0</v>
      </c>
      <c r="F41" s="293">
        <f t="shared" si="4"/>
        <v>0</v>
      </c>
      <c r="G41" s="293">
        <f t="shared" si="4"/>
        <v>0</v>
      </c>
      <c r="H41" s="294">
        <f t="shared" si="4"/>
        <v>0</v>
      </c>
      <c r="I41" s="292">
        <f t="shared" si="4"/>
        <v>6079.731890637072</v>
      </c>
      <c r="J41" s="293">
        <f t="shared" si="4"/>
        <v>40916.110792841915</v>
      </c>
      <c r="K41" s="293">
        <f t="shared" si="4"/>
        <v>1550.7137331617519</v>
      </c>
      <c r="L41" s="293">
        <f t="shared" si="4"/>
        <v>0.21774409047188797</v>
      </c>
      <c r="M41" s="293">
        <f t="shared" si="4"/>
        <v>0</v>
      </c>
      <c r="N41" s="294">
        <f t="shared" si="4"/>
        <v>73.959084332395534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1976.3636944616821</v>
      </c>
      <c r="V41" s="296">
        <f t="shared" si="4"/>
        <v>0</v>
      </c>
      <c r="W41" s="296">
        <f t="shared" si="4"/>
        <v>857.90290882061731</v>
      </c>
      <c r="X41" s="296">
        <f t="shared" si="4"/>
        <v>0</v>
      </c>
      <c r="Y41" s="296">
        <f t="shared" si="4"/>
        <v>15296.70805640031</v>
      </c>
      <c r="Z41" s="296">
        <f t="shared" si="4"/>
        <v>0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528.4183653445242</v>
      </c>
      <c r="AI41" s="300">
        <f t="shared" si="5"/>
        <v>1157.3815028180409</v>
      </c>
      <c r="AJ41" s="300">
        <f t="shared" si="5"/>
        <v>2455.9672051975253</v>
      </c>
      <c r="AK41" s="300">
        <f t="shared" si="5"/>
        <v>1764.9379690519838</v>
      </c>
      <c r="AL41" s="300">
        <f t="shared" si="5"/>
        <v>3122.2882048392808</v>
      </c>
      <c r="AM41" s="300">
        <f t="shared" si="5"/>
        <v>4653.2441859029768</v>
      </c>
      <c r="AN41" s="300">
        <f t="shared" si="5"/>
        <v>1244.2508260162797</v>
      </c>
      <c r="AO41" s="300">
        <f t="shared" si="5"/>
        <v>4293.493537911836</v>
      </c>
      <c r="AP41" s="300">
        <f t="shared" si="5"/>
        <v>1110.8817996312052</v>
      </c>
      <c r="AQ41" s="300">
        <f t="shared" si="5"/>
        <v>1637.6331301679613</v>
      </c>
    </row>
    <row r="42" spans="1:43" ht="49.5" customHeight="1" thickTop="1" thickBot="1">
      <c r="A42" s="544" t="s">
        <v>212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1525.64</v>
      </c>
      <c r="AI42" s="300" t="s">
        <v>207</v>
      </c>
      <c r="AJ42" s="300">
        <v>2513.4499999999998</v>
      </c>
      <c r="AK42" s="300">
        <v>1226.68</v>
      </c>
      <c r="AL42" s="300">
        <v>2430.6999999999998</v>
      </c>
      <c r="AM42" s="300">
        <v>5972.88</v>
      </c>
      <c r="AN42" s="300">
        <v>1700.56</v>
      </c>
      <c r="AO42" s="300" t="s">
        <v>207</v>
      </c>
      <c r="AP42" s="300">
        <v>214.21</v>
      </c>
      <c r="AQ42" s="300">
        <v>636.67999999999995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66751.707904746203</v>
      </c>
      <c r="C44" s="309"/>
      <c r="D44" s="307" t="s">
        <v>143</v>
      </c>
      <c r="E44" s="308">
        <f>SUM(B41:H41)+P41+R41+T41+V41+X41+Z41</f>
        <v>0</v>
      </c>
      <c r="F44" s="309"/>
      <c r="G44" s="307" t="s">
        <v>143</v>
      </c>
      <c r="H44" s="308">
        <f>SUM(I41:N41)+O41+Q41+S41+U41+W41+Y41</f>
        <v>66751.707904746203</v>
      </c>
      <c r="I44" s="309"/>
      <c r="J44" s="307" t="s">
        <v>208</v>
      </c>
      <c r="K44" s="308">
        <v>119218.36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21968.496726881611</v>
      </c>
      <c r="C45" s="309"/>
      <c r="D45" s="314" t="s">
        <v>193</v>
      </c>
      <c r="E45" s="315">
        <f>AH41*(1-$AG$40)+AI41+AJ41*0.5+AL41+AM41*(1-$AG$40)+AN41*(1-$AG$40)+AO41*(1-$AG$40)+AP41*0.5+AQ41*0.5</f>
        <v>6881.9107751556676</v>
      </c>
      <c r="F45" s="316"/>
      <c r="G45" s="314" t="s">
        <v>193</v>
      </c>
      <c r="H45" s="315">
        <f>AH41*AG40+AJ41*0.5+AK41+AM41*AG40+AN41*AG40+AO41*AG40+AP41*0.5+AQ41*0.5</f>
        <v>15086.585951725947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841.08128315746796</v>
      </c>
      <c r="U45" s="321">
        <f>(T45*8.34*0.895)/27000</f>
        <v>0.23252159340267736</v>
      </c>
    </row>
    <row r="46" spans="1:43" ht="32.25" thickBot="1">
      <c r="A46" s="322" t="s">
        <v>194</v>
      </c>
      <c r="B46" s="323">
        <f>SUM(AH42:AQ42)</f>
        <v>16220.8</v>
      </c>
      <c r="C46" s="309"/>
      <c r="D46" s="322" t="s">
        <v>194</v>
      </c>
      <c r="E46" s="323">
        <f>AH42*(1-$AG$40)+AJ42*0.5+AL42+AM42*(1-$AG$40)+AN42*(1-$AG$40)+AP42*0.5+AQ42*0.5</f>
        <v>4112.87</v>
      </c>
      <c r="F46" s="324"/>
      <c r="G46" s="322" t="s">
        <v>194</v>
      </c>
      <c r="H46" s="323">
        <f>AH42*AG40+AJ42*0.5+AK42+AM42*AG40+AN42*AG40+AP42*0.5+AQ42*0.5</f>
        <v>12107.929999999998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1266.8565319012598</v>
      </c>
      <c r="U46" s="325">
        <f>(((T46*8.34)*0.005)/(8.34*1.055))/400</f>
        <v>1.5010148482242415E-2</v>
      </c>
    </row>
    <row r="47" spans="1:43" ht="24.75" thickTop="1" thickBot="1">
      <c r="A47" s="322" t="s">
        <v>195</v>
      </c>
      <c r="B47" s="323">
        <f>K44</f>
        <v>119218.36</v>
      </c>
      <c r="C47" s="309"/>
      <c r="D47" s="322" t="s">
        <v>197</v>
      </c>
      <c r="E47" s="323">
        <f>K44*0.5</f>
        <v>59609.18</v>
      </c>
      <c r="F47" s="316"/>
      <c r="G47" s="322" t="s">
        <v>195</v>
      </c>
      <c r="H47" s="323">
        <f>K44*0.5</f>
        <v>59609.18</v>
      </c>
      <c r="I47" s="309"/>
      <c r="J47" s="307" t="s">
        <v>208</v>
      </c>
      <c r="K47" s="308">
        <v>35360.65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0</v>
      </c>
      <c r="U47" s="321">
        <f>T47/40000</f>
        <v>0</v>
      </c>
    </row>
    <row r="48" spans="1:43" ht="24" thickBot="1">
      <c r="A48" s="322" t="s">
        <v>196</v>
      </c>
      <c r="B48" s="323">
        <f>K47</f>
        <v>35360.65</v>
      </c>
      <c r="C48" s="309"/>
      <c r="D48" s="322" t="s">
        <v>196</v>
      </c>
      <c r="E48" s="323">
        <f>K47*0.5</f>
        <v>17680.325000000001</v>
      </c>
      <c r="F48" s="324"/>
      <c r="G48" s="322" t="s">
        <v>196</v>
      </c>
      <c r="H48" s="323">
        <f>K47*0.5</f>
        <v>17680.325000000001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0.57890031337738146</v>
      </c>
      <c r="U48" s="321">
        <f>T48*9.34*0.107</f>
        <v>0.57854139518308745</v>
      </c>
    </row>
    <row r="49" spans="1:25" ht="48" thickTop="1" thickBot="1">
      <c r="A49" s="327" t="s">
        <v>204</v>
      </c>
      <c r="B49" s="328">
        <f>AD40</f>
        <v>332.70832836541865</v>
      </c>
      <c r="C49" s="309"/>
      <c r="D49" s="327" t="s">
        <v>205</v>
      </c>
      <c r="E49" s="328">
        <f>AF40</f>
        <v>0</v>
      </c>
      <c r="F49" s="324"/>
      <c r="G49" s="327" t="s">
        <v>206</v>
      </c>
      <c r="H49" s="328">
        <f>AE40</f>
        <v>327.82336014892132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496.62633135855157</v>
      </c>
      <c r="U49" s="321">
        <f>(T49*8.34*1.04)/45000</f>
        <v>9.5723069948256287E-2</v>
      </c>
    </row>
    <row r="50" spans="1:25" ht="48" thickTop="1" thickBot="1">
      <c r="A50" s="327" t="s">
        <v>200</v>
      </c>
      <c r="B50" s="329">
        <f>(SUM(B44:B48)/AD40)</f>
        <v>780.02259789118648</v>
      </c>
      <c r="C50" s="309"/>
      <c r="D50" s="327" t="s">
        <v>198</v>
      </c>
      <c r="E50" s="329" t="e">
        <f>SUM(E44:E48)/AF40</f>
        <v>#DIV/0!</v>
      </c>
      <c r="F50" s="324"/>
      <c r="G50" s="327" t="s">
        <v>199</v>
      </c>
      <c r="H50" s="329">
        <f>SUM(H44:H48)/AE40</f>
        <v>522.34144869567672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6643.2393091148979</v>
      </c>
      <c r="U50" s="321">
        <f>T50/2000/8</f>
        <v>0.4152024568196811</v>
      </c>
    </row>
    <row r="51" spans="1:25" ht="48" thickTop="1" thickBot="1">
      <c r="A51" s="330" t="s">
        <v>201</v>
      </c>
      <c r="B51" s="331">
        <f>B50/1000</f>
        <v>0.78002259789118644</v>
      </c>
      <c r="C51" s="309"/>
      <c r="D51" s="330" t="s">
        <v>202</v>
      </c>
      <c r="E51" s="331" t="e">
        <f>E50/1000</f>
        <v>#DIV/0!</v>
      </c>
      <c r="F51" s="309"/>
      <c r="G51" s="330" t="s">
        <v>203</v>
      </c>
      <c r="H51" s="331">
        <f>H50/1000</f>
        <v>0.52234144869567667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28462.408848222116</v>
      </c>
      <c r="U51" s="321">
        <f>(T51*8.34*1.4)/45000</f>
        <v>7.3850463491520317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0</v>
      </c>
      <c r="U52" s="321">
        <f>(T52*8.34*1.135)/45000</f>
        <v>0</v>
      </c>
    </row>
    <row r="53" spans="1:25" ht="33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6670.8086871051801</v>
      </c>
      <c r="U53" s="321">
        <f>(T53*8.34*1.029*0.03)/3300</f>
        <v>0.52043587490473131</v>
      </c>
    </row>
    <row r="54" spans="1:25" ht="66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6924.4097577873872</v>
      </c>
      <c r="U54" s="350">
        <f>(T54*1.54*8.34)/45000</f>
        <v>1.9763188703359578</v>
      </c>
      <c r="V54" s="337"/>
      <c r="W54" s="309"/>
    </row>
    <row r="55" spans="1:25" ht="15.75" thickTop="1">
      <c r="B55" s="309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41"/>
      <c r="T55" s="578"/>
      <c r="U55" s="578"/>
      <c r="V55" s="339"/>
      <c r="W55" s="340"/>
      <c r="X55" s="341"/>
      <c r="Y55" s="341"/>
    </row>
    <row r="56" spans="1:25"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41"/>
      <c r="T56" s="578"/>
      <c r="U56" s="578"/>
      <c r="V56" s="339"/>
      <c r="W56" s="340"/>
      <c r="X56" s="341"/>
      <c r="Y56" s="341"/>
    </row>
    <row r="57" spans="1:25"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41"/>
      <c r="T57" s="578"/>
      <c r="U57" s="578"/>
      <c r="V57" s="339"/>
      <c r="W57" s="340"/>
      <c r="X57" s="341"/>
      <c r="Y57" s="341"/>
    </row>
    <row r="58" spans="1:25"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41"/>
      <c r="T58" s="578"/>
      <c r="U58" s="578"/>
      <c r="V58" s="339"/>
      <c r="W58" s="340"/>
      <c r="X58" s="341"/>
      <c r="Y58" s="341"/>
    </row>
    <row r="59" spans="1:25"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41"/>
      <c r="T59" s="578"/>
      <c r="U59" s="578"/>
      <c r="V59" s="339"/>
      <c r="W59" s="340"/>
      <c r="X59" s="341"/>
      <c r="Y59" s="341"/>
    </row>
    <row r="60" spans="1:25">
      <c r="S60" s="341"/>
      <c r="T60" s="578"/>
      <c r="U60" s="578"/>
      <c r="V60" s="339"/>
      <c r="W60" s="340"/>
      <c r="X60" s="341"/>
      <c r="Y60" s="360"/>
    </row>
    <row r="61" spans="1:25">
      <c r="S61" s="341"/>
      <c r="T61" s="578"/>
      <c r="U61" s="578"/>
      <c r="V61" s="339"/>
      <c r="W61" s="340"/>
      <c r="X61" s="341"/>
      <c r="Y61" s="360"/>
    </row>
    <row r="62" spans="1:25">
      <c r="S62" s="341"/>
      <c r="T62" s="578"/>
      <c r="U62" s="578"/>
      <c r="V62" s="339"/>
      <c r="W62" s="340"/>
      <c r="X62" s="341"/>
      <c r="Y62" s="360"/>
    </row>
    <row r="63" spans="1:25">
      <c r="S63" s="341"/>
      <c r="T63" s="341"/>
      <c r="U63" s="341"/>
      <c r="V63" s="341"/>
      <c r="W63" s="341"/>
      <c r="X63" s="341"/>
      <c r="Y63" s="360"/>
    </row>
    <row r="64" spans="1:25">
      <c r="S64" s="341"/>
      <c r="T64" s="341"/>
      <c r="U64" s="341"/>
      <c r="V64" s="341"/>
      <c r="W64" s="341"/>
      <c r="X64" s="341"/>
      <c r="Y64" s="360"/>
    </row>
    <row r="65" spans="19:24">
      <c r="S65" s="309"/>
      <c r="T65" s="309"/>
      <c r="U65" s="309"/>
      <c r="V65" s="309"/>
      <c r="W65" s="309"/>
      <c r="X65" s="309"/>
    </row>
    <row r="66" spans="19:24">
      <c r="S66" s="309"/>
      <c r="T66" s="309"/>
      <c r="U66" s="309"/>
      <c r="V66" s="309"/>
      <c r="W66" s="309"/>
      <c r="X66" s="309"/>
    </row>
    <row r="67" spans="19:24">
      <c r="S67" s="309"/>
      <c r="T67" s="309"/>
      <c r="U67" s="309"/>
      <c r="V67" s="309"/>
      <c r="W67" s="309"/>
      <c r="X67" s="309"/>
    </row>
    <row r="68" spans="19:24">
      <c r="S68" s="309"/>
      <c r="T68" s="309"/>
      <c r="U68" s="309"/>
      <c r="V68" s="309"/>
      <c r="W68" s="309"/>
      <c r="X68" s="309"/>
    </row>
    <row r="69" spans="19:24">
      <c r="S69" s="309"/>
      <c r="T69" s="309"/>
      <c r="U69" s="309"/>
      <c r="V69" s="309"/>
      <c r="W69" s="309"/>
      <c r="X69" s="309"/>
    </row>
  </sheetData>
  <sheetProtection password="A25B" sheet="1" objects="1" scenario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paperSize="17" scale="22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5"/>
  <sheetViews>
    <sheetView tabSelected="1" topLeftCell="A40" zoomScaleNormal="100" workbookViewId="0">
      <selection activeCell="C23" sqref="C23"/>
    </sheetView>
  </sheetViews>
  <sheetFormatPr defaultRowHeight="15"/>
  <cols>
    <col min="1" max="1" width="26.28515625" style="208" customWidth="1"/>
    <col min="2" max="2" width="19.85546875" style="208" bestFit="1" customWidth="1"/>
    <col min="3" max="3" width="27.7109375" style="208" bestFit="1" customWidth="1"/>
    <col min="4" max="4" width="29.5703125" style="208" customWidth="1"/>
    <col min="5" max="5" width="22.28515625" style="208" bestFit="1" customWidth="1"/>
    <col min="6" max="6" width="15" style="208" bestFit="1" customWidth="1"/>
    <col min="7" max="7" width="35.5703125" style="208" customWidth="1"/>
    <col min="8" max="8" width="19.5703125" style="208" bestFit="1" customWidth="1"/>
    <col min="9" max="9" width="15" style="208" bestFit="1" customWidth="1"/>
    <col min="10" max="10" width="16.42578125" style="208" bestFit="1" customWidth="1"/>
    <col min="11" max="11" width="19.85546875" style="208" bestFit="1" customWidth="1"/>
    <col min="12" max="12" width="17" style="208" bestFit="1" customWidth="1"/>
    <col min="13" max="13" width="16" style="208" bestFit="1" customWidth="1"/>
    <col min="14" max="14" width="15" style="208" bestFit="1" customWidth="1"/>
    <col min="15" max="16" width="16.1406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53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53" ht="15" customHeight="1">
      <c r="A2" s="206" t="s">
        <v>2</v>
      </c>
      <c r="B2" s="211"/>
      <c r="O2" s="210"/>
      <c r="P2" s="210"/>
      <c r="Q2" s="210"/>
      <c r="R2" s="210"/>
    </row>
    <row r="3" spans="1:53" ht="15.75" thickBot="1">
      <c r="A3" s="212"/>
      <c r="BA3" s="213"/>
    </row>
    <row r="4" spans="1:53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53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53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53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53">
      <c r="A8" s="232">
        <v>40878</v>
      </c>
      <c r="B8" s="233"/>
      <c r="C8" s="234">
        <v>0</v>
      </c>
      <c r="D8" s="234">
        <v>0</v>
      </c>
      <c r="E8" s="234">
        <v>0</v>
      </c>
      <c r="F8" s="234">
        <v>0</v>
      </c>
      <c r="G8" s="234">
        <v>0</v>
      </c>
      <c r="H8" s="235">
        <v>0</v>
      </c>
      <c r="I8" s="233">
        <v>78.96087869008376</v>
      </c>
      <c r="J8" s="234">
        <v>963.18316256205173</v>
      </c>
      <c r="K8" s="234">
        <v>16.475169208645806</v>
      </c>
      <c r="L8" s="234">
        <v>0</v>
      </c>
      <c r="M8" s="234">
        <v>0</v>
      </c>
      <c r="N8" s="235">
        <v>41.514361909031912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229.85847641627211</v>
      </c>
      <c r="V8" s="238">
        <v>0</v>
      </c>
      <c r="W8" s="238">
        <v>29.681163933873194</v>
      </c>
      <c r="X8" s="238">
        <v>0</v>
      </c>
      <c r="Y8" s="238">
        <v>243.17996071179712</v>
      </c>
      <c r="Z8" s="238">
        <v>0</v>
      </c>
      <c r="AA8" s="239">
        <v>0</v>
      </c>
      <c r="AB8" s="240">
        <v>0</v>
      </c>
      <c r="AC8" s="241">
        <v>0</v>
      </c>
      <c r="AD8" s="241">
        <v>11.183520252837072</v>
      </c>
      <c r="AE8" s="242">
        <v>11.000366160830263</v>
      </c>
      <c r="AF8" s="242">
        <v>0</v>
      </c>
      <c r="AG8" s="242">
        <v>1</v>
      </c>
      <c r="AH8" s="241">
        <v>229.59324603080753</v>
      </c>
      <c r="AI8" s="241">
        <v>480.64182291030875</v>
      </c>
      <c r="AJ8" s="241">
        <v>1057.5113089879353</v>
      </c>
      <c r="AK8" s="241">
        <v>719.45025695164986</v>
      </c>
      <c r="AL8" s="241">
        <v>1145.6814387957254</v>
      </c>
      <c r="AM8" s="241">
        <v>2283.6354445139568</v>
      </c>
      <c r="AN8" s="241">
        <v>545.51425981521606</v>
      </c>
      <c r="AO8" s="241">
        <v>1878.6390125274659</v>
      </c>
      <c r="AP8" s="241">
        <v>573.18028469085687</v>
      </c>
      <c r="AQ8" s="241">
        <v>755.55013971328731</v>
      </c>
    </row>
    <row r="9" spans="1:53">
      <c r="A9" s="232">
        <v>40879</v>
      </c>
      <c r="B9" s="243"/>
      <c r="C9" s="244">
        <v>0</v>
      </c>
      <c r="D9" s="244">
        <v>0</v>
      </c>
      <c r="E9" s="244">
        <v>0</v>
      </c>
      <c r="F9" s="244">
        <v>0</v>
      </c>
      <c r="G9" s="244">
        <v>0</v>
      </c>
      <c r="H9" s="245">
        <v>0</v>
      </c>
      <c r="I9" s="243">
        <v>74.218909422556607</v>
      </c>
      <c r="J9" s="244">
        <v>965.50866991678902</v>
      </c>
      <c r="K9" s="244">
        <v>16.47181437909601</v>
      </c>
      <c r="L9" s="234">
        <v>0</v>
      </c>
      <c r="M9" s="244">
        <v>0</v>
      </c>
      <c r="N9" s="245">
        <v>39.743340084453436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229.45068787469037</v>
      </c>
      <c r="V9" s="246">
        <v>0</v>
      </c>
      <c r="W9" s="246">
        <v>28.528128488858545</v>
      </c>
      <c r="X9" s="246">
        <v>0</v>
      </c>
      <c r="Y9" s="250">
        <v>245.42434957822152</v>
      </c>
      <c r="Z9" s="250">
        <v>0</v>
      </c>
      <c r="AA9" s="251">
        <v>0</v>
      </c>
      <c r="AB9" s="252">
        <v>0</v>
      </c>
      <c r="AC9" s="253">
        <v>0</v>
      </c>
      <c r="AD9" s="253">
        <v>11.178455268674437</v>
      </c>
      <c r="AE9" s="252">
        <v>10.998248431951335</v>
      </c>
      <c r="AF9" s="252">
        <v>0</v>
      </c>
      <c r="AG9" s="252">
        <v>1</v>
      </c>
      <c r="AH9" s="253">
        <v>245.11746753851577</v>
      </c>
      <c r="AI9" s="253">
        <v>512.64591615994766</v>
      </c>
      <c r="AJ9" s="253">
        <v>1104.3799004872642</v>
      </c>
      <c r="AK9" s="253">
        <v>727.04834868113221</v>
      </c>
      <c r="AL9" s="253">
        <v>1133.1802413622538</v>
      </c>
      <c r="AM9" s="253">
        <v>2233.0145807902022</v>
      </c>
      <c r="AN9" s="253">
        <v>563.78110295931504</v>
      </c>
      <c r="AO9" s="253">
        <v>1928.9284951527914</v>
      </c>
      <c r="AP9" s="253">
        <v>600.20412616729743</v>
      </c>
      <c r="AQ9" s="253">
        <v>782.61486593882239</v>
      </c>
    </row>
    <row r="10" spans="1:53">
      <c r="A10" s="232">
        <v>40880</v>
      </c>
      <c r="B10" s="243"/>
      <c r="C10" s="244">
        <v>0</v>
      </c>
      <c r="D10" s="244">
        <v>0</v>
      </c>
      <c r="E10" s="244">
        <v>0</v>
      </c>
      <c r="F10" s="244">
        <v>0</v>
      </c>
      <c r="G10" s="244">
        <v>0</v>
      </c>
      <c r="H10" s="245">
        <v>0</v>
      </c>
      <c r="I10" s="243">
        <v>72.365038792292253</v>
      </c>
      <c r="J10" s="244">
        <v>956.30206559499072</v>
      </c>
      <c r="K10" s="244">
        <v>16.446577085057854</v>
      </c>
      <c r="L10" s="234">
        <v>0</v>
      </c>
      <c r="M10" s="244">
        <v>0</v>
      </c>
      <c r="N10" s="245">
        <v>40.199669238924947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231.15191510518596</v>
      </c>
      <c r="V10" s="246">
        <v>0</v>
      </c>
      <c r="W10" s="246">
        <v>26.538577236731861</v>
      </c>
      <c r="X10" s="246">
        <v>0</v>
      </c>
      <c r="Y10" s="250">
        <v>242.33070360819502</v>
      </c>
      <c r="Z10" s="250">
        <v>0</v>
      </c>
      <c r="AA10" s="251">
        <v>0</v>
      </c>
      <c r="AB10" s="252">
        <v>0</v>
      </c>
      <c r="AC10" s="253">
        <v>0</v>
      </c>
      <c r="AD10" s="253">
        <v>11.179396198193238</v>
      </c>
      <c r="AE10" s="252">
        <v>10.999827096892718</v>
      </c>
      <c r="AF10" s="252">
        <v>0</v>
      </c>
      <c r="AG10" s="252">
        <v>1</v>
      </c>
      <c r="AH10" s="253">
        <v>267.23522357940675</v>
      </c>
      <c r="AI10" s="253">
        <v>544.7756749629973</v>
      </c>
      <c r="AJ10" s="253">
        <v>1072.1490592320763</v>
      </c>
      <c r="AK10" s="253">
        <v>767.6818447113036</v>
      </c>
      <c r="AL10" s="253">
        <v>1174.5341753959656</v>
      </c>
      <c r="AM10" s="253">
        <v>2288.5070757548015</v>
      </c>
      <c r="AN10" s="253">
        <v>576.33769073486337</v>
      </c>
      <c r="AO10" s="253">
        <v>1920.9996331532795</v>
      </c>
      <c r="AP10" s="253">
        <v>616.15723924636836</v>
      </c>
      <c r="AQ10" s="253">
        <v>736.27495301564522</v>
      </c>
    </row>
    <row r="11" spans="1:53">
      <c r="A11" s="232">
        <v>40881</v>
      </c>
      <c r="B11" s="243"/>
      <c r="C11" s="244">
        <v>0</v>
      </c>
      <c r="D11" s="244">
        <v>0</v>
      </c>
      <c r="E11" s="244">
        <v>0</v>
      </c>
      <c r="F11" s="244">
        <v>0</v>
      </c>
      <c r="G11" s="244">
        <v>0</v>
      </c>
      <c r="H11" s="245">
        <v>0</v>
      </c>
      <c r="I11" s="243">
        <v>82.028707027435516</v>
      </c>
      <c r="J11" s="244">
        <v>978.2716711044302</v>
      </c>
      <c r="K11" s="244">
        <v>16.753499921162916</v>
      </c>
      <c r="L11" s="234">
        <v>0</v>
      </c>
      <c r="M11" s="244">
        <v>0</v>
      </c>
      <c r="N11" s="245">
        <v>39.745049037039244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234.59145288467522</v>
      </c>
      <c r="V11" s="246">
        <v>0</v>
      </c>
      <c r="W11" s="246">
        <v>28.632318772872271</v>
      </c>
      <c r="X11" s="246">
        <v>0</v>
      </c>
      <c r="Y11" s="250">
        <v>242.17092591921465</v>
      </c>
      <c r="Z11" s="250">
        <v>0</v>
      </c>
      <c r="AA11" s="251">
        <v>0</v>
      </c>
      <c r="AB11" s="252">
        <v>0</v>
      </c>
      <c r="AC11" s="253">
        <v>0</v>
      </c>
      <c r="AD11" s="253">
        <v>11.340626670916896</v>
      </c>
      <c r="AE11" s="252">
        <v>11.170986079516918</v>
      </c>
      <c r="AF11" s="252">
        <v>0</v>
      </c>
      <c r="AG11" s="252">
        <v>1</v>
      </c>
      <c r="AH11" s="253">
        <v>279.81187889575955</v>
      </c>
      <c r="AI11" s="253">
        <v>574.42329591115322</v>
      </c>
      <c r="AJ11" s="253">
        <v>1094.9116201400757</v>
      </c>
      <c r="AK11" s="253">
        <v>776.95256055196137</v>
      </c>
      <c r="AL11" s="253">
        <v>1182.691606839498</v>
      </c>
      <c r="AM11" s="253">
        <v>2235.3656116485599</v>
      </c>
      <c r="AN11" s="253">
        <v>609.06607144673671</v>
      </c>
      <c r="AO11" s="253">
        <v>1939.9074501037596</v>
      </c>
      <c r="AP11" s="253">
        <v>540.51466768582657</v>
      </c>
      <c r="AQ11" s="253">
        <v>757.12994441986086</v>
      </c>
    </row>
    <row r="12" spans="1:53">
      <c r="A12" s="232">
        <v>40882</v>
      </c>
      <c r="B12" s="243"/>
      <c r="C12" s="244">
        <v>0</v>
      </c>
      <c r="D12" s="244">
        <v>0</v>
      </c>
      <c r="E12" s="244">
        <v>0</v>
      </c>
      <c r="F12" s="244">
        <v>0</v>
      </c>
      <c r="G12" s="244">
        <v>0</v>
      </c>
      <c r="H12" s="245">
        <v>0</v>
      </c>
      <c r="I12" s="243">
        <v>76.805604537328065</v>
      </c>
      <c r="J12" s="244">
        <v>1035.9810157775876</v>
      </c>
      <c r="K12" s="244">
        <v>20.870054049293209</v>
      </c>
      <c r="L12" s="234">
        <v>0</v>
      </c>
      <c r="M12" s="244">
        <v>0</v>
      </c>
      <c r="N12" s="245">
        <v>41.689994095265874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248.40883434083634</v>
      </c>
      <c r="V12" s="246">
        <v>0</v>
      </c>
      <c r="W12" s="246">
        <v>31.149363919099187</v>
      </c>
      <c r="X12" s="246">
        <v>0</v>
      </c>
      <c r="Y12" s="250">
        <v>255.15893493493365</v>
      </c>
      <c r="Z12" s="250">
        <v>0</v>
      </c>
      <c r="AA12" s="251">
        <v>0</v>
      </c>
      <c r="AB12" s="252">
        <v>0</v>
      </c>
      <c r="AC12" s="253">
        <v>0</v>
      </c>
      <c r="AD12" s="253">
        <v>12.029976001713004</v>
      </c>
      <c r="AE12" s="252">
        <v>11.861139791905574</v>
      </c>
      <c r="AF12" s="252">
        <v>0</v>
      </c>
      <c r="AG12" s="252">
        <v>1</v>
      </c>
      <c r="AH12" s="253">
        <v>316.77298532327012</v>
      </c>
      <c r="AI12" s="253">
        <v>644.3554341475168</v>
      </c>
      <c r="AJ12" s="253">
        <v>1125.7360176086427</v>
      </c>
      <c r="AK12" s="253">
        <v>833.17494824727373</v>
      </c>
      <c r="AL12" s="253">
        <v>1180.2271346410114</v>
      </c>
      <c r="AM12" s="253">
        <v>2426.9077607472736</v>
      </c>
      <c r="AN12" s="253">
        <v>639.92094351450601</v>
      </c>
      <c r="AO12" s="253">
        <v>2025.1405967712403</v>
      </c>
      <c r="AP12" s="253">
        <v>537.57182741165173</v>
      </c>
      <c r="AQ12" s="253">
        <v>814.00406545003261</v>
      </c>
    </row>
    <row r="13" spans="1:53">
      <c r="A13" s="232">
        <v>40883</v>
      </c>
      <c r="B13" s="243"/>
      <c r="C13" s="244">
        <v>0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243">
        <v>77.239308595657405</v>
      </c>
      <c r="J13" s="244">
        <v>1159.5210389455169</v>
      </c>
      <c r="K13" s="244">
        <v>19.281605096658076</v>
      </c>
      <c r="L13" s="234">
        <v>0</v>
      </c>
      <c r="M13" s="244">
        <v>0</v>
      </c>
      <c r="N13" s="245">
        <v>38.879458773136136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243.61759322484303</v>
      </c>
      <c r="V13" s="246">
        <v>0</v>
      </c>
      <c r="W13" s="246">
        <v>31.562890360752696</v>
      </c>
      <c r="X13" s="246">
        <v>0</v>
      </c>
      <c r="Y13" s="250">
        <v>263.87648913065613</v>
      </c>
      <c r="Z13" s="250">
        <v>0</v>
      </c>
      <c r="AA13" s="251">
        <v>0</v>
      </c>
      <c r="AB13" s="252">
        <v>0</v>
      </c>
      <c r="AC13" s="253">
        <v>0</v>
      </c>
      <c r="AD13" s="253">
        <v>11.730007263355775</v>
      </c>
      <c r="AE13" s="252">
        <v>11.64352690715525</v>
      </c>
      <c r="AF13" s="252">
        <v>0</v>
      </c>
      <c r="AG13" s="252">
        <v>1</v>
      </c>
      <c r="AH13" s="253">
        <v>310.7484256029129</v>
      </c>
      <c r="AI13" s="253">
        <v>631.41714742978411</v>
      </c>
      <c r="AJ13" s="253">
        <v>1181.3126438776651</v>
      </c>
      <c r="AK13" s="253">
        <v>815.83870426813758</v>
      </c>
      <c r="AL13" s="253">
        <v>1187.9462679862972</v>
      </c>
      <c r="AM13" s="253">
        <v>2447.5578500111897</v>
      </c>
      <c r="AN13" s="253">
        <v>624.52793124516802</v>
      </c>
      <c r="AO13" s="253">
        <v>2125.0901177088417</v>
      </c>
      <c r="AP13" s="253">
        <v>523.50926156044011</v>
      </c>
      <c r="AQ13" s="253">
        <v>834.11139307022097</v>
      </c>
    </row>
    <row r="14" spans="1:53">
      <c r="A14" s="232">
        <v>40884</v>
      </c>
      <c r="B14" s="243"/>
      <c r="C14" s="244">
        <v>0</v>
      </c>
      <c r="D14" s="244">
        <v>0</v>
      </c>
      <c r="E14" s="244">
        <v>0</v>
      </c>
      <c r="F14" s="244">
        <v>0</v>
      </c>
      <c r="G14" s="244">
        <v>0</v>
      </c>
      <c r="H14" s="245">
        <v>0</v>
      </c>
      <c r="I14" s="243">
        <v>80.740211168925015</v>
      </c>
      <c r="J14" s="244">
        <v>1054.4567440668741</v>
      </c>
      <c r="K14" s="244">
        <v>14.719624338547371</v>
      </c>
      <c r="L14" s="234">
        <v>0</v>
      </c>
      <c r="M14" s="244">
        <v>0</v>
      </c>
      <c r="N14" s="245">
        <v>39.947963415086271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251.22727079391859</v>
      </c>
      <c r="V14" s="246">
        <v>0</v>
      </c>
      <c r="W14" s="246">
        <v>29.763619852065997</v>
      </c>
      <c r="X14" s="246">
        <v>0</v>
      </c>
      <c r="Y14" s="250">
        <v>306.83136803309105</v>
      </c>
      <c r="Z14" s="250">
        <v>0</v>
      </c>
      <c r="AA14" s="251">
        <v>0</v>
      </c>
      <c r="AB14" s="252">
        <v>0</v>
      </c>
      <c r="AC14" s="253">
        <v>0</v>
      </c>
      <c r="AD14" s="253">
        <v>12.106278737386074</v>
      </c>
      <c r="AE14" s="252">
        <v>11.999290759692425</v>
      </c>
      <c r="AF14" s="252">
        <v>0</v>
      </c>
      <c r="AG14" s="252">
        <v>1</v>
      </c>
      <c r="AH14" s="253">
        <v>247.8849419434865</v>
      </c>
      <c r="AI14" s="253">
        <v>527.25668131510417</v>
      </c>
      <c r="AJ14" s="253">
        <v>1110.1732800801597</v>
      </c>
      <c r="AK14" s="253">
        <v>768.61898063023875</v>
      </c>
      <c r="AL14" s="253">
        <v>1052.161360836029</v>
      </c>
      <c r="AM14" s="253">
        <v>2311.4386525472</v>
      </c>
      <c r="AN14" s="253">
        <v>558.72407519022624</v>
      </c>
      <c r="AO14" s="253">
        <v>2258.0827283223466</v>
      </c>
      <c r="AP14" s="253">
        <v>478.0435081799825</v>
      </c>
      <c r="AQ14" s="253">
        <v>822.84402132034302</v>
      </c>
    </row>
    <row r="15" spans="1:53">
      <c r="A15" s="232">
        <v>40885</v>
      </c>
      <c r="B15" s="243"/>
      <c r="C15" s="244">
        <v>0</v>
      </c>
      <c r="D15" s="244">
        <v>0</v>
      </c>
      <c r="E15" s="244">
        <v>0</v>
      </c>
      <c r="F15" s="244">
        <v>0</v>
      </c>
      <c r="G15" s="244">
        <v>0</v>
      </c>
      <c r="H15" s="245">
        <v>0</v>
      </c>
      <c r="I15" s="243">
        <v>77.486781438191798</v>
      </c>
      <c r="J15" s="244">
        <v>890.02379296620541</v>
      </c>
      <c r="K15" s="244">
        <v>14.337471300363545</v>
      </c>
      <c r="L15" s="234">
        <v>0</v>
      </c>
      <c r="M15" s="244">
        <v>0</v>
      </c>
      <c r="N15" s="245">
        <v>39.154047369460251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241.78098108503619</v>
      </c>
      <c r="V15" s="246">
        <v>0</v>
      </c>
      <c r="W15" s="246">
        <v>30.069574857751505</v>
      </c>
      <c r="X15" s="246">
        <v>0</v>
      </c>
      <c r="Y15" s="250">
        <v>263.2896281878148</v>
      </c>
      <c r="Z15" s="250">
        <v>0</v>
      </c>
      <c r="AA15" s="251">
        <v>0</v>
      </c>
      <c r="AB15" s="252">
        <v>0</v>
      </c>
      <c r="AC15" s="253">
        <v>0</v>
      </c>
      <c r="AD15" s="253">
        <v>11.629799720976091</v>
      </c>
      <c r="AE15" s="252">
        <v>11.51547073213297</v>
      </c>
      <c r="AF15" s="252">
        <v>0</v>
      </c>
      <c r="AG15" s="252">
        <v>1</v>
      </c>
      <c r="AH15" s="253">
        <v>249.24180680910749</v>
      </c>
      <c r="AI15" s="253">
        <v>653.31715051333106</v>
      </c>
      <c r="AJ15" s="253">
        <v>1129.4556236902872</v>
      </c>
      <c r="AK15" s="253">
        <v>773.28656063079825</v>
      </c>
      <c r="AL15" s="253">
        <v>1114.5515274365744</v>
      </c>
      <c r="AM15" s="253">
        <v>2310.0955608367922</v>
      </c>
      <c r="AN15" s="253">
        <v>565.58580036163323</v>
      </c>
      <c r="AO15" s="253">
        <v>2261.8747657775875</v>
      </c>
      <c r="AP15" s="253">
        <v>486.23863118489589</v>
      </c>
      <c r="AQ15" s="253">
        <v>799.55919694900513</v>
      </c>
    </row>
    <row r="16" spans="1:53">
      <c r="A16" s="232">
        <v>40886</v>
      </c>
      <c r="B16" s="243"/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5">
        <v>0</v>
      </c>
      <c r="I16" s="243">
        <v>77.811872005462632</v>
      </c>
      <c r="J16" s="244">
        <v>850.74240970611595</v>
      </c>
      <c r="K16" s="244">
        <v>14.293043056130452</v>
      </c>
      <c r="L16" s="234">
        <v>0</v>
      </c>
      <c r="M16" s="244">
        <v>0</v>
      </c>
      <c r="N16" s="245">
        <v>39.289547447363574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219.24483265876873</v>
      </c>
      <c r="V16" s="246">
        <v>0</v>
      </c>
      <c r="W16" s="246">
        <v>27.147782157858234</v>
      </c>
      <c r="X16" s="246">
        <v>0</v>
      </c>
      <c r="Y16" s="250">
        <v>219.38250346978512</v>
      </c>
      <c r="Z16" s="250">
        <v>0</v>
      </c>
      <c r="AA16" s="251">
        <v>0</v>
      </c>
      <c r="AB16" s="252">
        <v>0</v>
      </c>
      <c r="AC16" s="253">
        <v>0</v>
      </c>
      <c r="AD16" s="253">
        <v>10.725406288438357</v>
      </c>
      <c r="AE16" s="252">
        <v>10.512507754171937</v>
      </c>
      <c r="AF16" s="252">
        <v>0</v>
      </c>
      <c r="AG16" s="252">
        <v>1</v>
      </c>
      <c r="AH16" s="253">
        <v>241.43331509431204</v>
      </c>
      <c r="AI16" s="253">
        <v>705.95708090464268</v>
      </c>
      <c r="AJ16" s="253">
        <v>1120.4603909810385</v>
      </c>
      <c r="AK16" s="253">
        <v>774.75863107045495</v>
      </c>
      <c r="AL16" s="253">
        <v>1166.7770750681559</v>
      </c>
      <c r="AM16" s="253">
        <v>2367.564730199178</v>
      </c>
      <c r="AN16" s="253">
        <v>607.72908978462226</v>
      </c>
      <c r="AO16" s="253">
        <v>2116.882395553589</v>
      </c>
      <c r="AP16" s="253">
        <v>490.73865823745729</v>
      </c>
      <c r="AQ16" s="253">
        <v>765.01994339625037</v>
      </c>
    </row>
    <row r="17" spans="1:43">
      <c r="A17" s="232">
        <v>40887</v>
      </c>
      <c r="B17" s="233"/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5">
        <v>0</v>
      </c>
      <c r="I17" s="233">
        <v>78.453210433324202</v>
      </c>
      <c r="J17" s="234">
        <v>842.59338537851954</v>
      </c>
      <c r="K17" s="234">
        <v>14.272471531232233</v>
      </c>
      <c r="L17" s="234">
        <v>0</v>
      </c>
      <c r="M17" s="234">
        <v>0</v>
      </c>
      <c r="N17" s="235">
        <v>39.984507311383872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243.12626641591416</v>
      </c>
      <c r="V17" s="250">
        <v>0</v>
      </c>
      <c r="W17" s="246">
        <v>29.51019324759643</v>
      </c>
      <c r="X17" s="246">
        <v>0</v>
      </c>
      <c r="Y17" s="250">
        <v>225.78029710451804</v>
      </c>
      <c r="Z17" s="250">
        <v>0</v>
      </c>
      <c r="AA17" s="251">
        <v>0</v>
      </c>
      <c r="AB17" s="252">
        <v>0</v>
      </c>
      <c r="AC17" s="253">
        <v>0</v>
      </c>
      <c r="AD17" s="253">
        <v>11.71500875155132</v>
      </c>
      <c r="AE17" s="252">
        <v>11.499898702561115</v>
      </c>
      <c r="AF17" s="252">
        <v>0</v>
      </c>
      <c r="AG17" s="252">
        <v>1</v>
      </c>
      <c r="AH17" s="253">
        <v>232.58066236178081</v>
      </c>
      <c r="AI17" s="253">
        <v>553.22645440101633</v>
      </c>
      <c r="AJ17" s="253">
        <v>1128.8095272064206</v>
      </c>
      <c r="AK17" s="253">
        <v>763.22355953852332</v>
      </c>
      <c r="AL17" s="253">
        <v>1111.8286943435669</v>
      </c>
      <c r="AM17" s="253">
        <v>2242.3322729746501</v>
      </c>
      <c r="AN17" s="253">
        <v>576.75048151016233</v>
      </c>
      <c r="AO17" s="253">
        <v>2206.3365800221763</v>
      </c>
      <c r="AP17" s="253">
        <v>481.53820042610164</v>
      </c>
      <c r="AQ17" s="253">
        <v>765.72939678827925</v>
      </c>
    </row>
    <row r="18" spans="1:43">
      <c r="A18" s="232">
        <v>40888</v>
      </c>
      <c r="B18" s="243"/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5">
        <v>0</v>
      </c>
      <c r="I18" s="243">
        <v>79.925084908803214</v>
      </c>
      <c r="J18" s="244">
        <v>847.09657923380655</v>
      </c>
      <c r="K18" s="244">
        <v>14.50218437612059</v>
      </c>
      <c r="L18" s="234">
        <v>0</v>
      </c>
      <c r="M18" s="244">
        <v>0</v>
      </c>
      <c r="N18" s="245">
        <v>39.269470761716377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239.17968875037394</v>
      </c>
      <c r="V18" s="246">
        <v>0</v>
      </c>
      <c r="W18" s="246">
        <v>28.02626005709168</v>
      </c>
      <c r="X18" s="246">
        <v>0</v>
      </c>
      <c r="Y18" s="250">
        <v>221.5777881463373</v>
      </c>
      <c r="Z18" s="250">
        <v>0</v>
      </c>
      <c r="AA18" s="251">
        <v>0</v>
      </c>
      <c r="AB18" s="252">
        <v>0</v>
      </c>
      <c r="AC18" s="253">
        <v>0</v>
      </c>
      <c r="AD18" s="253">
        <v>11.581573594278753</v>
      </c>
      <c r="AE18" s="252">
        <v>11.33016720169566</v>
      </c>
      <c r="AF18" s="252">
        <v>0</v>
      </c>
      <c r="AG18" s="252">
        <v>1</v>
      </c>
      <c r="AH18" s="253">
        <v>214.05707060496013</v>
      </c>
      <c r="AI18" s="253">
        <v>504.08708068529762</v>
      </c>
      <c r="AJ18" s="253">
        <v>1128.6316514968873</v>
      </c>
      <c r="AK18" s="253">
        <v>755.24076277414963</v>
      </c>
      <c r="AL18" s="253">
        <v>1031.3040824890136</v>
      </c>
      <c r="AM18" s="253">
        <v>2201.7162150065105</v>
      </c>
      <c r="AN18" s="253">
        <v>545.97330201466877</v>
      </c>
      <c r="AO18" s="253">
        <v>2229.4307886759439</v>
      </c>
      <c r="AP18" s="253">
        <v>471.08133783340452</v>
      </c>
      <c r="AQ18" s="253">
        <v>763.09861888885484</v>
      </c>
    </row>
    <row r="19" spans="1:43">
      <c r="A19" s="232">
        <v>40889</v>
      </c>
      <c r="B19" s="243"/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5">
        <v>0</v>
      </c>
      <c r="I19" s="243">
        <v>45.020535866419486</v>
      </c>
      <c r="J19" s="244">
        <v>864.83666362762494</v>
      </c>
      <c r="K19" s="244">
        <v>14.231995552778283</v>
      </c>
      <c r="L19" s="234">
        <v>0</v>
      </c>
      <c r="M19" s="244">
        <v>0</v>
      </c>
      <c r="N19" s="245">
        <v>39.294296731054779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231.51832070880522</v>
      </c>
      <c r="V19" s="246">
        <v>0</v>
      </c>
      <c r="W19" s="246">
        <v>27.563839762409561</v>
      </c>
      <c r="X19" s="246">
        <v>0</v>
      </c>
      <c r="Y19" s="250">
        <v>221.02106254895537</v>
      </c>
      <c r="Z19" s="250">
        <v>0</v>
      </c>
      <c r="AA19" s="251">
        <v>0</v>
      </c>
      <c r="AB19" s="252">
        <v>0</v>
      </c>
      <c r="AC19" s="253">
        <v>0</v>
      </c>
      <c r="AD19" s="253">
        <v>11.199564543035292</v>
      </c>
      <c r="AE19" s="252">
        <v>11.102086800057506</v>
      </c>
      <c r="AF19" s="252">
        <v>0</v>
      </c>
      <c r="AG19" s="252">
        <v>1</v>
      </c>
      <c r="AH19" s="253">
        <v>219.61221261024477</v>
      </c>
      <c r="AI19" s="253">
        <v>517.95252599716173</v>
      </c>
      <c r="AJ19" s="253">
        <v>1079.9511194229128</v>
      </c>
      <c r="AK19" s="253">
        <v>754.03151852289841</v>
      </c>
      <c r="AL19" s="253">
        <v>1021.3787998517357</v>
      </c>
      <c r="AM19" s="253">
        <v>2249.3707772572834</v>
      </c>
      <c r="AN19" s="253">
        <v>552.02270636558535</v>
      </c>
      <c r="AO19" s="253">
        <v>2163.3998081207274</v>
      </c>
      <c r="AP19" s="253">
        <v>489.86288815736776</v>
      </c>
      <c r="AQ19" s="253">
        <v>782.99578914642336</v>
      </c>
    </row>
    <row r="20" spans="1:43">
      <c r="A20" s="232">
        <v>40890</v>
      </c>
      <c r="B20" s="243"/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5">
        <v>0</v>
      </c>
      <c r="I20" s="243">
        <v>0</v>
      </c>
      <c r="J20" s="244">
        <v>850.30147851308095</v>
      </c>
      <c r="K20" s="244">
        <v>14.155184996128128</v>
      </c>
      <c r="L20" s="234">
        <v>0</v>
      </c>
      <c r="M20" s="244">
        <v>0</v>
      </c>
      <c r="N20" s="245">
        <v>40.134758315483744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239.80193604363168</v>
      </c>
      <c r="V20" s="246">
        <v>0</v>
      </c>
      <c r="W20" s="246">
        <v>28.908645750085523</v>
      </c>
      <c r="X20" s="246">
        <v>0</v>
      </c>
      <c r="Y20" s="250">
        <v>224.00972770055176</v>
      </c>
      <c r="Z20" s="250">
        <v>0</v>
      </c>
      <c r="AA20" s="251">
        <v>0</v>
      </c>
      <c r="AB20" s="252">
        <v>0</v>
      </c>
      <c r="AC20" s="253">
        <v>0</v>
      </c>
      <c r="AD20" s="253">
        <v>11.595325773954384</v>
      </c>
      <c r="AE20" s="252">
        <v>11.499648799104083</v>
      </c>
      <c r="AF20" s="252">
        <v>0</v>
      </c>
      <c r="AG20" s="252">
        <v>1</v>
      </c>
      <c r="AH20" s="253">
        <v>218.97949041525519</v>
      </c>
      <c r="AI20" s="253">
        <v>528.10184038480122</v>
      </c>
      <c r="AJ20" s="253">
        <v>1118.6668591181437</v>
      </c>
      <c r="AK20" s="253">
        <v>755.77591002782174</v>
      </c>
      <c r="AL20" s="253">
        <v>1029.3481045087178</v>
      </c>
      <c r="AM20" s="253">
        <v>2100.5257722218835</v>
      </c>
      <c r="AN20" s="253">
        <v>584.66633869806924</v>
      </c>
      <c r="AO20" s="253">
        <v>2474.490726979574</v>
      </c>
      <c r="AP20" s="253">
        <v>451.67550621032711</v>
      </c>
      <c r="AQ20" s="253">
        <v>769.37687301635754</v>
      </c>
    </row>
    <row r="21" spans="1:43">
      <c r="A21" s="232">
        <v>40891</v>
      </c>
      <c r="B21" s="243"/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5">
        <v>0</v>
      </c>
      <c r="I21" s="243">
        <v>149.85353024800642</v>
      </c>
      <c r="J21" s="244">
        <v>840.2437327702844</v>
      </c>
      <c r="K21" s="244">
        <v>14.137433333198244</v>
      </c>
      <c r="L21" s="234">
        <v>0</v>
      </c>
      <c r="M21" s="244">
        <v>0</v>
      </c>
      <c r="N21" s="245">
        <v>39.130666942894493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240.35379992591461</v>
      </c>
      <c r="V21" s="246">
        <v>0</v>
      </c>
      <c r="W21" s="246">
        <v>28.295944171150502</v>
      </c>
      <c r="X21" s="246">
        <v>0</v>
      </c>
      <c r="Y21" s="250">
        <v>226.9616369724275</v>
      </c>
      <c r="Z21" s="250">
        <v>0</v>
      </c>
      <c r="AA21" s="251">
        <v>0</v>
      </c>
      <c r="AB21" s="252">
        <v>0</v>
      </c>
      <c r="AC21" s="253">
        <v>0</v>
      </c>
      <c r="AD21" s="253">
        <v>11.594207431210402</v>
      </c>
      <c r="AE21" s="252">
        <v>11.500358446138449</v>
      </c>
      <c r="AF21" s="252">
        <v>0</v>
      </c>
      <c r="AG21" s="252">
        <v>1</v>
      </c>
      <c r="AH21" s="253">
        <v>220.80667458375299</v>
      </c>
      <c r="AI21" s="253">
        <v>511.5050487359365</v>
      </c>
      <c r="AJ21" s="253">
        <v>1099.1141639073692</v>
      </c>
      <c r="AK21" s="253">
        <v>750.8844023704529</v>
      </c>
      <c r="AL21" s="253">
        <v>1010.035018825531</v>
      </c>
      <c r="AM21" s="253">
        <v>2189.8290990193686</v>
      </c>
      <c r="AN21" s="253">
        <v>588.67691313425689</v>
      </c>
      <c r="AO21" s="253">
        <v>2431.5430338541664</v>
      </c>
      <c r="AP21" s="253">
        <v>454.3626555442811</v>
      </c>
      <c r="AQ21" s="253">
        <v>774.47907921473177</v>
      </c>
    </row>
    <row r="22" spans="1:43">
      <c r="A22" s="232">
        <v>40892</v>
      </c>
      <c r="B22" s="243"/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5">
        <v>0</v>
      </c>
      <c r="I22" s="243">
        <v>299.60245045026136</v>
      </c>
      <c r="J22" s="244">
        <v>846.42260894775302</v>
      </c>
      <c r="K22" s="244">
        <v>14.107391127944013</v>
      </c>
      <c r="L22" s="234">
        <v>0</v>
      </c>
      <c r="M22" s="244">
        <v>0</v>
      </c>
      <c r="N22" s="245">
        <v>39.052489516635745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239.18169364929616</v>
      </c>
      <c r="V22" s="246">
        <v>0</v>
      </c>
      <c r="W22" s="246">
        <v>29.563740413387649</v>
      </c>
      <c r="X22" s="246">
        <v>0</v>
      </c>
      <c r="Y22" s="250">
        <v>230.1141047159829</v>
      </c>
      <c r="Z22" s="250">
        <v>0</v>
      </c>
      <c r="AA22" s="251">
        <v>0</v>
      </c>
      <c r="AB22" s="252">
        <v>0</v>
      </c>
      <c r="AC22" s="253">
        <v>0</v>
      </c>
      <c r="AD22" s="253">
        <v>11.590389068259146</v>
      </c>
      <c r="AE22" s="252">
        <v>11.499917227566144</v>
      </c>
      <c r="AF22" s="252">
        <v>0</v>
      </c>
      <c r="AG22" s="252">
        <v>1</v>
      </c>
      <c r="AH22" s="253">
        <v>217.92234656016032</v>
      </c>
      <c r="AI22" s="253">
        <v>542.68625922203057</v>
      </c>
      <c r="AJ22" s="253">
        <v>1129.0426710128786</v>
      </c>
      <c r="AK22" s="253">
        <v>751.68314352035509</v>
      </c>
      <c r="AL22" s="253">
        <v>1033.5416745821635</v>
      </c>
      <c r="AM22" s="253">
        <v>2221.5509162902836</v>
      </c>
      <c r="AN22" s="253">
        <v>599.69496685663853</v>
      </c>
      <c r="AO22" s="253">
        <v>2482.237128829956</v>
      </c>
      <c r="AP22" s="253">
        <v>505.51088496843965</v>
      </c>
      <c r="AQ22" s="253">
        <v>775.98144369125373</v>
      </c>
    </row>
    <row r="23" spans="1:43">
      <c r="A23" s="232">
        <v>40893</v>
      </c>
      <c r="B23" s="243"/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5">
        <v>0</v>
      </c>
      <c r="I23" s="243">
        <v>294.86287442843104</v>
      </c>
      <c r="J23" s="244">
        <v>862.40821126302001</v>
      </c>
      <c r="K23" s="244">
        <v>14.095302146673264</v>
      </c>
      <c r="L23" s="234">
        <v>0</v>
      </c>
      <c r="M23" s="244">
        <v>0</v>
      </c>
      <c r="N23" s="245">
        <v>39.806933927039289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239.20879800584956</v>
      </c>
      <c r="V23" s="246">
        <v>0</v>
      </c>
      <c r="W23" s="246">
        <v>30.889606369535112</v>
      </c>
      <c r="X23" s="246">
        <v>0</v>
      </c>
      <c r="Y23" s="250">
        <v>229.39848100344403</v>
      </c>
      <c r="Z23" s="250">
        <v>0</v>
      </c>
      <c r="AA23" s="251">
        <v>0</v>
      </c>
      <c r="AB23" s="252">
        <v>0</v>
      </c>
      <c r="AC23" s="253">
        <v>0</v>
      </c>
      <c r="AD23" s="253">
        <v>11.594844241937</v>
      </c>
      <c r="AE23" s="252">
        <v>11.499726830025384</v>
      </c>
      <c r="AF23" s="252">
        <v>0</v>
      </c>
      <c r="AG23" s="252">
        <v>1</v>
      </c>
      <c r="AH23" s="253">
        <v>292.60309462547298</v>
      </c>
      <c r="AI23" s="253">
        <v>614.82037711143494</v>
      </c>
      <c r="AJ23" s="253">
        <v>1144.0224020004273</v>
      </c>
      <c r="AK23" s="253">
        <v>752.49551382064806</v>
      </c>
      <c r="AL23" s="253">
        <v>1034.8991385777792</v>
      </c>
      <c r="AM23" s="253">
        <v>2248.9707328796389</v>
      </c>
      <c r="AN23" s="253">
        <v>592.68680442174286</v>
      </c>
      <c r="AO23" s="253">
        <v>2471.81109568278</v>
      </c>
      <c r="AP23" s="253">
        <v>532.29725313186646</v>
      </c>
      <c r="AQ23" s="253">
        <v>815.12192846933999</v>
      </c>
    </row>
    <row r="24" spans="1:43">
      <c r="A24" s="232">
        <v>40894</v>
      </c>
      <c r="B24" s="243"/>
      <c r="C24" s="244">
        <v>0</v>
      </c>
      <c r="D24" s="244">
        <v>0</v>
      </c>
      <c r="E24" s="244">
        <v>0</v>
      </c>
      <c r="F24" s="244">
        <v>0</v>
      </c>
      <c r="G24" s="244">
        <v>0</v>
      </c>
      <c r="H24" s="245">
        <v>0</v>
      </c>
      <c r="I24" s="243">
        <v>300.03940463066067</v>
      </c>
      <c r="J24" s="244">
        <v>853.79860337575315</v>
      </c>
      <c r="K24" s="244">
        <v>14.126633881529195</v>
      </c>
      <c r="L24" s="234">
        <v>0</v>
      </c>
      <c r="M24" s="244">
        <v>0</v>
      </c>
      <c r="N24" s="245">
        <v>38.684317124883357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239.20182141198507</v>
      </c>
      <c r="V24" s="246">
        <v>0</v>
      </c>
      <c r="W24" s="246">
        <v>30.175113377968444</v>
      </c>
      <c r="X24" s="246">
        <v>0</v>
      </c>
      <c r="Y24" s="250">
        <v>228.02012763023424</v>
      </c>
      <c r="Z24" s="250">
        <v>0</v>
      </c>
      <c r="AA24" s="251">
        <v>0</v>
      </c>
      <c r="AB24" s="252">
        <v>0</v>
      </c>
      <c r="AC24" s="253">
        <v>0</v>
      </c>
      <c r="AD24" s="253">
        <v>11.592701651652641</v>
      </c>
      <c r="AE24" s="252">
        <v>11.499433672416746</v>
      </c>
      <c r="AF24" s="252">
        <v>0</v>
      </c>
      <c r="AG24" s="252">
        <v>1</v>
      </c>
      <c r="AH24" s="253">
        <v>308.05045096079505</v>
      </c>
      <c r="AI24" s="253">
        <v>599.71761522293093</v>
      </c>
      <c r="AJ24" s="253">
        <v>1155.0137829462687</v>
      </c>
      <c r="AK24" s="253">
        <v>744.45533850987749</v>
      </c>
      <c r="AL24" s="253">
        <v>1009.2180793444314</v>
      </c>
      <c r="AM24" s="253">
        <v>2165.9342122395828</v>
      </c>
      <c r="AN24" s="253">
        <v>589.13686164220167</v>
      </c>
      <c r="AO24" s="253">
        <v>2493.0146533966067</v>
      </c>
      <c r="AP24" s="253">
        <v>526.79170910517382</v>
      </c>
      <c r="AQ24" s="253">
        <v>712.19606650670357</v>
      </c>
    </row>
    <row r="25" spans="1:43">
      <c r="A25" s="232">
        <v>40895</v>
      </c>
      <c r="B25" s="243"/>
      <c r="C25" s="244">
        <v>0</v>
      </c>
      <c r="D25" s="244">
        <v>0</v>
      </c>
      <c r="E25" s="244">
        <v>0</v>
      </c>
      <c r="F25" s="244">
        <v>0</v>
      </c>
      <c r="G25" s="244">
        <v>0</v>
      </c>
      <c r="H25" s="245">
        <v>0</v>
      </c>
      <c r="I25" s="243">
        <v>291.5012337366739</v>
      </c>
      <c r="J25" s="244">
        <v>854.69787317911698</v>
      </c>
      <c r="K25" s="244">
        <v>14.215724200010344</v>
      </c>
      <c r="L25" s="234">
        <v>0</v>
      </c>
      <c r="M25" s="244">
        <v>0</v>
      </c>
      <c r="N25" s="245">
        <v>38.546028180420379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244.63882940080103</v>
      </c>
      <c r="V25" s="246">
        <v>0</v>
      </c>
      <c r="W25" s="246">
        <v>30.045490435759191</v>
      </c>
      <c r="X25" s="246">
        <v>0</v>
      </c>
      <c r="Y25" s="250">
        <v>225.06847396691671</v>
      </c>
      <c r="Z25" s="250">
        <v>0</v>
      </c>
      <c r="AA25" s="251">
        <v>0</v>
      </c>
      <c r="AB25" s="252">
        <v>0</v>
      </c>
      <c r="AC25" s="253">
        <v>0</v>
      </c>
      <c r="AD25" s="253">
        <v>11.467390459444792</v>
      </c>
      <c r="AE25" s="252">
        <v>11.315137285970875</v>
      </c>
      <c r="AF25" s="252">
        <v>0</v>
      </c>
      <c r="AG25" s="252">
        <v>1</v>
      </c>
      <c r="AH25" s="253">
        <v>286.48303074836724</v>
      </c>
      <c r="AI25" s="253">
        <v>551.99011734326689</v>
      </c>
      <c r="AJ25" s="253">
        <v>1174.3711229960122</v>
      </c>
      <c r="AK25" s="253">
        <v>749.37555001576766</v>
      </c>
      <c r="AL25" s="253">
        <v>952.49458605448422</v>
      </c>
      <c r="AM25" s="253">
        <v>1876.8155370076499</v>
      </c>
      <c r="AN25" s="253">
        <v>531.84965693155914</v>
      </c>
      <c r="AO25" s="253">
        <v>2385.5249491373702</v>
      </c>
      <c r="AP25" s="253">
        <v>500.7795570055643</v>
      </c>
      <c r="AQ25" s="253">
        <v>726.63056157430026</v>
      </c>
    </row>
    <row r="26" spans="1:43">
      <c r="A26" s="232">
        <v>40896</v>
      </c>
      <c r="B26" s="243"/>
      <c r="C26" s="244">
        <v>0</v>
      </c>
      <c r="D26" s="244">
        <v>0</v>
      </c>
      <c r="E26" s="244">
        <v>0</v>
      </c>
      <c r="F26" s="244">
        <v>0</v>
      </c>
      <c r="G26" s="244">
        <v>0</v>
      </c>
      <c r="H26" s="245">
        <v>0</v>
      </c>
      <c r="I26" s="243">
        <v>295.38732512791927</v>
      </c>
      <c r="J26" s="244">
        <v>861.66749858856087</v>
      </c>
      <c r="K26" s="244">
        <v>14.263910525043823</v>
      </c>
      <c r="L26" s="234">
        <v>0</v>
      </c>
      <c r="M26" s="244">
        <v>0</v>
      </c>
      <c r="N26" s="245">
        <v>39.670815107226368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249.31238025029708</v>
      </c>
      <c r="V26" s="246">
        <v>0</v>
      </c>
      <c r="W26" s="246">
        <v>30.509743762016296</v>
      </c>
      <c r="X26" s="246">
        <v>0</v>
      </c>
      <c r="Y26" s="250">
        <v>232.8693378448493</v>
      </c>
      <c r="Z26" s="250">
        <v>0</v>
      </c>
      <c r="AA26" s="251">
        <v>0</v>
      </c>
      <c r="AB26" s="252">
        <v>0</v>
      </c>
      <c r="AC26" s="253">
        <v>0</v>
      </c>
      <c r="AD26" s="253">
        <v>11.70882631010479</v>
      </c>
      <c r="AE26" s="252">
        <v>11.498443132344295</v>
      </c>
      <c r="AF26" s="252">
        <v>0</v>
      </c>
      <c r="AG26" s="252">
        <v>1</v>
      </c>
      <c r="AH26" s="253">
        <v>213.91929705937702</v>
      </c>
      <c r="AI26" s="253">
        <v>524.2309776147207</v>
      </c>
      <c r="AJ26" s="253">
        <v>1118.9257182439167</v>
      </c>
      <c r="AK26" s="253">
        <v>777.06835358937576</v>
      </c>
      <c r="AL26" s="253">
        <v>1080.177039972941</v>
      </c>
      <c r="AM26" s="253">
        <v>2054.1524513244626</v>
      </c>
      <c r="AN26" s="253">
        <v>574.43532727559398</v>
      </c>
      <c r="AO26" s="253">
        <v>2481.0609986623131</v>
      </c>
      <c r="AP26" s="253">
        <v>556.2783532937367</v>
      </c>
      <c r="AQ26" s="253">
        <v>772.6671472867331</v>
      </c>
    </row>
    <row r="27" spans="1:43">
      <c r="A27" s="232">
        <v>40897</v>
      </c>
      <c r="B27" s="243"/>
      <c r="C27" s="244">
        <v>0</v>
      </c>
      <c r="D27" s="244">
        <v>0</v>
      </c>
      <c r="E27" s="244">
        <v>0</v>
      </c>
      <c r="F27" s="244">
        <v>0</v>
      </c>
      <c r="G27" s="244">
        <v>0</v>
      </c>
      <c r="H27" s="245">
        <v>0</v>
      </c>
      <c r="I27" s="243">
        <v>290.12392942110688</v>
      </c>
      <c r="J27" s="244">
        <v>854.29520975748653</v>
      </c>
      <c r="K27" s="244">
        <v>14.635287248094892</v>
      </c>
      <c r="L27" s="234">
        <v>0</v>
      </c>
      <c r="M27" s="244">
        <v>0</v>
      </c>
      <c r="N27" s="245">
        <v>37.872975981732239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239.18415816625216</v>
      </c>
      <c r="V27" s="246">
        <v>0</v>
      </c>
      <c r="W27" s="246">
        <v>29.305633178353293</v>
      </c>
      <c r="X27" s="246">
        <v>0</v>
      </c>
      <c r="Y27" s="246">
        <v>221.26682252883921</v>
      </c>
      <c r="Z27" s="246">
        <v>0</v>
      </c>
      <c r="AA27" s="256">
        <v>0</v>
      </c>
      <c r="AB27" s="253">
        <v>0</v>
      </c>
      <c r="AC27" s="253">
        <v>0</v>
      </c>
      <c r="AD27" s="253">
        <v>11.221918034222385</v>
      </c>
      <c r="AE27" s="253">
        <v>11.002485526615633</v>
      </c>
      <c r="AF27" s="253">
        <v>0</v>
      </c>
      <c r="AG27" s="253">
        <v>1</v>
      </c>
      <c r="AH27" s="253">
        <v>229.44997711976373</v>
      </c>
      <c r="AI27" s="253">
        <v>539.02804665565486</v>
      </c>
      <c r="AJ27" s="253">
        <v>1163.9185875574747</v>
      </c>
      <c r="AK27" s="253">
        <v>769.02233546574905</v>
      </c>
      <c r="AL27" s="253">
        <v>1087.2158353805544</v>
      </c>
      <c r="AM27" s="253">
        <v>2149.5106315612788</v>
      </c>
      <c r="AN27" s="253">
        <v>596.52049272855129</v>
      </c>
      <c r="AO27" s="253">
        <v>2486.1335391998291</v>
      </c>
      <c r="AP27" s="253">
        <v>563.19966519673665</v>
      </c>
      <c r="AQ27" s="253">
        <v>787.15870183308903</v>
      </c>
    </row>
    <row r="28" spans="1:43">
      <c r="A28" s="232">
        <v>40898</v>
      </c>
      <c r="B28" s="243"/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5">
        <v>0</v>
      </c>
      <c r="I28" s="243">
        <v>284.04695049921634</v>
      </c>
      <c r="J28" s="244">
        <v>850.52496172586962</v>
      </c>
      <c r="K28" s="244">
        <v>14.701715642213808</v>
      </c>
      <c r="L28" s="234">
        <v>0</v>
      </c>
      <c r="M28" s="244">
        <v>0</v>
      </c>
      <c r="N28" s="245">
        <v>38.581808016200881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251.23652996487306</v>
      </c>
      <c r="V28" s="246">
        <v>0</v>
      </c>
      <c r="W28" s="246">
        <v>32.229082419474885</v>
      </c>
      <c r="X28" s="246">
        <v>0</v>
      </c>
      <c r="Y28" s="250">
        <v>232.03223721186359</v>
      </c>
      <c r="Z28" s="250">
        <v>0</v>
      </c>
      <c r="AA28" s="251">
        <v>0</v>
      </c>
      <c r="AB28" s="252">
        <v>0</v>
      </c>
      <c r="AC28" s="253">
        <v>0</v>
      </c>
      <c r="AD28" s="253">
        <v>11.716043677594925</v>
      </c>
      <c r="AE28" s="252">
        <v>11.500204608528266</v>
      </c>
      <c r="AF28" s="252">
        <v>0</v>
      </c>
      <c r="AG28" s="252">
        <v>1</v>
      </c>
      <c r="AH28" s="253">
        <v>227.50971702734628</v>
      </c>
      <c r="AI28" s="253">
        <v>540.11606693267811</v>
      </c>
      <c r="AJ28" s="253">
        <v>1109.3293744405109</v>
      </c>
      <c r="AK28" s="253">
        <v>762.09777520497653</v>
      </c>
      <c r="AL28" s="253">
        <v>1090.7197907447814</v>
      </c>
      <c r="AM28" s="253">
        <v>2122.9917036692309</v>
      </c>
      <c r="AN28" s="253">
        <v>614.08533074061063</v>
      </c>
      <c r="AO28" s="253">
        <v>2492.9394682566326</v>
      </c>
      <c r="AP28" s="253">
        <v>559.00986474355068</v>
      </c>
      <c r="AQ28" s="253">
        <v>808.50376399358106</v>
      </c>
    </row>
    <row r="29" spans="1:43">
      <c r="A29" s="232">
        <v>40899</v>
      </c>
      <c r="B29" s="243"/>
      <c r="C29" s="244">
        <v>0</v>
      </c>
      <c r="D29" s="244">
        <v>0</v>
      </c>
      <c r="E29" s="244">
        <v>0</v>
      </c>
      <c r="F29" s="244">
        <v>0</v>
      </c>
      <c r="G29" s="244">
        <v>0</v>
      </c>
      <c r="H29" s="245">
        <v>0</v>
      </c>
      <c r="I29" s="243">
        <v>278.92983436584529</v>
      </c>
      <c r="J29" s="244">
        <v>830.27670733133914</v>
      </c>
      <c r="K29" s="244">
        <v>14.257457498709389</v>
      </c>
      <c r="L29" s="234">
        <v>0</v>
      </c>
      <c r="M29" s="244">
        <v>0</v>
      </c>
      <c r="N29" s="245">
        <v>38.780480193098377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243.04207117293234</v>
      </c>
      <c r="V29" s="246">
        <v>0</v>
      </c>
      <c r="W29" s="246">
        <v>31.140340558687882</v>
      </c>
      <c r="X29" s="246">
        <v>0</v>
      </c>
      <c r="Y29" s="250">
        <v>222.53922330538407</v>
      </c>
      <c r="Z29" s="250">
        <v>0</v>
      </c>
      <c r="AA29" s="251">
        <v>0</v>
      </c>
      <c r="AB29" s="252">
        <v>0</v>
      </c>
      <c r="AC29" s="253">
        <v>0</v>
      </c>
      <c r="AD29" s="253">
        <v>11.369159362713466</v>
      </c>
      <c r="AE29" s="252">
        <v>11.156095945774666</v>
      </c>
      <c r="AF29" s="252">
        <v>0</v>
      </c>
      <c r="AG29" s="252">
        <v>1</v>
      </c>
      <c r="AH29" s="253">
        <v>252.0805706818899</v>
      </c>
      <c r="AI29" s="253">
        <v>600.78835597038267</v>
      </c>
      <c r="AJ29" s="253">
        <v>1118.9934774398803</v>
      </c>
      <c r="AK29" s="253">
        <v>801.479466279348</v>
      </c>
      <c r="AL29" s="253">
        <v>1197.9880612691243</v>
      </c>
      <c r="AM29" s="253">
        <v>2253.9992669423432</v>
      </c>
      <c r="AN29" s="253">
        <v>649.32874452273052</v>
      </c>
      <c r="AO29" s="253">
        <v>2465.4598621368409</v>
      </c>
      <c r="AP29" s="253">
        <v>587.73912935256965</v>
      </c>
      <c r="AQ29" s="253">
        <v>768.29375305175779</v>
      </c>
    </row>
    <row r="30" spans="1:43">
      <c r="A30" s="232">
        <v>40900</v>
      </c>
      <c r="B30" s="243"/>
      <c r="C30" s="244">
        <v>0</v>
      </c>
      <c r="D30" s="244">
        <v>0</v>
      </c>
      <c r="E30" s="244">
        <v>0</v>
      </c>
      <c r="F30" s="244">
        <v>0</v>
      </c>
      <c r="G30" s="244">
        <v>0</v>
      </c>
      <c r="H30" s="245">
        <v>0</v>
      </c>
      <c r="I30" s="243">
        <v>277.90518959363277</v>
      </c>
      <c r="J30" s="244">
        <v>815.64590078989772</v>
      </c>
      <c r="K30" s="244">
        <v>14.007369423906018</v>
      </c>
      <c r="L30" s="234">
        <v>0</v>
      </c>
      <c r="M30" s="244">
        <v>0</v>
      </c>
      <c r="N30" s="245">
        <v>37.57541603495671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235.64607976277185</v>
      </c>
      <c r="V30" s="246">
        <v>0</v>
      </c>
      <c r="W30" s="246">
        <v>30.088473274310449</v>
      </c>
      <c r="X30" s="246">
        <v>0</v>
      </c>
      <c r="Y30" s="250">
        <v>219.00949953397148</v>
      </c>
      <c r="Z30" s="250">
        <v>0</v>
      </c>
      <c r="AA30" s="251">
        <v>0</v>
      </c>
      <c r="AB30" s="252">
        <v>0</v>
      </c>
      <c r="AC30" s="253">
        <v>0</v>
      </c>
      <c r="AD30" s="253">
        <v>11.200812859005403</v>
      </c>
      <c r="AE30" s="252">
        <v>10.999887056132534</v>
      </c>
      <c r="AF30" s="252">
        <v>0</v>
      </c>
      <c r="AG30" s="252">
        <v>1</v>
      </c>
      <c r="AH30" s="253">
        <v>267.16402994791673</v>
      </c>
      <c r="AI30" s="253">
        <v>610.7602821350099</v>
      </c>
      <c r="AJ30" s="253">
        <v>1184.4284851074217</v>
      </c>
      <c r="AK30" s="253">
        <v>797.24803234736123</v>
      </c>
      <c r="AL30" s="253">
        <v>1205.1687055587768</v>
      </c>
      <c r="AM30" s="253">
        <v>2168.5805089314781</v>
      </c>
      <c r="AN30" s="253">
        <v>651.8302517255147</v>
      </c>
      <c r="AO30" s="253">
        <v>2415.8673830668131</v>
      </c>
      <c r="AP30" s="253">
        <v>588.11309623718262</v>
      </c>
      <c r="AQ30" s="253">
        <v>753.14548463821404</v>
      </c>
    </row>
    <row r="31" spans="1:43">
      <c r="A31" s="232">
        <v>40901</v>
      </c>
      <c r="B31" s="243"/>
      <c r="C31" s="244">
        <v>0</v>
      </c>
      <c r="D31" s="244">
        <v>0</v>
      </c>
      <c r="E31" s="244">
        <v>0</v>
      </c>
      <c r="F31" s="244">
        <v>0</v>
      </c>
      <c r="G31" s="244">
        <v>0</v>
      </c>
      <c r="H31" s="245">
        <v>0</v>
      </c>
      <c r="I31" s="243">
        <v>274.42757342656466</v>
      </c>
      <c r="J31" s="244">
        <v>817.86595999399833</v>
      </c>
      <c r="K31" s="244">
        <v>14.014104092121137</v>
      </c>
      <c r="L31" s="234">
        <v>0</v>
      </c>
      <c r="M31" s="244">
        <v>0</v>
      </c>
      <c r="N31" s="245">
        <v>38.061674624681416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226.44515198071363</v>
      </c>
      <c r="V31" s="246">
        <v>0</v>
      </c>
      <c r="W31" s="246">
        <v>26.747045425573983</v>
      </c>
      <c r="X31" s="246">
        <v>0</v>
      </c>
      <c r="Y31" s="250">
        <v>214.25674194494937</v>
      </c>
      <c r="Z31" s="250">
        <v>0</v>
      </c>
      <c r="AA31" s="251">
        <v>0</v>
      </c>
      <c r="AB31" s="252">
        <v>0</v>
      </c>
      <c r="AC31" s="253">
        <v>0</v>
      </c>
      <c r="AD31" s="253">
        <v>10.791996778382181</v>
      </c>
      <c r="AE31" s="252">
        <v>10.637223398170761</v>
      </c>
      <c r="AF31" s="252">
        <v>0</v>
      </c>
      <c r="AG31" s="252">
        <v>1</v>
      </c>
      <c r="AH31" s="253">
        <v>235.65795907179512</v>
      </c>
      <c r="AI31" s="253">
        <v>546.66058217684406</v>
      </c>
      <c r="AJ31" s="253">
        <v>1157.5448347727458</v>
      </c>
      <c r="AK31" s="253">
        <v>764.70386549631746</v>
      </c>
      <c r="AL31" s="253">
        <v>1128.1895433425905</v>
      </c>
      <c r="AM31" s="253">
        <v>1972.2955336252849</v>
      </c>
      <c r="AN31" s="253">
        <v>595.04671969413755</v>
      </c>
      <c r="AO31" s="253">
        <v>2398.6711179097497</v>
      </c>
      <c r="AP31" s="253">
        <v>554.05670550664274</v>
      </c>
      <c r="AQ31" s="253">
        <v>742.98435935974101</v>
      </c>
    </row>
    <row r="32" spans="1:43">
      <c r="A32" s="232">
        <v>40902</v>
      </c>
      <c r="B32" s="243"/>
      <c r="C32" s="244">
        <v>0</v>
      </c>
      <c r="D32" s="244">
        <v>0</v>
      </c>
      <c r="E32" s="244">
        <v>0</v>
      </c>
      <c r="F32" s="244">
        <v>0</v>
      </c>
      <c r="G32" s="244">
        <v>0</v>
      </c>
      <c r="H32" s="245">
        <v>0</v>
      </c>
      <c r="I32" s="243">
        <v>261.71868530909234</v>
      </c>
      <c r="J32" s="244">
        <v>811.9727422078422</v>
      </c>
      <c r="K32" s="244">
        <v>14.002571635444973</v>
      </c>
      <c r="L32" s="234">
        <v>0</v>
      </c>
      <c r="M32" s="244">
        <v>0</v>
      </c>
      <c r="N32" s="245">
        <v>39.006086532274843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233.31527351803169</v>
      </c>
      <c r="V32" s="246">
        <v>0</v>
      </c>
      <c r="W32" s="246">
        <v>28.641556171576209</v>
      </c>
      <c r="X32" s="246">
        <v>0</v>
      </c>
      <c r="Y32" s="250">
        <v>220.31671512921656</v>
      </c>
      <c r="Z32" s="250">
        <v>0</v>
      </c>
      <c r="AA32" s="251">
        <v>0</v>
      </c>
      <c r="AB32" s="252">
        <v>0</v>
      </c>
      <c r="AC32" s="253">
        <v>0</v>
      </c>
      <c r="AD32" s="253">
        <v>11.099637158049452</v>
      </c>
      <c r="AE32" s="252">
        <v>10.998901655603255</v>
      </c>
      <c r="AF32" s="252">
        <v>0</v>
      </c>
      <c r="AG32" s="252">
        <v>1</v>
      </c>
      <c r="AH32" s="253">
        <v>229.08376195430756</v>
      </c>
      <c r="AI32" s="253">
        <v>536.3650001049042</v>
      </c>
      <c r="AJ32" s="253">
        <v>1169.0314802169798</v>
      </c>
      <c r="AK32" s="253">
        <v>761.12774387995387</v>
      </c>
      <c r="AL32" s="253">
        <v>1111.411251227061</v>
      </c>
      <c r="AM32" s="253">
        <v>1954.6980682373046</v>
      </c>
      <c r="AN32" s="253">
        <v>559.23238067626949</v>
      </c>
      <c r="AO32" s="253">
        <v>2370.5941281636556</v>
      </c>
      <c r="AP32" s="253">
        <v>545.16206747690831</v>
      </c>
      <c r="AQ32" s="253">
        <v>763.16169633865354</v>
      </c>
    </row>
    <row r="33" spans="1:43">
      <c r="A33" s="232">
        <v>40903</v>
      </c>
      <c r="B33" s="243"/>
      <c r="C33" s="244">
        <v>0</v>
      </c>
      <c r="D33" s="244">
        <v>0</v>
      </c>
      <c r="E33" s="244">
        <v>0</v>
      </c>
      <c r="F33" s="244">
        <v>0</v>
      </c>
      <c r="G33" s="244">
        <v>0</v>
      </c>
      <c r="H33" s="245">
        <v>0</v>
      </c>
      <c r="I33" s="243">
        <v>246.76023022333814</v>
      </c>
      <c r="J33" s="244">
        <v>818.46123790740921</v>
      </c>
      <c r="K33" s="244">
        <v>14.032012726863243</v>
      </c>
      <c r="L33" s="234">
        <v>0</v>
      </c>
      <c r="M33" s="244">
        <v>0</v>
      </c>
      <c r="N33" s="245">
        <v>40.309637066225243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233.26338811450606</v>
      </c>
      <c r="V33" s="246">
        <v>0</v>
      </c>
      <c r="W33" s="246">
        <v>27.929231152931834</v>
      </c>
      <c r="X33" s="246">
        <v>0</v>
      </c>
      <c r="Y33" s="250">
        <v>219.90204682350202</v>
      </c>
      <c r="Z33" s="250">
        <v>0</v>
      </c>
      <c r="AA33" s="251">
        <v>0</v>
      </c>
      <c r="AB33" s="252">
        <v>0</v>
      </c>
      <c r="AC33" s="253">
        <v>0</v>
      </c>
      <c r="AD33" s="253">
        <v>11.097050754891475</v>
      </c>
      <c r="AE33" s="252">
        <v>10.999552869929232</v>
      </c>
      <c r="AF33" s="252">
        <v>0</v>
      </c>
      <c r="AG33" s="252">
        <v>1</v>
      </c>
      <c r="AH33" s="253">
        <v>223.37597145239511</v>
      </c>
      <c r="AI33" s="253">
        <v>529.39056703249616</v>
      </c>
      <c r="AJ33" s="253">
        <v>1170.7733578999839</v>
      </c>
      <c r="AK33" s="253">
        <v>758.17876253128043</v>
      </c>
      <c r="AL33" s="253">
        <v>1088.9926895459496</v>
      </c>
      <c r="AM33" s="253">
        <v>1824.7757185618082</v>
      </c>
      <c r="AN33" s="253">
        <v>541.80534548759454</v>
      </c>
      <c r="AO33" s="253">
        <v>2399.2730751037598</v>
      </c>
      <c r="AP33" s="253">
        <v>513.42309449513755</v>
      </c>
      <c r="AQ33" s="253">
        <v>761.59649588266996</v>
      </c>
    </row>
    <row r="34" spans="1:43">
      <c r="A34" s="232">
        <v>40904</v>
      </c>
      <c r="B34" s="243"/>
      <c r="C34" s="244">
        <v>0</v>
      </c>
      <c r="D34" s="244">
        <v>0</v>
      </c>
      <c r="E34" s="244">
        <v>0</v>
      </c>
      <c r="F34" s="244">
        <v>0</v>
      </c>
      <c r="G34" s="244">
        <v>0</v>
      </c>
      <c r="H34" s="245">
        <v>0</v>
      </c>
      <c r="I34" s="243">
        <v>255.51791048049998</v>
      </c>
      <c r="J34" s="244">
        <v>849.31606470743725</v>
      </c>
      <c r="K34" s="244">
        <v>14.498173077901239</v>
      </c>
      <c r="L34" s="234">
        <v>0</v>
      </c>
      <c r="M34" s="244">
        <v>0</v>
      </c>
      <c r="N34" s="245">
        <v>40.381775496900126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244.68568565580523</v>
      </c>
      <c r="V34" s="246">
        <v>0</v>
      </c>
      <c r="W34" s="246">
        <v>28.745183575153387</v>
      </c>
      <c r="X34" s="246">
        <v>0</v>
      </c>
      <c r="Y34" s="250">
        <v>228.25144699414599</v>
      </c>
      <c r="Z34" s="250">
        <v>0</v>
      </c>
      <c r="AA34" s="251">
        <v>0</v>
      </c>
      <c r="AB34" s="252">
        <v>0</v>
      </c>
      <c r="AC34" s="253">
        <v>0</v>
      </c>
      <c r="AD34" s="253">
        <v>11.578344553046744</v>
      </c>
      <c r="AE34" s="252">
        <v>11.481570152846427</v>
      </c>
      <c r="AF34" s="252">
        <v>0</v>
      </c>
      <c r="AG34" s="252">
        <v>1</v>
      </c>
      <c r="AH34" s="253">
        <v>227.92909558614096</v>
      </c>
      <c r="AI34" s="253">
        <v>524.90143081347151</v>
      </c>
      <c r="AJ34" s="253">
        <v>1207.2888216654462</v>
      </c>
      <c r="AK34" s="253">
        <v>762.38176431655882</v>
      </c>
      <c r="AL34" s="253">
        <v>1086.5544984817504</v>
      </c>
      <c r="AM34" s="253">
        <v>1893.659513473511</v>
      </c>
      <c r="AN34" s="253">
        <v>562.02491537729918</v>
      </c>
      <c r="AO34" s="253">
        <v>2430.4671651204426</v>
      </c>
      <c r="AP34" s="253">
        <v>556.28611777623507</v>
      </c>
      <c r="AQ34" s="253">
        <v>761.05772107442203</v>
      </c>
    </row>
    <row r="35" spans="1:43">
      <c r="A35" s="232">
        <v>40905</v>
      </c>
      <c r="B35" s="243"/>
      <c r="C35" s="244">
        <v>0</v>
      </c>
      <c r="D35" s="244">
        <v>0</v>
      </c>
      <c r="E35" s="244">
        <v>0</v>
      </c>
      <c r="F35" s="244">
        <v>0</v>
      </c>
      <c r="G35" s="244">
        <v>0</v>
      </c>
      <c r="H35" s="245">
        <v>0</v>
      </c>
      <c r="I35" s="243">
        <v>258.1245825290685</v>
      </c>
      <c r="J35" s="244">
        <v>846.19716002146322</v>
      </c>
      <c r="K35" s="244">
        <v>14.548925843834834</v>
      </c>
      <c r="L35" s="234">
        <v>0</v>
      </c>
      <c r="M35" s="244">
        <v>0</v>
      </c>
      <c r="N35" s="245">
        <v>40.668421253561981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237.8259609010463</v>
      </c>
      <c r="V35" s="246">
        <v>0</v>
      </c>
      <c r="W35" s="246">
        <v>27.19203426241873</v>
      </c>
      <c r="X35" s="246">
        <v>0</v>
      </c>
      <c r="Y35" s="250">
        <v>222.44114220142379</v>
      </c>
      <c r="Z35" s="250">
        <v>0</v>
      </c>
      <c r="AA35" s="251">
        <v>0</v>
      </c>
      <c r="AB35" s="252">
        <v>0</v>
      </c>
      <c r="AC35" s="253">
        <v>0</v>
      </c>
      <c r="AD35" s="253">
        <v>11.267937033706229</v>
      </c>
      <c r="AE35" s="252">
        <v>11.169957599716934</v>
      </c>
      <c r="AF35" s="252">
        <v>0</v>
      </c>
      <c r="AG35" s="252">
        <v>1</v>
      </c>
      <c r="AH35" s="253">
        <v>223.33637353579206</v>
      </c>
      <c r="AI35" s="253">
        <v>501.21878560384118</v>
      </c>
      <c r="AJ35" s="253">
        <v>1247.3090998331704</v>
      </c>
      <c r="AK35" s="253">
        <v>753.86590534845982</v>
      </c>
      <c r="AL35" s="253">
        <v>1061.8671886126201</v>
      </c>
      <c r="AM35" s="253">
        <v>1965.007130559286</v>
      </c>
      <c r="AN35" s="253">
        <v>571.9659682273865</v>
      </c>
      <c r="AO35" s="253">
        <v>2358.4877114613851</v>
      </c>
      <c r="AP35" s="253">
        <v>563.71766780217479</v>
      </c>
      <c r="AQ35" s="253">
        <v>802.09258101781222</v>
      </c>
    </row>
    <row r="36" spans="1:43">
      <c r="A36" s="232">
        <v>40906</v>
      </c>
      <c r="B36" s="243"/>
      <c r="C36" s="244">
        <v>0</v>
      </c>
      <c r="D36" s="244">
        <v>0</v>
      </c>
      <c r="E36" s="244">
        <v>0</v>
      </c>
      <c r="F36" s="244">
        <v>0</v>
      </c>
      <c r="G36" s="244">
        <v>0</v>
      </c>
      <c r="H36" s="245">
        <v>0</v>
      </c>
      <c r="I36" s="243">
        <v>255.47345121701613</v>
      </c>
      <c r="J36" s="244">
        <v>823.47965145111141</v>
      </c>
      <c r="K36" s="244">
        <v>14.568568067749354</v>
      </c>
      <c r="L36" s="234">
        <v>0</v>
      </c>
      <c r="M36" s="244">
        <v>0</v>
      </c>
      <c r="N36" s="245">
        <v>40.606471357246257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245.72714383866517</v>
      </c>
      <c r="V36" s="246">
        <v>0</v>
      </c>
      <c r="W36" s="246">
        <v>28.4170894881089</v>
      </c>
      <c r="X36" s="246">
        <v>0</v>
      </c>
      <c r="Y36" s="250">
        <v>243.393559193611</v>
      </c>
      <c r="Z36" s="250">
        <v>0</v>
      </c>
      <c r="AA36" s="251">
        <v>0</v>
      </c>
      <c r="AB36" s="252">
        <v>0</v>
      </c>
      <c r="AC36" s="253">
        <v>0</v>
      </c>
      <c r="AD36" s="253">
        <v>11.595033849610223</v>
      </c>
      <c r="AE36" s="252">
        <v>11.499132541647915</v>
      </c>
      <c r="AF36" s="252">
        <v>0</v>
      </c>
      <c r="AG36" s="252">
        <v>1</v>
      </c>
      <c r="AH36" s="253">
        <v>214.58184752464297</v>
      </c>
      <c r="AI36" s="253">
        <v>485.94240786234542</v>
      </c>
      <c r="AJ36" s="253">
        <v>1242.9816968282064</v>
      </c>
      <c r="AK36" s="253">
        <v>760.84619073867782</v>
      </c>
      <c r="AL36" s="253">
        <v>1023.3064133644103</v>
      </c>
      <c r="AM36" s="253">
        <v>1896.1376927693686</v>
      </c>
      <c r="AN36" s="253">
        <v>576.93365271886182</v>
      </c>
      <c r="AO36" s="253">
        <v>2460.4604602813729</v>
      </c>
      <c r="AP36" s="253">
        <v>548.20691150029506</v>
      </c>
      <c r="AQ36" s="253">
        <v>832.1873799641927</v>
      </c>
    </row>
    <row r="37" spans="1:43">
      <c r="A37" s="232">
        <v>40907</v>
      </c>
      <c r="B37" s="243"/>
      <c r="C37" s="244">
        <v>0</v>
      </c>
      <c r="D37" s="244">
        <v>0</v>
      </c>
      <c r="E37" s="244">
        <v>0</v>
      </c>
      <c r="F37" s="244">
        <v>0</v>
      </c>
      <c r="G37" s="244">
        <v>0</v>
      </c>
      <c r="H37" s="245">
        <v>0</v>
      </c>
      <c r="I37" s="243">
        <v>251.27225391070084</v>
      </c>
      <c r="J37" s="244">
        <v>801.18537648518884</v>
      </c>
      <c r="K37" s="244">
        <v>14.502301932374653</v>
      </c>
      <c r="L37" s="244">
        <v>0</v>
      </c>
      <c r="M37" s="244">
        <v>0</v>
      </c>
      <c r="N37" s="245">
        <v>41.413270887235818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240.34820259411993</v>
      </c>
      <c r="V37" s="246">
        <v>0</v>
      </c>
      <c r="W37" s="246">
        <v>27.512857824563977</v>
      </c>
      <c r="X37" s="246">
        <v>0</v>
      </c>
      <c r="Y37" s="250">
        <v>235.42969200611103</v>
      </c>
      <c r="Z37" s="250">
        <v>0</v>
      </c>
      <c r="AA37" s="251">
        <v>0</v>
      </c>
      <c r="AB37" s="252">
        <v>0</v>
      </c>
      <c r="AC37" s="253">
        <v>0</v>
      </c>
      <c r="AD37" s="253">
        <v>11.39205395380656</v>
      </c>
      <c r="AE37" s="252">
        <v>11.258793501699246</v>
      </c>
      <c r="AF37" s="252">
        <v>0</v>
      </c>
      <c r="AG37" s="252">
        <v>1</v>
      </c>
      <c r="AH37" s="253">
        <v>209.43792573610941</v>
      </c>
      <c r="AI37" s="253">
        <v>488.26257942517606</v>
      </c>
      <c r="AJ37" s="253">
        <v>1229.9093372344969</v>
      </c>
      <c r="AK37" s="253">
        <v>750.65950740178425</v>
      </c>
      <c r="AL37" s="253">
        <v>1017.1384522120161</v>
      </c>
      <c r="AM37" s="253">
        <v>1891.9103023529053</v>
      </c>
      <c r="AN37" s="253">
        <v>564.83910436630242</v>
      </c>
      <c r="AO37" s="253">
        <v>2418.2062145233153</v>
      </c>
      <c r="AP37" s="253">
        <v>552.52722930908203</v>
      </c>
      <c r="AQ37" s="253">
        <v>794.02927611668906</v>
      </c>
    </row>
    <row r="38" spans="1:43" ht="15.75" thickBot="1">
      <c r="A38" s="232">
        <v>40908</v>
      </c>
      <c r="B38" s="257"/>
      <c r="C38" s="258">
        <v>0</v>
      </c>
      <c r="D38" s="258">
        <v>0</v>
      </c>
      <c r="E38" s="258">
        <v>0</v>
      </c>
      <c r="F38" s="258">
        <v>0</v>
      </c>
      <c r="G38" s="258">
        <v>0</v>
      </c>
      <c r="H38" s="259">
        <v>0</v>
      </c>
      <c r="I38" s="260">
        <v>249.82200892766403</v>
      </c>
      <c r="J38" s="258">
        <v>854.81251481374102</v>
      </c>
      <c r="K38" s="258">
        <v>14.659252834320087</v>
      </c>
      <c r="L38" s="258">
        <v>0</v>
      </c>
      <c r="M38" s="258">
        <v>0</v>
      </c>
      <c r="N38" s="259">
        <v>40.56467932810385</v>
      </c>
      <c r="O38" s="260">
        <v>0</v>
      </c>
      <c r="P38" s="258">
        <v>0</v>
      </c>
      <c r="Q38" s="258">
        <v>0</v>
      </c>
      <c r="R38" s="261">
        <v>0</v>
      </c>
      <c r="S38" s="258">
        <v>0</v>
      </c>
      <c r="T38" s="262">
        <v>0</v>
      </c>
      <c r="U38" s="263">
        <v>245.08404457304022</v>
      </c>
      <c r="V38" s="264">
        <v>0</v>
      </c>
      <c r="W38" s="265">
        <v>27.831369729836752</v>
      </c>
      <c r="X38" s="265">
        <v>0</v>
      </c>
      <c r="Y38" s="264">
        <v>234.11465619405143</v>
      </c>
      <c r="Z38" s="264">
        <v>0</v>
      </c>
      <c r="AA38" s="266">
        <v>0</v>
      </c>
      <c r="AB38" s="267">
        <v>0</v>
      </c>
      <c r="AC38" s="268">
        <v>0</v>
      </c>
      <c r="AD38" s="269">
        <v>11.678462427192244</v>
      </c>
      <c r="AE38" s="267">
        <v>11.501264692206046</v>
      </c>
      <c r="AF38" s="267">
        <v>0</v>
      </c>
      <c r="AG38" s="267">
        <v>1</v>
      </c>
      <c r="AH38" s="268">
        <v>226.31518383026119</v>
      </c>
      <c r="AI38" s="268">
        <v>526.96239713033049</v>
      </c>
      <c r="AJ38" s="268">
        <v>1214.8395266215005</v>
      </c>
      <c r="AK38" s="268">
        <v>758.63028154373171</v>
      </c>
      <c r="AL38" s="268">
        <v>1083.3075691541035</v>
      </c>
      <c r="AM38" s="268">
        <v>1872.3071791330972</v>
      </c>
      <c r="AN38" s="268">
        <v>589.9030886491139</v>
      </c>
      <c r="AO38" s="268">
        <v>2457.3672958374027</v>
      </c>
      <c r="AP38" s="268">
        <v>576.8962263743083</v>
      </c>
      <c r="AQ38" s="268">
        <v>736.5139716148376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0">SUM(C8:C38)</f>
        <v>0</v>
      </c>
      <c r="D39" s="272">
        <f t="shared" si="0"/>
        <v>0</v>
      </c>
      <c r="E39" s="272">
        <f t="shared" si="0"/>
        <v>0</v>
      </c>
      <c r="F39" s="272">
        <f t="shared" si="0"/>
        <v>0</v>
      </c>
      <c r="G39" s="272">
        <f t="shared" si="0"/>
        <v>0</v>
      </c>
      <c r="H39" s="273">
        <f t="shared" si="0"/>
        <v>0</v>
      </c>
      <c r="I39" s="271">
        <f t="shared" si="0"/>
        <v>5716.4255614121785</v>
      </c>
      <c r="J39" s="272">
        <f t="shared" si="0"/>
        <v>27352.09069271087</v>
      </c>
      <c r="K39" s="272">
        <f t="shared" si="0"/>
        <v>464.18483012914697</v>
      </c>
      <c r="L39" s="272">
        <f t="shared" si="0"/>
        <v>0</v>
      </c>
      <c r="M39" s="272">
        <f t="shared" si="0"/>
        <v>0</v>
      </c>
      <c r="N39" s="273">
        <f t="shared" si="0"/>
        <v>1227.5604120607177</v>
      </c>
      <c r="O39" s="274">
        <f t="shared" si="0"/>
        <v>0</v>
      </c>
      <c r="P39" s="275">
        <f t="shared" si="0"/>
        <v>0</v>
      </c>
      <c r="Q39" s="275">
        <f t="shared" si="0"/>
        <v>0</v>
      </c>
      <c r="R39" s="275">
        <f t="shared" si="0"/>
        <v>0</v>
      </c>
      <c r="S39" s="275">
        <f t="shared" si="0"/>
        <v>0</v>
      </c>
      <c r="T39" s="276">
        <f t="shared" si="0"/>
        <v>0</v>
      </c>
      <c r="U39" s="274">
        <f t="shared" si="0"/>
        <v>7410.6592691898513</v>
      </c>
      <c r="V39" s="275">
        <f t="shared" si="0"/>
        <v>0</v>
      </c>
      <c r="W39" s="275">
        <f t="shared" si="0"/>
        <v>902.34189398785429</v>
      </c>
      <c r="X39" s="275">
        <f t="shared" si="0"/>
        <v>0</v>
      </c>
      <c r="Y39" s="275">
        <f t="shared" si="0"/>
        <v>7259.4196842749952</v>
      </c>
      <c r="Z39" s="275">
        <f t="shared" si="0"/>
        <v>0</v>
      </c>
      <c r="AA39" s="277">
        <f t="shared" si="0"/>
        <v>0</v>
      </c>
      <c r="AB39" s="278">
        <f t="shared" si="0"/>
        <v>0</v>
      </c>
      <c r="AC39" s="278">
        <f t="shared" si="0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1">SUM(AH8:AH38)</f>
        <v>7578.7760348161064</v>
      </c>
      <c r="AI39" s="278">
        <f t="shared" si="1"/>
        <v>17153.505002816517</v>
      </c>
      <c r="AJ39" s="278">
        <f t="shared" si="1"/>
        <v>35488.986943054202</v>
      </c>
      <c r="AK39" s="278">
        <f t="shared" si="1"/>
        <v>23711.286518987021</v>
      </c>
      <c r="AL39" s="278">
        <f t="shared" si="1"/>
        <v>33833.836045805612</v>
      </c>
      <c r="AM39" s="278">
        <f t="shared" si="1"/>
        <v>66421.158503087354</v>
      </c>
      <c r="AN39" s="278">
        <f t="shared" si="1"/>
        <v>18100.596318817137</v>
      </c>
      <c r="AO39" s="278">
        <f t="shared" si="1"/>
        <v>71428.322379493708</v>
      </c>
      <c r="AP39" s="278">
        <f t="shared" si="1"/>
        <v>16524.674325811862</v>
      </c>
      <c r="AQ39" s="278">
        <f t="shared" si="1"/>
        <v>24036.110612742108</v>
      </c>
    </row>
    <row r="40" spans="1:43" ht="15.75" thickBot="1">
      <c r="A40" s="280" t="s">
        <v>182</v>
      </c>
      <c r="B40" s="281">
        <f>Projection!$AD$30</f>
        <v>0.91139353199999984</v>
      </c>
      <c r="C40" s="282">
        <f>Projection!$AD$28</f>
        <v>1.4375491199999999</v>
      </c>
      <c r="D40" s="282">
        <f>Projection!$AD$31</f>
        <v>2.2090991999999998</v>
      </c>
      <c r="E40" s="282">
        <f>Projection!$AD$26</f>
        <v>3.1224959999999999</v>
      </c>
      <c r="F40" s="282">
        <f>Projection!$AC$23</f>
        <v>5.8379999999999994E-2</v>
      </c>
      <c r="G40" s="282">
        <f>Projection!$AD$24</f>
        <v>4.9500000000000002E-2</v>
      </c>
      <c r="H40" s="283">
        <f>Projection!$AD$29</f>
        <v>3.6371774160000006</v>
      </c>
      <c r="I40" s="281">
        <f>Projection!$AD$30</f>
        <v>0.91139353199999984</v>
      </c>
      <c r="J40" s="282">
        <f>Projection!$AD$28</f>
        <v>1.4375491199999999</v>
      </c>
      <c r="K40" s="282">
        <f>Projection!$AD$26</f>
        <v>3.1224959999999999</v>
      </c>
      <c r="L40" s="282">
        <f>Projection!$AD$25</f>
        <v>0.37613399999999997</v>
      </c>
      <c r="M40" s="282">
        <f>Projection!$AC$23</f>
        <v>5.8379999999999994E-2</v>
      </c>
      <c r="N40" s="283">
        <f>Projection!$AC$23</f>
        <v>5.8379999999999994E-2</v>
      </c>
      <c r="O40" s="284">
        <v>15.77</v>
      </c>
      <c r="P40" s="285">
        <v>15.77</v>
      </c>
      <c r="Q40" s="285">
        <v>15.77</v>
      </c>
      <c r="R40" s="285">
        <v>15.77</v>
      </c>
      <c r="S40" s="285">
        <f>Projection!$AD$28</f>
        <v>1.4375491199999999</v>
      </c>
      <c r="T40" s="286">
        <f>Projection!$AD$28</f>
        <v>1.4375491199999999</v>
      </c>
      <c r="U40" s="284">
        <f>Projection!$AD$27</f>
        <v>0.29749999999999999</v>
      </c>
      <c r="V40" s="285">
        <f>Projection!$AD$27</f>
        <v>0.29749999999999999</v>
      </c>
      <c r="W40" s="285">
        <f>Projection!$AD$22</f>
        <v>1.02</v>
      </c>
      <c r="X40" s="285">
        <f>Projection!$AD$22</f>
        <v>1.02</v>
      </c>
      <c r="Y40" s="285">
        <f>Projection!$AD$31</f>
        <v>2.2090991999999998</v>
      </c>
      <c r="Z40" s="285">
        <f>Projection!$AD$31</f>
        <v>2.2090991999999998</v>
      </c>
      <c r="AA40" s="287">
        <v>0</v>
      </c>
      <c r="AB40" s="288">
        <f>Projection!$AD$27</f>
        <v>0.29749999999999999</v>
      </c>
      <c r="AC40" s="288">
        <f>Projection!$AD$30</f>
        <v>0.91139353199999984</v>
      </c>
      <c r="AD40" s="289">
        <f>SUM(AD8:AD38)</f>
        <v>354.75174867014084</v>
      </c>
      <c r="AE40" s="289">
        <f>SUM(AE8:AE38)</f>
        <v>350.15125136100062</v>
      </c>
      <c r="AF40" s="289">
        <f>SUM(AF8:AF38)</f>
        <v>0</v>
      </c>
      <c r="AG40" s="289">
        <f>IF(SUM(AE40:AF40)&gt;0, AE40/(AE40+AF40), "")</f>
        <v>1</v>
      </c>
      <c r="AH40" s="290">
        <v>7.6999999999999999E-2</v>
      </c>
      <c r="AI40" s="290">
        <f t="shared" ref="AI40:AQ40" si="2">$AH$40</f>
        <v>7.6999999999999999E-2</v>
      </c>
      <c r="AJ40" s="290">
        <f t="shared" si="2"/>
        <v>7.6999999999999999E-2</v>
      </c>
      <c r="AK40" s="290">
        <f t="shared" si="2"/>
        <v>7.6999999999999999E-2</v>
      </c>
      <c r="AL40" s="290">
        <f t="shared" si="2"/>
        <v>7.6999999999999999E-2</v>
      </c>
      <c r="AM40" s="290">
        <f t="shared" si="2"/>
        <v>7.6999999999999999E-2</v>
      </c>
      <c r="AN40" s="290">
        <f t="shared" si="2"/>
        <v>7.6999999999999999E-2</v>
      </c>
      <c r="AO40" s="290">
        <f t="shared" si="2"/>
        <v>7.6999999999999999E-2</v>
      </c>
      <c r="AP40" s="290">
        <f t="shared" si="2"/>
        <v>7.6999999999999999E-2</v>
      </c>
      <c r="AQ40" s="290">
        <f t="shared" si="2"/>
        <v>7.6999999999999999E-2</v>
      </c>
    </row>
    <row r="41" spans="1:43" ht="16.5" thickTop="1" thickBot="1">
      <c r="A41" s="291" t="s">
        <v>26</v>
      </c>
      <c r="B41" s="292">
        <f t="shared" ref="B41:AC41" si="3">B40*B39</f>
        <v>0</v>
      </c>
      <c r="C41" s="293">
        <f t="shared" si="3"/>
        <v>0</v>
      </c>
      <c r="D41" s="293">
        <f t="shared" si="3"/>
        <v>0</v>
      </c>
      <c r="E41" s="293">
        <f t="shared" si="3"/>
        <v>0</v>
      </c>
      <c r="F41" s="293">
        <f t="shared" si="3"/>
        <v>0</v>
      </c>
      <c r="G41" s="293">
        <f t="shared" si="3"/>
        <v>0</v>
      </c>
      <c r="H41" s="294">
        <f t="shared" si="3"/>
        <v>0</v>
      </c>
      <c r="I41" s="292">
        <f t="shared" si="3"/>
        <v>5209.9132828305274</v>
      </c>
      <c r="J41" s="293">
        <f t="shared" si="3"/>
        <v>39319.973905466701</v>
      </c>
      <c r="K41" s="293">
        <f t="shared" si="3"/>
        <v>1449.4152753389408</v>
      </c>
      <c r="L41" s="293">
        <f t="shared" si="3"/>
        <v>0</v>
      </c>
      <c r="M41" s="293">
        <f t="shared" si="3"/>
        <v>0</v>
      </c>
      <c r="N41" s="294">
        <f t="shared" si="3"/>
        <v>71.664976856104687</v>
      </c>
      <c r="O41" s="295">
        <f t="shared" si="3"/>
        <v>0</v>
      </c>
      <c r="P41" s="296">
        <f t="shared" si="3"/>
        <v>0</v>
      </c>
      <c r="Q41" s="296">
        <f t="shared" si="3"/>
        <v>0</v>
      </c>
      <c r="R41" s="296">
        <f t="shared" si="3"/>
        <v>0</v>
      </c>
      <c r="S41" s="296">
        <f t="shared" si="3"/>
        <v>0</v>
      </c>
      <c r="T41" s="297">
        <f t="shared" si="3"/>
        <v>0</v>
      </c>
      <c r="U41" s="295">
        <f t="shared" si="3"/>
        <v>2204.6711325839806</v>
      </c>
      <c r="V41" s="296">
        <f t="shared" si="3"/>
        <v>0</v>
      </c>
      <c r="W41" s="296">
        <f t="shared" si="3"/>
        <v>920.38873186761134</v>
      </c>
      <c r="X41" s="296">
        <f t="shared" si="3"/>
        <v>0</v>
      </c>
      <c r="Y41" s="296">
        <f t="shared" si="3"/>
        <v>16036.778216996143</v>
      </c>
      <c r="Z41" s="296">
        <f t="shared" si="3"/>
        <v>0</v>
      </c>
      <c r="AA41" s="298">
        <f t="shared" si="3"/>
        <v>0</v>
      </c>
      <c r="AB41" s="299">
        <f t="shared" si="3"/>
        <v>0</v>
      </c>
      <c r="AC41" s="299">
        <f t="shared" si="3"/>
        <v>0</v>
      </c>
      <c r="AH41" s="300">
        <f t="shared" ref="AH41:AQ41" si="4">AH40*AH39</f>
        <v>583.5657546808402</v>
      </c>
      <c r="AI41" s="300">
        <f t="shared" si="4"/>
        <v>1320.8198852168719</v>
      </c>
      <c r="AJ41" s="300">
        <f t="shared" si="4"/>
        <v>2732.6519946151734</v>
      </c>
      <c r="AK41" s="300">
        <f t="shared" si="4"/>
        <v>1825.7690619620005</v>
      </c>
      <c r="AL41" s="300">
        <f t="shared" si="4"/>
        <v>2605.2053755270322</v>
      </c>
      <c r="AM41" s="300">
        <f t="shared" si="4"/>
        <v>5114.4292047377257</v>
      </c>
      <c r="AN41" s="300">
        <f t="shared" si="4"/>
        <v>1393.7459165489195</v>
      </c>
      <c r="AO41" s="300">
        <f t="shared" si="4"/>
        <v>5499.9808232210153</v>
      </c>
      <c r="AP41" s="300">
        <f t="shared" si="4"/>
        <v>1272.3999230875133</v>
      </c>
      <c r="AQ41" s="300">
        <f t="shared" si="4"/>
        <v>1850.7805171811424</v>
      </c>
    </row>
    <row r="42" spans="1:43" ht="49.5" customHeight="1" thickTop="1" thickBot="1">
      <c r="A42" s="544" t="s">
        <v>213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2112.31</v>
      </c>
      <c r="AI42" s="300" t="s">
        <v>207</v>
      </c>
      <c r="AJ42" s="300">
        <v>4051.19</v>
      </c>
      <c r="AK42" s="300">
        <v>1844.05</v>
      </c>
      <c r="AL42" s="300">
        <v>3235.6</v>
      </c>
      <c r="AM42" s="300">
        <v>9882.99</v>
      </c>
      <c r="AN42" s="300">
        <v>2586.88</v>
      </c>
      <c r="AO42" s="300" t="s">
        <v>207</v>
      </c>
      <c r="AP42" s="300">
        <v>477.16</v>
      </c>
      <c r="AQ42" s="300">
        <v>995.09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65212.805521940012</v>
      </c>
      <c r="C44" s="309"/>
      <c r="D44" s="307" t="s">
        <v>143</v>
      </c>
      <c r="E44" s="308">
        <f>SUM(B41:H41)+P41+R41+T41+V41+X41+Z41</f>
        <v>0</v>
      </c>
      <c r="F44" s="309"/>
      <c r="G44" s="307" t="s">
        <v>143</v>
      </c>
      <c r="H44" s="308">
        <f>SUM(I41:N41)+O41+Q41+S41+U41+W41+Y41</f>
        <v>65212.805521940012</v>
      </c>
      <c r="I44" s="309"/>
      <c r="J44" s="307" t="s">
        <v>208</v>
      </c>
      <c r="K44" s="308">
        <v>173254.87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24199.348456778233</v>
      </c>
      <c r="C45" s="309"/>
      <c r="D45" s="314" t="s">
        <v>193</v>
      </c>
      <c r="E45" s="315">
        <f>AH41*(1-$AG$40)+AI41+AJ41*0.5+AL41+AM41*(1-$AG$40)+AN41*(1-$AG$40)+AO41*(1-$AG$40)+AP41*0.5+AQ41*0.5</f>
        <v>6853.9414781858177</v>
      </c>
      <c r="F45" s="316"/>
      <c r="G45" s="314" t="s">
        <v>193</v>
      </c>
      <c r="H45" s="315">
        <f>AH41*AG40+AJ41*0.5+AK41+AM41*AG40+AN41*AG40+AO41*AG40+AP41*0.5+AQ41*0.5</f>
        <v>17345.406978592415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902.34189398785429</v>
      </c>
      <c r="U45" s="321">
        <f>(T45*8.34*0.895)/27000</f>
        <v>0.24945742960346448</v>
      </c>
    </row>
    <row r="46" spans="1:43" ht="32.25" thickBot="1">
      <c r="A46" s="322" t="s">
        <v>194</v>
      </c>
      <c r="B46" s="323">
        <f>SUM(AH42:AQ42)</f>
        <v>25185.27</v>
      </c>
      <c r="C46" s="309"/>
      <c r="D46" s="322" t="s">
        <v>194</v>
      </c>
      <c r="E46" s="323">
        <f>AH42*(1-$AG$40)+AJ42*0.5+AL42+AM42*(1-$AG$40)+AN42*(1-$AG$40)+AP42*0.5+AQ42*0.5</f>
        <v>5997.32</v>
      </c>
      <c r="F46" s="324"/>
      <c r="G46" s="322" t="s">
        <v>194</v>
      </c>
      <c r="H46" s="323">
        <f>AH42*AG40+AJ42*0.5+AK42+AM42*AG40+AN42*AG40+AP42*0.5+AQ42*0.5</f>
        <v>19187.95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1227.5604120607177</v>
      </c>
      <c r="U46" s="325">
        <f>(((T46*8.34)*0.005)/(8.34*1.055))/400</f>
        <v>1.4544554645269167E-2</v>
      </c>
    </row>
    <row r="47" spans="1:43" ht="24.75" thickTop="1" thickBot="1">
      <c r="A47" s="322" t="s">
        <v>195</v>
      </c>
      <c r="B47" s="323">
        <f>K44</f>
        <v>173254.87</v>
      </c>
      <c r="C47" s="309"/>
      <c r="D47" s="322" t="s">
        <v>197</v>
      </c>
      <c r="E47" s="323">
        <f>K44*0.5</f>
        <v>86627.434999999998</v>
      </c>
      <c r="F47" s="316"/>
      <c r="G47" s="322" t="s">
        <v>195</v>
      </c>
      <c r="H47" s="323">
        <f>K44*0.5</f>
        <v>86627.434999999998</v>
      </c>
      <c r="I47" s="309"/>
      <c r="J47" s="307" t="s">
        <v>208</v>
      </c>
      <c r="K47" s="308">
        <v>66850.2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0</v>
      </c>
      <c r="U47" s="321">
        <f>T47/40000</f>
        <v>0</v>
      </c>
    </row>
    <row r="48" spans="1:43" ht="24" thickBot="1">
      <c r="A48" s="322" t="s">
        <v>196</v>
      </c>
      <c r="B48" s="323">
        <f>K47</f>
        <v>66850.2</v>
      </c>
      <c r="C48" s="309"/>
      <c r="D48" s="322" t="s">
        <v>196</v>
      </c>
      <c r="E48" s="323">
        <f>K47*0.5</f>
        <v>33425.1</v>
      </c>
      <c r="F48" s="324"/>
      <c r="G48" s="322" t="s">
        <v>196</v>
      </c>
      <c r="H48" s="323">
        <f>K47*0.5</f>
        <v>33425.1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354.75174867014084</v>
      </c>
      <c r="C49" s="309"/>
      <c r="D49" s="327" t="s">
        <v>205</v>
      </c>
      <c r="E49" s="328">
        <f>AF40</f>
        <v>0</v>
      </c>
      <c r="F49" s="324"/>
      <c r="G49" s="327" t="s">
        <v>206</v>
      </c>
      <c r="H49" s="328">
        <f>AE40</f>
        <v>350.15125136100062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464.18483012914697</v>
      </c>
      <c r="U49" s="321">
        <f>(T49*8.34*1.04)/45000</f>
        <v>8.9470078724625979E-2</v>
      </c>
    </row>
    <row r="50" spans="1:25" ht="48" thickTop="1" thickBot="1">
      <c r="A50" s="327" t="s">
        <v>200</v>
      </c>
      <c r="B50" s="329">
        <f>(SUM(B44:B48)/AD40)</f>
        <v>999.86115729772371</v>
      </c>
      <c r="C50" s="309"/>
      <c r="D50" s="327" t="s">
        <v>198</v>
      </c>
      <c r="E50" s="329" t="e">
        <f>SUM(E44:E48)/AF40</f>
        <v>#DIV/0!</v>
      </c>
      <c r="F50" s="324"/>
      <c r="G50" s="327" t="s">
        <v>199</v>
      </c>
      <c r="H50" s="329">
        <f>SUM(H44:H48)/AE40</f>
        <v>633.43682662399317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7410.6592691898513</v>
      </c>
      <c r="U50" s="321">
        <f>T50/2000/8</f>
        <v>0.46316620432436573</v>
      </c>
    </row>
    <row r="51" spans="1:25" ht="48" thickTop="1" thickBot="1">
      <c r="A51" s="330" t="s">
        <v>201</v>
      </c>
      <c r="B51" s="331">
        <f>B50/1000</f>
        <v>0.99986115729772373</v>
      </c>
      <c r="C51" s="309"/>
      <c r="D51" s="330" t="s">
        <v>202</v>
      </c>
      <c r="E51" s="331" t="e">
        <f>E50/1000</f>
        <v>#DIV/0!</v>
      </c>
      <c r="F51" s="309"/>
      <c r="G51" s="330" t="s">
        <v>203</v>
      </c>
      <c r="H51" s="331">
        <f>H50/1000</f>
        <v>0.63343682662399314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27352.09069271087</v>
      </c>
      <c r="U51" s="321">
        <f>(T51*8.34*1.4)/45000</f>
        <v>7.096955798402047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0</v>
      </c>
      <c r="U52" s="321">
        <f>(T52*8.34*1.135)/45000</f>
        <v>0</v>
      </c>
    </row>
    <row r="53" spans="1:25" ht="33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5716.4255614121785</v>
      </c>
      <c r="U53" s="321">
        <f>(T53*8.34*1.029*0.03)/3300</f>
        <v>0.44597785334964279</v>
      </c>
    </row>
    <row r="54" spans="1:25" ht="54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79"/>
      <c r="T54" s="335">
        <f>$D$39+$Y$39+$Z$39</f>
        <v>7259.4196842749952</v>
      </c>
      <c r="U54" s="336">
        <f>(T54*1.54*8.34)/45000</f>
        <v>2.0719351701545405</v>
      </c>
      <c r="V54" s="337"/>
      <c r="W54" s="309"/>
      <c r="X54" s="309"/>
      <c r="Y54" s="309"/>
    </row>
    <row r="55" spans="1:25" ht="15.75" thickTop="1">
      <c r="B55" s="309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38"/>
      <c r="T55" s="537"/>
      <c r="U55" s="537"/>
      <c r="V55" s="339"/>
      <c r="W55" s="340"/>
      <c r="X55" s="341"/>
      <c r="Y55" s="341"/>
    </row>
    <row r="56" spans="1:25"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41"/>
      <c r="T56" s="578"/>
      <c r="U56" s="578"/>
      <c r="V56" s="339"/>
      <c r="W56" s="340"/>
      <c r="X56" s="341"/>
      <c r="Y56" s="341"/>
    </row>
    <row r="57" spans="1:25"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41"/>
      <c r="T57" s="578"/>
      <c r="U57" s="578"/>
      <c r="V57" s="339"/>
      <c r="W57" s="340"/>
      <c r="X57" s="341"/>
      <c r="Y57" s="341"/>
    </row>
    <row r="58" spans="1:25"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41"/>
      <c r="T58" s="578"/>
      <c r="U58" s="578"/>
      <c r="V58" s="339"/>
      <c r="W58" s="340"/>
      <c r="X58" s="341"/>
      <c r="Y58" s="341"/>
    </row>
    <row r="59" spans="1:25"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41"/>
      <c r="T59" s="578"/>
      <c r="U59" s="578"/>
      <c r="V59" s="339"/>
      <c r="W59" s="340"/>
      <c r="X59" s="341"/>
      <c r="Y59" s="341"/>
    </row>
    <row r="60" spans="1:25">
      <c r="S60" s="341"/>
      <c r="T60" s="578"/>
      <c r="U60" s="578"/>
      <c r="V60" s="339"/>
      <c r="W60" s="340"/>
      <c r="X60" s="341"/>
      <c r="Y60" s="341"/>
    </row>
    <row r="61" spans="1:25">
      <c r="S61" s="341"/>
      <c r="T61" s="578"/>
      <c r="U61" s="578"/>
      <c r="V61" s="339"/>
      <c r="W61" s="340"/>
      <c r="X61" s="341"/>
      <c r="Y61" s="341"/>
    </row>
    <row r="62" spans="1:25">
      <c r="S62" s="341"/>
      <c r="T62" s="578"/>
      <c r="U62" s="578"/>
      <c r="V62" s="339"/>
      <c r="W62" s="340"/>
      <c r="X62" s="341"/>
      <c r="Y62" s="341"/>
    </row>
    <row r="63" spans="1:25">
      <c r="S63" s="341"/>
      <c r="T63" s="341"/>
      <c r="U63" s="341"/>
      <c r="V63" s="341"/>
      <c r="W63" s="341"/>
      <c r="X63" s="341"/>
      <c r="Y63" s="341"/>
    </row>
    <row r="64" spans="1:25">
      <c r="S64" s="341"/>
      <c r="T64" s="341"/>
      <c r="U64" s="341"/>
      <c r="V64" s="341"/>
      <c r="W64" s="341"/>
      <c r="X64" s="341"/>
      <c r="Y64" s="341"/>
    </row>
    <row r="65" spans="19:25">
      <c r="S65" s="341"/>
      <c r="T65" s="341"/>
      <c r="U65" s="341"/>
      <c r="V65" s="341"/>
      <c r="W65" s="341"/>
      <c r="X65" s="341"/>
      <c r="Y65" s="341"/>
    </row>
  </sheetData>
  <sheetProtection password="A25B" sheet="1" objects="1" scenario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paperSize="17" scale="2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59"/>
  <sheetViews>
    <sheetView topLeftCell="A31" zoomScaleNormal="100" workbookViewId="0">
      <selection activeCell="G61" sqref="G61"/>
    </sheetView>
  </sheetViews>
  <sheetFormatPr defaultRowHeight="15"/>
  <cols>
    <col min="1" max="1" width="10.140625" customWidth="1"/>
    <col min="2" max="2" width="24.85546875" customWidth="1"/>
    <col min="3" max="3" width="12" bestFit="1" customWidth="1"/>
    <col min="4" max="5" width="11.4257812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4" width="8.7109375" customWidth="1"/>
  </cols>
  <sheetData>
    <row r="1" spans="1:34" ht="28.5" customHeight="1" thickTop="1" thickBot="1">
      <c r="A1" s="371">
        <v>2011</v>
      </c>
      <c r="B1" s="372"/>
      <c r="C1" s="375" t="s">
        <v>97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7"/>
      <c r="W1" s="377"/>
      <c r="X1" s="377"/>
      <c r="Y1" s="377"/>
      <c r="Z1" s="377"/>
      <c r="AA1" s="377"/>
      <c r="AB1" s="377"/>
      <c r="AC1" s="376"/>
      <c r="AD1" s="376"/>
      <c r="AE1" s="376"/>
      <c r="AF1" s="376"/>
      <c r="AG1" s="376"/>
      <c r="AH1" s="378"/>
    </row>
    <row r="2" spans="1:34" ht="28.5" customHeight="1" thickTop="1" thickBot="1">
      <c r="A2" s="379"/>
      <c r="B2" s="380"/>
      <c r="C2" s="386" t="s">
        <v>74</v>
      </c>
      <c r="D2" s="387"/>
      <c r="E2" s="387"/>
      <c r="F2" s="387"/>
      <c r="G2" s="387"/>
      <c r="H2" s="387"/>
      <c r="I2" s="388"/>
      <c r="J2" s="389" t="s">
        <v>79</v>
      </c>
      <c r="K2" s="390"/>
      <c r="L2" s="390"/>
      <c r="M2" s="390"/>
      <c r="N2" s="390"/>
      <c r="O2" s="391"/>
      <c r="P2" s="392" t="s">
        <v>81</v>
      </c>
      <c r="Q2" s="393"/>
      <c r="R2" s="393"/>
      <c r="S2" s="393"/>
      <c r="T2" s="393"/>
      <c r="U2" s="394"/>
      <c r="V2" s="395" t="s">
        <v>90</v>
      </c>
      <c r="W2" s="396"/>
      <c r="X2" s="396"/>
      <c r="Y2" s="396"/>
      <c r="Z2" s="396"/>
      <c r="AA2" s="396"/>
      <c r="AB2" s="397"/>
      <c r="AC2" s="398" t="s">
        <v>91</v>
      </c>
      <c r="AD2" s="399"/>
      <c r="AE2" s="383" t="s">
        <v>93</v>
      </c>
      <c r="AF2" s="384"/>
      <c r="AG2" s="384"/>
      <c r="AH2" s="385"/>
    </row>
    <row r="3" spans="1:34" ht="119.25" customHeight="1" thickBot="1">
      <c r="A3" s="381"/>
      <c r="B3" s="382"/>
      <c r="C3" s="142" t="s">
        <v>75</v>
      </c>
      <c r="D3" s="142" t="s">
        <v>76</v>
      </c>
      <c r="E3" s="142" t="s">
        <v>11</v>
      </c>
      <c r="F3" s="142" t="s">
        <v>12</v>
      </c>
      <c r="G3" s="142" t="s">
        <v>13</v>
      </c>
      <c r="H3" s="142" t="s">
        <v>77</v>
      </c>
      <c r="I3" s="143" t="s">
        <v>78</v>
      </c>
      <c r="J3" s="144" t="s">
        <v>75</v>
      </c>
      <c r="K3" s="144" t="s">
        <v>80</v>
      </c>
      <c r="L3" s="145" t="s">
        <v>17</v>
      </c>
      <c r="M3" s="144" t="s">
        <v>18</v>
      </c>
      <c r="N3" s="144" t="s">
        <v>19</v>
      </c>
      <c r="O3" s="144" t="s">
        <v>13</v>
      </c>
      <c r="P3" s="146" t="s">
        <v>35</v>
      </c>
      <c r="Q3" s="147" t="s">
        <v>36</v>
      </c>
      <c r="R3" s="146" t="s">
        <v>82</v>
      </c>
      <c r="S3" s="146" t="s">
        <v>83</v>
      </c>
      <c r="T3" s="146" t="s">
        <v>84</v>
      </c>
      <c r="U3" s="146" t="s">
        <v>85</v>
      </c>
      <c r="V3" s="148" t="s">
        <v>86</v>
      </c>
      <c r="W3" s="148" t="s">
        <v>87</v>
      </c>
      <c r="X3" s="148" t="s">
        <v>88</v>
      </c>
      <c r="Y3" s="148" t="s">
        <v>89</v>
      </c>
      <c r="Z3" s="148" t="s">
        <v>45</v>
      </c>
      <c r="AA3" s="148" t="s">
        <v>46</v>
      </c>
      <c r="AB3" s="148" t="s">
        <v>20</v>
      </c>
      <c r="AC3" s="149" t="s">
        <v>7</v>
      </c>
      <c r="AD3" s="150" t="s">
        <v>92</v>
      </c>
      <c r="AE3" s="151" t="s">
        <v>27</v>
      </c>
      <c r="AF3" s="151" t="s">
        <v>31</v>
      </c>
      <c r="AG3" s="151" t="s">
        <v>32</v>
      </c>
      <c r="AH3" s="152" t="s">
        <v>33</v>
      </c>
    </row>
    <row r="4" spans="1:34" ht="15.75" customHeight="1" thickTop="1">
      <c r="A4" s="368" t="s">
        <v>94</v>
      </c>
      <c r="B4" s="2" t="s">
        <v>60</v>
      </c>
      <c r="C4" s="14">
        <f>JANUARY!B39</f>
        <v>0</v>
      </c>
      <c r="D4" s="14">
        <f>JANUARY!C39</f>
        <v>338.89775005579037</v>
      </c>
      <c r="E4" s="14">
        <f>JANUARY!D39</f>
        <v>2346.38635673523</v>
      </c>
      <c r="F4" s="14">
        <f>JANUARY!E39</f>
        <v>28.325512732068674</v>
      </c>
      <c r="G4" s="14">
        <f>JANUARY!F39</f>
        <v>13.17323693782091</v>
      </c>
      <c r="H4" s="14">
        <f>JANUARY!G39</f>
        <v>13309.494760958365</v>
      </c>
      <c r="I4" s="14">
        <f>JANUARY!H39</f>
        <v>107.50567883253105</v>
      </c>
      <c r="J4" s="14">
        <f>JANUARY!I39</f>
        <v>1298.1996391614275</v>
      </c>
      <c r="K4" s="14">
        <f>JANUARY!J39</f>
        <v>4664.7262097954754</v>
      </c>
      <c r="L4" s="153">
        <f>JANUARY!K39</f>
        <v>56.204273941119517</v>
      </c>
      <c r="M4" s="14">
        <f>JANUARY!L39</f>
        <v>0</v>
      </c>
      <c r="N4" s="14">
        <f>JANUARY!M39</f>
        <v>0</v>
      </c>
      <c r="O4" s="14">
        <f>JANUARY!N39</f>
        <v>1166.0396546815834</v>
      </c>
      <c r="P4" s="14">
        <f>JANUARY!O39</f>
        <v>0</v>
      </c>
      <c r="Q4" s="14">
        <f>JANUARY!P39</f>
        <v>0</v>
      </c>
      <c r="R4" s="14">
        <f>JANUARY!Q39</f>
        <v>0</v>
      </c>
      <c r="S4" s="14">
        <f>JANUARY!R39</f>
        <v>0</v>
      </c>
      <c r="T4" s="14">
        <f>JANUARY!S39</f>
        <v>0</v>
      </c>
      <c r="U4" s="14">
        <f>JANUARY!T39</f>
        <v>0</v>
      </c>
      <c r="V4" s="14">
        <f>JANUARY!U39</f>
        <v>1554.5361049155581</v>
      </c>
      <c r="W4" s="14">
        <f>JANUARY!V39</f>
        <v>263.48723894421909</v>
      </c>
      <c r="X4" s="14">
        <f>JANUARY!W39</f>
        <v>166.85710642009727</v>
      </c>
      <c r="Y4" s="14">
        <f>JANUARY!X39</f>
        <v>28.937674299182891</v>
      </c>
      <c r="Z4" s="14">
        <f>JANUARY!Y39</f>
        <v>1398.9857592040337</v>
      </c>
      <c r="AA4" s="14">
        <f>JANUARY!Z39</f>
        <v>249.8554675008823</v>
      </c>
      <c r="AB4" s="14">
        <f>JANUARY!AA39</f>
        <v>0</v>
      </c>
      <c r="AC4" s="15">
        <f>JANUARY!AB39</f>
        <v>0</v>
      </c>
      <c r="AD4" s="15">
        <f>JANUARY!AC39</f>
        <v>0</v>
      </c>
      <c r="AE4" s="154">
        <f>JANUARY!AD40</f>
        <v>74.075316959950769</v>
      </c>
      <c r="AF4" s="154">
        <f>JANUARY!AE40</f>
        <v>62.611141110844471</v>
      </c>
      <c r="AG4" s="154">
        <f>JANUARY!AF40</f>
        <v>10.733371658696216</v>
      </c>
      <c r="AH4" s="155">
        <f>JANUARY!AG40</f>
        <v>0.85365815037285675</v>
      </c>
    </row>
    <row r="5" spans="1:34" ht="15.75" customHeight="1">
      <c r="A5" s="369"/>
      <c r="B5" s="3" t="s">
        <v>61</v>
      </c>
      <c r="C5" s="16">
        <f>FEBRUARY!B39</f>
        <v>0</v>
      </c>
      <c r="D5" s="16">
        <f>FEBRUARY!C39</f>
        <v>0</v>
      </c>
      <c r="E5" s="16">
        <f>FEBRUARY!D39</f>
        <v>0</v>
      </c>
      <c r="F5" s="16">
        <f>FEBRUARY!E39</f>
        <v>0</v>
      </c>
      <c r="G5" s="16">
        <f>FEBRUARY!F39</f>
        <v>0</v>
      </c>
      <c r="H5" s="16">
        <f>FEBRUARY!G39</f>
        <v>0</v>
      </c>
      <c r="I5" s="16">
        <f>FEBRUARY!H39</f>
        <v>0</v>
      </c>
      <c r="J5" s="16">
        <f>FEBRUARY!I39</f>
        <v>0</v>
      </c>
      <c r="K5" s="16">
        <f>FEBRUARY!J39</f>
        <v>0</v>
      </c>
      <c r="L5" s="17">
        <f>FEBRUARY!K39</f>
        <v>0</v>
      </c>
      <c r="M5" s="16">
        <f>FEBRUARY!L39</f>
        <v>0</v>
      </c>
      <c r="N5" s="16">
        <f>FEBRUARY!M39</f>
        <v>0</v>
      </c>
      <c r="O5" s="16">
        <f>FEBRUARY!N39</f>
        <v>0</v>
      </c>
      <c r="P5" s="16">
        <f>FEBRUARY!O39</f>
        <v>0</v>
      </c>
      <c r="Q5" s="16">
        <f>FEBRUARY!P39</f>
        <v>0</v>
      </c>
      <c r="R5" s="16">
        <f>FEBRUARY!Q39</f>
        <v>0</v>
      </c>
      <c r="S5" s="16">
        <f>FEBRUARY!R39</f>
        <v>0</v>
      </c>
      <c r="T5" s="16">
        <f>FEBRUARY!S39</f>
        <v>0</v>
      </c>
      <c r="U5" s="16">
        <f>FEBRUARY!T39</f>
        <v>0</v>
      </c>
      <c r="V5" s="16">
        <f>FEBRUARY!U39</f>
        <v>0</v>
      </c>
      <c r="W5" s="16">
        <f>FEBRUARY!V39</f>
        <v>0</v>
      </c>
      <c r="X5" s="16">
        <f>FEBRUARY!W39</f>
        <v>0</v>
      </c>
      <c r="Y5" s="16">
        <f>FEBRUARY!X39</f>
        <v>0</v>
      </c>
      <c r="Z5" s="16">
        <f>FEBRUARY!Y39</f>
        <v>0</v>
      </c>
      <c r="AA5" s="16">
        <f>FEBRUARY!Z39</f>
        <v>0</v>
      </c>
      <c r="AB5" s="16">
        <f>FEBRUARY!AA39</f>
        <v>0</v>
      </c>
      <c r="AC5" s="18">
        <f>FEBRUARY!AB39</f>
        <v>0</v>
      </c>
      <c r="AD5" s="18">
        <f>FEBRUARY!AC39</f>
        <v>0</v>
      </c>
      <c r="AE5" s="12">
        <f>FEBRUARY!AD40</f>
        <v>0</v>
      </c>
      <c r="AF5" s="12">
        <f>FEBRUARY!AE40</f>
        <v>0</v>
      </c>
      <c r="AG5" s="12">
        <f>FEBRUARY!AF40</f>
        <v>0</v>
      </c>
      <c r="AH5" s="4">
        <f>FEBRUARY!AG40</f>
        <v>0.5</v>
      </c>
    </row>
    <row r="6" spans="1:34" ht="15.75" customHeight="1">
      <c r="A6" s="369"/>
      <c r="B6" s="3" t="s">
        <v>62</v>
      </c>
      <c r="C6" s="16">
        <f>MARCH!B39</f>
        <v>0</v>
      </c>
      <c r="D6" s="16">
        <f>MARCH!C39</f>
        <v>0</v>
      </c>
      <c r="E6" s="16">
        <f>MARCH!D39</f>
        <v>0</v>
      </c>
      <c r="F6" s="16">
        <f>MARCH!E39</f>
        <v>0</v>
      </c>
      <c r="G6" s="16">
        <f>MARCH!F39</f>
        <v>0</v>
      </c>
      <c r="H6" s="16">
        <f>MARCH!G39</f>
        <v>0</v>
      </c>
      <c r="I6" s="16">
        <f>MARCH!H39</f>
        <v>0</v>
      </c>
      <c r="J6" s="16">
        <f>MARCH!I39</f>
        <v>0</v>
      </c>
      <c r="K6" s="16">
        <f>MARCH!J39</f>
        <v>0</v>
      </c>
      <c r="L6" s="17">
        <f>MARCH!K39</f>
        <v>0</v>
      </c>
      <c r="M6" s="16">
        <f>MARCH!L39</f>
        <v>0</v>
      </c>
      <c r="N6" s="16">
        <f>MARCH!M39</f>
        <v>0</v>
      </c>
      <c r="O6" s="16">
        <f>MARCH!N39</f>
        <v>0</v>
      </c>
      <c r="P6" s="16">
        <f>MARCH!O39</f>
        <v>0</v>
      </c>
      <c r="Q6" s="16">
        <f>MARCH!P39</f>
        <v>0</v>
      </c>
      <c r="R6" s="16">
        <f>MARCH!Q39</f>
        <v>0</v>
      </c>
      <c r="S6" s="16">
        <f>MARCH!R39</f>
        <v>0</v>
      </c>
      <c r="T6" s="16">
        <f>MARCH!S39</f>
        <v>0</v>
      </c>
      <c r="U6" s="16">
        <f>MARCH!T39</f>
        <v>0</v>
      </c>
      <c r="V6" s="16">
        <f>MARCH!U39</f>
        <v>0</v>
      </c>
      <c r="W6" s="16">
        <f>MARCH!V39</f>
        <v>0</v>
      </c>
      <c r="X6" s="16">
        <f>MARCH!W39</f>
        <v>0</v>
      </c>
      <c r="Y6" s="16">
        <f>MARCH!X39</f>
        <v>0</v>
      </c>
      <c r="Z6" s="16">
        <f>MARCH!Y39</f>
        <v>0</v>
      </c>
      <c r="AA6" s="16">
        <f>MARCH!Z39</f>
        <v>0</v>
      </c>
      <c r="AB6" s="16">
        <f>MARCH!AA39</f>
        <v>0</v>
      </c>
      <c r="AC6" s="18">
        <f>MARCH!AB39</f>
        <v>0</v>
      </c>
      <c r="AD6" s="18">
        <f>MARCH!AC39</f>
        <v>0</v>
      </c>
      <c r="AE6" s="12">
        <f>MARCH!AD40</f>
        <v>0</v>
      </c>
      <c r="AF6" s="12">
        <f>MARCH!AE40</f>
        <v>0</v>
      </c>
      <c r="AG6" s="12">
        <f>MARCH!AF40</f>
        <v>0</v>
      </c>
      <c r="AH6" s="4">
        <f>MARCH!AG40</f>
        <v>0.5</v>
      </c>
    </row>
    <row r="7" spans="1:34" ht="15.75" customHeight="1">
      <c r="A7" s="369"/>
      <c r="B7" s="3" t="s">
        <v>63</v>
      </c>
      <c r="C7" s="16">
        <f>APRIL!B39</f>
        <v>0</v>
      </c>
      <c r="D7" s="16">
        <f>APRIL!C39</f>
        <v>0</v>
      </c>
      <c r="E7" s="16">
        <f>APRIL!D39</f>
        <v>0</v>
      </c>
      <c r="F7" s="16">
        <f>APRIL!E39</f>
        <v>0</v>
      </c>
      <c r="G7" s="16">
        <f>APRIL!F39</f>
        <v>0</v>
      </c>
      <c r="H7" s="16">
        <f>APRIL!G39</f>
        <v>0</v>
      </c>
      <c r="I7" s="16">
        <f>APRIL!H39</f>
        <v>0</v>
      </c>
      <c r="J7" s="16">
        <f>APRIL!I39</f>
        <v>0</v>
      </c>
      <c r="K7" s="16">
        <f>APRIL!J39</f>
        <v>0</v>
      </c>
      <c r="L7" s="17">
        <f>APRIL!K39</f>
        <v>0</v>
      </c>
      <c r="M7" s="16">
        <f>APRIL!L39</f>
        <v>0</v>
      </c>
      <c r="N7" s="16">
        <f>APRIL!M39</f>
        <v>0</v>
      </c>
      <c r="O7" s="16">
        <f>APRIL!N39</f>
        <v>0</v>
      </c>
      <c r="P7" s="16">
        <f>APRIL!O39</f>
        <v>0</v>
      </c>
      <c r="Q7" s="16">
        <f>APRIL!P39</f>
        <v>0</v>
      </c>
      <c r="R7" s="16">
        <f>APRIL!Q39</f>
        <v>0</v>
      </c>
      <c r="S7" s="16">
        <f>APRIL!R39</f>
        <v>0</v>
      </c>
      <c r="T7" s="16">
        <f>APRIL!S39</f>
        <v>0</v>
      </c>
      <c r="U7" s="16">
        <f>APRIL!T39</f>
        <v>0</v>
      </c>
      <c r="V7" s="16">
        <f>APRIL!U39</f>
        <v>0</v>
      </c>
      <c r="W7" s="16">
        <f>APRIL!V39</f>
        <v>0</v>
      </c>
      <c r="X7" s="16">
        <f>APRIL!W39</f>
        <v>0</v>
      </c>
      <c r="Y7" s="16">
        <f>APRIL!X39</f>
        <v>0</v>
      </c>
      <c r="Z7" s="16">
        <f>APRIL!Y39</f>
        <v>0</v>
      </c>
      <c r="AA7" s="16">
        <f>APRIL!Z39</f>
        <v>0</v>
      </c>
      <c r="AB7" s="16">
        <f>APRIL!AA39</f>
        <v>0</v>
      </c>
      <c r="AC7" s="18">
        <f>APRIL!AB39</f>
        <v>0</v>
      </c>
      <c r="AD7" s="18">
        <f>APRIL!AC39</f>
        <v>0</v>
      </c>
      <c r="AE7" s="12">
        <f>APRIL!AD40</f>
        <v>0</v>
      </c>
      <c r="AF7" s="12">
        <f>APRIL!AE40</f>
        <v>0</v>
      </c>
      <c r="AG7" s="12">
        <f>APRIL!AF40</f>
        <v>0</v>
      </c>
      <c r="AH7" s="4">
        <f>APRIL!AG40</f>
        <v>0.5</v>
      </c>
    </row>
    <row r="8" spans="1:34" ht="15.75" customHeight="1">
      <c r="A8" s="369"/>
      <c r="B8" s="3" t="s">
        <v>64</v>
      </c>
      <c r="C8" s="16">
        <f>MAY!B39</f>
        <v>0</v>
      </c>
      <c r="D8" s="16">
        <f>MAY!C39</f>
        <v>855.55192348162416</v>
      </c>
      <c r="E8" s="16">
        <f>MAY!D39</f>
        <v>3343.692347764968</v>
      </c>
      <c r="F8" s="16">
        <f>MAY!E39</f>
        <v>72.720195812483425</v>
      </c>
      <c r="G8" s="16">
        <f>MAY!F39</f>
        <v>0</v>
      </c>
      <c r="H8" s="16">
        <f>MAY!G39</f>
        <v>12982.157271003725</v>
      </c>
      <c r="I8" s="16">
        <f>MAY!H39</f>
        <v>271.18901449441972</v>
      </c>
      <c r="J8" s="16">
        <f>MAY!I39</f>
        <v>2570.5607818762442</v>
      </c>
      <c r="K8" s="16">
        <f>MAY!J39</f>
        <v>10988.947362883884</v>
      </c>
      <c r="L8" s="17">
        <f>MAY!K39</f>
        <v>92.102593576411408</v>
      </c>
      <c r="M8" s="16">
        <f>MAY!L39</f>
        <v>0</v>
      </c>
      <c r="N8" s="16">
        <f>MAY!M39</f>
        <v>0</v>
      </c>
      <c r="O8" s="16">
        <f>MAY!N39</f>
        <v>0</v>
      </c>
      <c r="P8" s="16">
        <f>MAY!O39</f>
        <v>0</v>
      </c>
      <c r="Q8" s="16">
        <f>MAY!P39</f>
        <v>0</v>
      </c>
      <c r="R8" s="16">
        <f>MAY!Q39</f>
        <v>0</v>
      </c>
      <c r="S8" s="16">
        <f>MAY!R39</f>
        <v>0</v>
      </c>
      <c r="T8" s="16">
        <f>MAY!S39</f>
        <v>0</v>
      </c>
      <c r="U8" s="16">
        <f>MAY!T39</f>
        <v>0</v>
      </c>
      <c r="V8" s="16">
        <f>MAY!U39</f>
        <v>3595.8515895119667</v>
      </c>
      <c r="W8" s="16">
        <f>MAY!V39</f>
        <v>594.62760263090047</v>
      </c>
      <c r="X8" s="16">
        <f>MAY!W39</f>
        <v>455.73606055083638</v>
      </c>
      <c r="Y8" s="16">
        <f>MAY!X39</f>
        <v>72.621570968389904</v>
      </c>
      <c r="Z8" s="16">
        <f>MAY!Y39</f>
        <v>2568.8757180921157</v>
      </c>
      <c r="AA8" s="16">
        <f>MAY!Z39</f>
        <v>455.57620448287184</v>
      </c>
      <c r="AB8" s="16">
        <f>MAY!AA39</f>
        <v>0</v>
      </c>
      <c r="AC8" s="18">
        <f>MAY!AB39</f>
        <v>3511.1547674337853</v>
      </c>
      <c r="AD8" s="18">
        <f>MAY!AC39</f>
        <v>0</v>
      </c>
      <c r="AE8" s="12">
        <f>MAY!AD40</f>
        <v>190.20802054156849</v>
      </c>
      <c r="AF8" s="12">
        <f>MAY!AE40</f>
        <v>164.18617792709574</v>
      </c>
      <c r="AG8" s="12">
        <f>MAY!AF40</f>
        <v>24.436452996172612</v>
      </c>
      <c r="AH8" s="4">
        <f>MAY!AG40</f>
        <v>0.87044792622941747</v>
      </c>
    </row>
    <row r="9" spans="1:34" ht="15.75" customHeight="1">
      <c r="A9" s="369"/>
      <c r="B9" s="3" t="s">
        <v>65</v>
      </c>
      <c r="C9" s="16">
        <f>JUNE!B39</f>
        <v>0</v>
      </c>
      <c r="D9" s="16">
        <f>JUNE!C39</f>
        <v>1484.2265413840601</v>
      </c>
      <c r="E9" s="16">
        <f>JUNE!D39</f>
        <v>7354.8558114051793</v>
      </c>
      <c r="F9" s="16">
        <f>JUNE!E39</f>
        <v>120.82924361824975</v>
      </c>
      <c r="G9" s="16">
        <f>JUNE!F39</f>
        <v>0</v>
      </c>
      <c r="H9" s="16">
        <f>JUNE!G39</f>
        <v>16326.974859822581</v>
      </c>
      <c r="I9" s="16">
        <f>JUNE!H39</f>
        <v>427.87129419048722</v>
      </c>
      <c r="J9" s="16">
        <f>JUNE!I39</f>
        <v>7972.583062378566</v>
      </c>
      <c r="K9" s="16">
        <f>JUNE!J39</f>
        <v>22213.257819620769</v>
      </c>
      <c r="L9" s="17">
        <f>JUNE!K39</f>
        <v>239.96426229824638</v>
      </c>
      <c r="M9" s="16">
        <f>JUNE!L39</f>
        <v>0</v>
      </c>
      <c r="N9" s="16">
        <f>JUNE!M39</f>
        <v>0</v>
      </c>
      <c r="O9" s="16">
        <f>JUNE!N39</f>
        <v>1127.8405832310516</v>
      </c>
      <c r="P9" s="16">
        <f>JUNE!O39</f>
        <v>0</v>
      </c>
      <c r="Q9" s="16">
        <f>JUNE!P39</f>
        <v>0</v>
      </c>
      <c r="R9" s="16">
        <f>JUNE!Q39</f>
        <v>0</v>
      </c>
      <c r="S9" s="16">
        <f>JUNE!R39</f>
        <v>0</v>
      </c>
      <c r="T9" s="16">
        <f>JUNE!S39</f>
        <v>0</v>
      </c>
      <c r="U9" s="16">
        <f>JUNE!T39</f>
        <v>0</v>
      </c>
      <c r="V9" s="16">
        <f>JUNE!U39</f>
        <v>8056.3888603966034</v>
      </c>
      <c r="W9" s="16">
        <f>JUNE!V39</f>
        <v>1066.1514651814641</v>
      </c>
      <c r="X9" s="16">
        <f>JUNE!W39</f>
        <v>861.75180328097349</v>
      </c>
      <c r="Y9" s="16">
        <f>JUNE!X39</f>
        <v>113.82170057687736</v>
      </c>
      <c r="Z9" s="16">
        <f>JUNE!Y39</f>
        <v>5926.8897542576096</v>
      </c>
      <c r="AA9" s="16">
        <f>JUNE!Z39</f>
        <v>775.31442787447634</v>
      </c>
      <c r="AB9" s="16">
        <f>JUNE!AA39</f>
        <v>0</v>
      </c>
      <c r="AC9" s="18">
        <f>JUNE!AB39</f>
        <v>1177.2298410839485</v>
      </c>
      <c r="AD9" s="18">
        <f>JUNE!AC39</f>
        <v>0</v>
      </c>
      <c r="AE9" s="12">
        <f>JUNE!AD40</f>
        <v>368.24044616321731</v>
      </c>
      <c r="AF9" s="12">
        <f>JUNE!AE40</f>
        <v>321.32752193410778</v>
      </c>
      <c r="AG9" s="12">
        <f>JUNE!AF40</f>
        <v>41.431479771260712</v>
      </c>
      <c r="AH9" s="4">
        <f>JUNE!AG40</f>
        <v>0.88578786583796143</v>
      </c>
    </row>
    <row r="10" spans="1:34" ht="15.75" customHeight="1">
      <c r="A10" s="369"/>
      <c r="B10" s="3" t="s">
        <v>66</v>
      </c>
      <c r="C10" s="16">
        <f>JULY!B39</f>
        <v>0</v>
      </c>
      <c r="D10" s="16">
        <f>JULY!C39</f>
        <v>549.3371283809347</v>
      </c>
      <c r="E10" s="16">
        <f>JULY!D39</f>
        <v>3494.6884251097863</v>
      </c>
      <c r="F10" s="16">
        <f>JULY!E39</f>
        <v>51.179957948625052</v>
      </c>
      <c r="G10" s="16">
        <f>JULY!F39</f>
        <v>0</v>
      </c>
      <c r="H10" s="16">
        <f>JULY!G39</f>
        <v>11484.241792678808</v>
      </c>
      <c r="I10" s="16">
        <f>JULY!H39</f>
        <v>188.01717903514742</v>
      </c>
      <c r="J10" s="16">
        <f>JULY!I39</f>
        <v>14542.344351879752</v>
      </c>
      <c r="K10" s="16">
        <f>JULY!J39</f>
        <v>31453.083981879536</v>
      </c>
      <c r="L10" s="17">
        <f>JULY!K39</f>
        <v>607.32401914844945</v>
      </c>
      <c r="M10" s="16">
        <f>JULY!L39</f>
        <v>0</v>
      </c>
      <c r="N10" s="16">
        <f>JULY!M39</f>
        <v>0</v>
      </c>
      <c r="O10" s="16">
        <f>JULY!N39</f>
        <v>1923.3227743953464</v>
      </c>
      <c r="P10" s="16">
        <f>JULY!O39</f>
        <v>0</v>
      </c>
      <c r="Q10" s="16">
        <f>JULY!P39</f>
        <v>0</v>
      </c>
      <c r="R10" s="16">
        <f>JULY!Q39</f>
        <v>0</v>
      </c>
      <c r="S10" s="16">
        <f>JULY!R39</f>
        <v>0</v>
      </c>
      <c r="T10" s="16">
        <f>JULY!S39</f>
        <v>0</v>
      </c>
      <c r="U10" s="16">
        <f>JULY!T39</f>
        <v>0</v>
      </c>
      <c r="V10" s="16">
        <f>JULY!U39</f>
        <v>8712.0509154440006</v>
      </c>
      <c r="W10" s="16">
        <f>JULY!V39</f>
        <v>358.65924935331407</v>
      </c>
      <c r="X10" s="16">
        <f>JULY!W39</f>
        <v>914.47870756031909</v>
      </c>
      <c r="Y10" s="16">
        <f>JULY!X39</f>
        <v>37.997722510081005</v>
      </c>
      <c r="Z10" s="16">
        <f>JULY!Y39</f>
        <v>7378.5355067165137</v>
      </c>
      <c r="AA10" s="16">
        <f>JULY!Z39</f>
        <v>328.48839434867728</v>
      </c>
      <c r="AB10" s="16">
        <f>JULY!AA39</f>
        <v>0</v>
      </c>
      <c r="AC10" s="18">
        <f>JULY!AB39</f>
        <v>0</v>
      </c>
      <c r="AD10" s="18">
        <f>JULY!AC39</f>
        <v>0</v>
      </c>
      <c r="AE10" s="12">
        <f>JULY!AD40</f>
        <v>397.62251635723635</v>
      </c>
      <c r="AF10" s="12">
        <f>JULY!AE40</f>
        <v>376.06886685012864</v>
      </c>
      <c r="AG10" s="12">
        <f>JULY!AF40</f>
        <v>15.781907022362352</v>
      </c>
      <c r="AH10" s="4">
        <f>JULY!AG40</f>
        <v>0.95972470114988773</v>
      </c>
    </row>
    <row r="11" spans="1:34" ht="15.75" customHeight="1">
      <c r="A11" s="369"/>
      <c r="B11" s="3" t="s">
        <v>67</v>
      </c>
      <c r="C11" s="16">
        <f>AUGUST!B39</f>
        <v>0</v>
      </c>
      <c r="D11" s="16">
        <f>AUGUST!C39</f>
        <v>3187.6778674105826</v>
      </c>
      <c r="E11" s="16">
        <f>AUGUST!D39</f>
        <v>23900.934169596425</v>
      </c>
      <c r="F11" s="16">
        <f>AUGUST!E39</f>
        <v>365.46811395386857</v>
      </c>
      <c r="G11" s="16">
        <f>AUGUST!F39</f>
        <v>0</v>
      </c>
      <c r="H11" s="16">
        <f>AUGUST!G39</f>
        <v>81569.421022860159</v>
      </c>
      <c r="I11" s="16">
        <f>AUGUST!H39</f>
        <v>1159.4982166240627</v>
      </c>
      <c r="J11" s="16">
        <f>AUGUST!I39</f>
        <v>18400.291054590551</v>
      </c>
      <c r="K11" s="16">
        <f>AUGUST!J39</f>
        <v>39571.957658227286</v>
      </c>
      <c r="L11" s="17">
        <f>AUGUST!K39</f>
        <v>728.53221408873742</v>
      </c>
      <c r="M11" s="16">
        <f>AUGUST!L39</f>
        <v>0</v>
      </c>
      <c r="N11" s="16">
        <f>AUGUST!M39</f>
        <v>0</v>
      </c>
      <c r="O11" s="16">
        <f>AUGUST!N39</f>
        <v>4325.4415597811358</v>
      </c>
      <c r="P11" s="16">
        <f>AUGUST!O39</f>
        <v>9.8398886967607712E-4</v>
      </c>
      <c r="Q11" s="16">
        <f>AUGUST!P39</f>
        <v>1.5352848719648148E-4</v>
      </c>
      <c r="R11" s="16">
        <f>AUGUST!Q39</f>
        <v>4.9199443483803856E-4</v>
      </c>
      <c r="S11" s="16">
        <f>AUGUST!R39</f>
        <v>7.676424359824074E-5</v>
      </c>
      <c r="T11" s="16">
        <f>AUGUST!S39</f>
        <v>8.7856149078221174E-2</v>
      </c>
      <c r="U11" s="16">
        <f>AUGUST!T39</f>
        <v>1.370790064254299E-2</v>
      </c>
      <c r="V11" s="16">
        <f>AUGUST!U39</f>
        <v>10197.45654611703</v>
      </c>
      <c r="W11" s="16">
        <f>AUGUST!V39</f>
        <v>2429.5034583164975</v>
      </c>
      <c r="X11" s="16">
        <f>AUGUST!W39</f>
        <v>1045.5423900387393</v>
      </c>
      <c r="Y11" s="16">
        <f>AUGUST!X39</f>
        <v>252.58263698052292</v>
      </c>
      <c r="Z11" s="16">
        <f>AUGUST!Y39</f>
        <v>9872.417793696457</v>
      </c>
      <c r="AA11" s="16">
        <f>AUGUST!Z39</f>
        <v>2329.9256111974159</v>
      </c>
      <c r="AB11" s="16">
        <f>AUGUST!AA39</f>
        <v>0</v>
      </c>
      <c r="AC11" s="18">
        <f>AUGUST!AB39</f>
        <v>0</v>
      </c>
      <c r="AD11" s="18">
        <f>AUGUST!AC39</f>
        <v>0.10156404972076416</v>
      </c>
      <c r="AE11" s="12">
        <f>AUGUST!AD40</f>
        <v>589.02818807214499</v>
      </c>
      <c r="AF11" s="12">
        <f>AUGUST!AE40</f>
        <v>470.33234121879082</v>
      </c>
      <c r="AG11" s="12">
        <f>AUGUST!AF40</f>
        <v>111.35113611549215</v>
      </c>
      <c r="AH11" s="4">
        <f>AUGUST!AG40</f>
        <v>0.80857091450183882</v>
      </c>
    </row>
    <row r="12" spans="1:34" ht="15.75" customHeight="1">
      <c r="A12" s="369"/>
      <c r="B12" s="3" t="s">
        <v>68</v>
      </c>
      <c r="C12" s="16">
        <f>SEPTEMBER!B39</f>
        <v>0</v>
      </c>
      <c r="D12" s="16">
        <f>SEPTEMBER!C39</f>
        <v>4023.9892055968435</v>
      </c>
      <c r="E12" s="16">
        <f>SEPTEMBER!D39</f>
        <v>34830.103794038281</v>
      </c>
      <c r="F12" s="16">
        <f>SEPTEMBER!E39</f>
        <v>480.29399547626582</v>
      </c>
      <c r="G12" s="16">
        <f>SEPTEMBER!F39</f>
        <v>0</v>
      </c>
      <c r="H12" s="16">
        <f>SEPTEMBER!G39</f>
        <v>107014.27360191336</v>
      </c>
      <c r="I12" s="16">
        <f>SEPTEMBER!H39</f>
        <v>1601.1328326433907</v>
      </c>
      <c r="J12" s="16">
        <f>SEPTEMBER!I39</f>
        <v>14971.066303237281</v>
      </c>
      <c r="K12" s="16">
        <f>SEPTEMBER!J39</f>
        <v>35112.43019615212</v>
      </c>
      <c r="L12" s="17">
        <f>SEPTEMBER!K39</f>
        <v>660.99228215416292</v>
      </c>
      <c r="M12" s="16">
        <f>SEPTEMBER!L39</f>
        <v>0</v>
      </c>
      <c r="N12" s="16">
        <f>SEPTEMBER!M39</f>
        <v>0</v>
      </c>
      <c r="O12" s="16">
        <f>SEPTEMBER!N39</f>
        <v>3828.8009698624392</v>
      </c>
      <c r="P12" s="16">
        <f>SEPTEMBER!O39</f>
        <v>0</v>
      </c>
      <c r="Q12" s="16">
        <f>SEPTEMBER!P39</f>
        <v>0</v>
      </c>
      <c r="R12" s="16">
        <f>SEPTEMBER!Q39</f>
        <v>0</v>
      </c>
      <c r="S12" s="16">
        <f>SEPTEMBER!R39</f>
        <v>0</v>
      </c>
      <c r="T12" s="16">
        <f>SEPTEMBER!S39</f>
        <v>0</v>
      </c>
      <c r="U12" s="16">
        <f>SEPTEMBER!T39</f>
        <v>0</v>
      </c>
      <c r="V12" s="16">
        <f>SEPTEMBER!U39</f>
        <v>9036.2332895733452</v>
      </c>
      <c r="W12" s="16">
        <f>SEPTEMBER!V39</f>
        <v>3170.7035107210932</v>
      </c>
      <c r="X12" s="16">
        <f>SEPTEMBER!W39</f>
        <v>1089.7622683875302</v>
      </c>
      <c r="Y12" s="16">
        <f>SEPTEMBER!X39</f>
        <v>382.24503848229409</v>
      </c>
      <c r="Z12" s="16">
        <f>SEPTEMBER!Y39</f>
        <v>7832.021530883374</v>
      </c>
      <c r="AA12" s="16">
        <f>SEPTEMBER!Z39</f>
        <v>2751.9832667660121</v>
      </c>
      <c r="AB12" s="16">
        <f>SEPTEMBER!AA39</f>
        <v>0</v>
      </c>
      <c r="AC12" s="18">
        <f>SEPTEMBER!AB39</f>
        <v>0</v>
      </c>
      <c r="AD12" s="18">
        <f>SEPTEMBER!AC39</f>
        <v>0</v>
      </c>
      <c r="AE12" s="12">
        <f>SEPTEMBER!AD40</f>
        <v>581.03253121227033</v>
      </c>
      <c r="AF12" s="12">
        <f>SEPTEMBER!AE40</f>
        <v>419.54371824189565</v>
      </c>
      <c r="AG12" s="12">
        <f>SEPTEMBER!AF40</f>
        <v>147.18369502040184</v>
      </c>
      <c r="AH12" s="4">
        <f>SEPTEMBER!AG40</f>
        <v>0.74029190828593106</v>
      </c>
    </row>
    <row r="13" spans="1:34" ht="15.75" customHeight="1">
      <c r="A13" s="369"/>
      <c r="B13" s="3" t="s">
        <v>69</v>
      </c>
      <c r="C13" s="16">
        <f>OCTOBER!B39</f>
        <v>0</v>
      </c>
      <c r="D13" s="16">
        <f>OCTOBER!C39</f>
        <v>2088.3148785909025</v>
      </c>
      <c r="E13" s="16">
        <f>OCTOBER!D39</f>
        <v>23939.09420797426</v>
      </c>
      <c r="F13" s="16">
        <f>OCTOBER!E39</f>
        <v>347.8113060380025</v>
      </c>
      <c r="G13" s="16">
        <f>OCTOBER!F39</f>
        <v>0</v>
      </c>
      <c r="H13" s="16">
        <f>OCTOBER!G39</f>
        <v>95929.010603523187</v>
      </c>
      <c r="I13" s="16">
        <f>OCTOBER!H39</f>
        <v>1092.4559769113871</v>
      </c>
      <c r="J13" s="16">
        <f>OCTOBER!I39</f>
        <v>10601.48581444423</v>
      </c>
      <c r="K13" s="16">
        <f>OCTOBER!J39</f>
        <v>24271.813072808571</v>
      </c>
      <c r="L13" s="17">
        <f>OCTOBER!K39</f>
        <v>494.9921213169896</v>
      </c>
      <c r="M13" s="16">
        <f>OCTOBER!L39</f>
        <v>0.24359837770461815</v>
      </c>
      <c r="N13" s="16">
        <f>OCTOBER!M39</f>
        <v>0</v>
      </c>
      <c r="O13" s="16">
        <f>OCTOBER!N39</f>
        <v>2640.4614415913816</v>
      </c>
      <c r="P13" s="16">
        <f>OCTOBER!O39</f>
        <v>2.2162427077709437E-4</v>
      </c>
      <c r="Q13" s="16">
        <f>OCTOBER!P39</f>
        <v>1.1080540051044228E-4</v>
      </c>
      <c r="R13" s="16">
        <f>OCTOBER!Q39</f>
        <v>0</v>
      </c>
      <c r="S13" s="16">
        <f>OCTOBER!R39</f>
        <v>0</v>
      </c>
      <c r="T13" s="16">
        <f>OCTOBER!S39</f>
        <v>0</v>
      </c>
      <c r="U13" s="16">
        <f>OCTOBER!T39</f>
        <v>0</v>
      </c>
      <c r="V13" s="16">
        <f>OCTOBER!U39</f>
        <v>6778.3238983074962</v>
      </c>
      <c r="W13" s="16">
        <f>OCTOBER!V39</f>
        <v>2223.6853077331753</v>
      </c>
      <c r="X13" s="16">
        <f>OCTOBER!W39</f>
        <v>841.69776737472864</v>
      </c>
      <c r="Y13" s="16">
        <f>OCTOBER!X39</f>
        <v>276.3370161028559</v>
      </c>
      <c r="Z13" s="16">
        <f>OCTOBER!Y39</f>
        <v>5703.2815121368349</v>
      </c>
      <c r="AA13" s="16">
        <f>OCTOBER!Z39</f>
        <v>1879.0637421969805</v>
      </c>
      <c r="AB13" s="16">
        <f>OCTOBER!AA39</f>
        <v>0</v>
      </c>
      <c r="AC13" s="18">
        <f>OCTOBER!AB39</f>
        <v>0</v>
      </c>
      <c r="AD13" s="18">
        <f>OCTOBER!AC39</f>
        <v>0</v>
      </c>
      <c r="AE13" s="12">
        <f>OCTOBER!AD40</f>
        <v>434.58132714314576</v>
      </c>
      <c r="AF13" s="12">
        <f>OCTOBER!AE40</f>
        <v>322.49971956139166</v>
      </c>
      <c r="AG13" s="12">
        <f>OCTOBER!AF40</f>
        <v>106.02228014636094</v>
      </c>
      <c r="AH13" s="4">
        <f>OCTOBER!AG40</f>
        <v>0.75258614442510074</v>
      </c>
    </row>
    <row r="14" spans="1:34" ht="15.75" customHeight="1">
      <c r="A14" s="369"/>
      <c r="B14" s="3" t="s">
        <v>70</v>
      </c>
      <c r="C14" s="16">
        <f>NOVEMBER!B39</f>
        <v>0</v>
      </c>
      <c r="D14" s="16">
        <f>NOVEMBER!C39</f>
        <v>0</v>
      </c>
      <c r="E14" s="16">
        <f>NOVEMBER!D39</f>
        <v>0</v>
      </c>
      <c r="F14" s="16">
        <f>NOVEMBER!E39</f>
        <v>0</v>
      </c>
      <c r="G14" s="16">
        <f>NOVEMBER!F39</f>
        <v>0</v>
      </c>
      <c r="H14" s="16">
        <f>NOVEMBER!G39</f>
        <v>0</v>
      </c>
      <c r="I14" s="16">
        <f>NOVEMBER!H39</f>
        <v>0</v>
      </c>
      <c r="J14" s="16">
        <f>NOVEMBER!I39</f>
        <v>6670.8086871051801</v>
      </c>
      <c r="K14" s="16">
        <f>NOVEMBER!J39</f>
        <v>28462.408848222116</v>
      </c>
      <c r="L14" s="17">
        <f>NOVEMBER!K39</f>
        <v>496.62633135855157</v>
      </c>
      <c r="M14" s="16">
        <f>NOVEMBER!L39</f>
        <v>0.57890031337738146</v>
      </c>
      <c r="N14" s="16">
        <f>NOVEMBER!M39</f>
        <v>0</v>
      </c>
      <c r="O14" s="16">
        <f>NOVEMBER!N39</f>
        <v>1266.8565319012598</v>
      </c>
      <c r="P14" s="16">
        <f>NOVEMBER!O39</f>
        <v>0</v>
      </c>
      <c r="Q14" s="16">
        <f>NOVEMBER!P39</f>
        <v>0</v>
      </c>
      <c r="R14" s="16">
        <f>NOVEMBER!Q39</f>
        <v>0</v>
      </c>
      <c r="S14" s="16">
        <f>NOVEMBER!R39</f>
        <v>0</v>
      </c>
      <c r="T14" s="16">
        <f>NOVEMBER!S39</f>
        <v>0</v>
      </c>
      <c r="U14" s="16">
        <f>NOVEMBER!T39</f>
        <v>0</v>
      </c>
      <c r="V14" s="16">
        <f>NOVEMBER!U39</f>
        <v>6643.2393091148979</v>
      </c>
      <c r="W14" s="16">
        <f>NOVEMBER!V39</f>
        <v>0</v>
      </c>
      <c r="X14" s="16">
        <f>NOVEMBER!W39</f>
        <v>841.08128315746796</v>
      </c>
      <c r="Y14" s="16">
        <f>NOVEMBER!X39</f>
        <v>0</v>
      </c>
      <c r="Z14" s="16">
        <f>NOVEMBER!Y39</f>
        <v>6924.4097577873872</v>
      </c>
      <c r="AA14" s="16">
        <f>NOVEMBER!Z39</f>
        <v>0</v>
      </c>
      <c r="AB14" s="16">
        <f>NOVEMBER!AA39</f>
        <v>0</v>
      </c>
      <c r="AC14" s="18">
        <f>NOVEMBER!AB39</f>
        <v>0</v>
      </c>
      <c r="AD14" s="18">
        <f>NOVEMBER!AC39</f>
        <v>0</v>
      </c>
      <c r="AE14" s="12">
        <f>NOVEMBER!AD40</f>
        <v>332.70832836541865</v>
      </c>
      <c r="AF14" s="12">
        <f>NOVEMBER!AE40</f>
        <v>327.82336014892132</v>
      </c>
      <c r="AG14" s="12">
        <f>NOVEMBER!AF40</f>
        <v>0</v>
      </c>
      <c r="AH14" s="4">
        <f>NOVEMBER!AG40</f>
        <v>1</v>
      </c>
    </row>
    <row r="15" spans="1:34" ht="15.75" customHeight="1">
      <c r="A15" s="370"/>
      <c r="B15" s="5" t="s">
        <v>71</v>
      </c>
      <c r="C15" s="19">
        <f>DECEMBER!B39</f>
        <v>0</v>
      </c>
      <c r="D15" s="19">
        <f>DECEMBER!C39</f>
        <v>0</v>
      </c>
      <c r="E15" s="19">
        <f>DECEMBER!D39</f>
        <v>0</v>
      </c>
      <c r="F15" s="19">
        <f>DECEMBER!E39</f>
        <v>0</v>
      </c>
      <c r="G15" s="19">
        <f>DECEMBER!F39</f>
        <v>0</v>
      </c>
      <c r="H15" s="19">
        <f>DECEMBER!G39</f>
        <v>0</v>
      </c>
      <c r="I15" s="19">
        <f>DECEMBER!H39</f>
        <v>0</v>
      </c>
      <c r="J15" s="19">
        <f>DECEMBER!I39</f>
        <v>5716.4255614121785</v>
      </c>
      <c r="K15" s="19">
        <f>DECEMBER!J39</f>
        <v>27352.09069271087</v>
      </c>
      <c r="L15" s="20">
        <f>DECEMBER!K39</f>
        <v>464.18483012914697</v>
      </c>
      <c r="M15" s="19">
        <f>DECEMBER!L39</f>
        <v>0</v>
      </c>
      <c r="N15" s="19">
        <f>DECEMBER!M39</f>
        <v>0</v>
      </c>
      <c r="O15" s="19">
        <f>DECEMBER!N39</f>
        <v>1227.5604120607177</v>
      </c>
      <c r="P15" s="19">
        <f>DECEMBER!O39</f>
        <v>0</v>
      </c>
      <c r="Q15" s="19">
        <f>DECEMBER!P39</f>
        <v>0</v>
      </c>
      <c r="R15" s="19">
        <f>DECEMBER!Q39</f>
        <v>0</v>
      </c>
      <c r="S15" s="19">
        <f>DECEMBER!R39</f>
        <v>0</v>
      </c>
      <c r="T15" s="19">
        <f>DECEMBER!S39</f>
        <v>0</v>
      </c>
      <c r="U15" s="19">
        <f>DECEMBER!T39</f>
        <v>0</v>
      </c>
      <c r="V15" s="19">
        <f>DECEMBER!U39</f>
        <v>7410.6592691898513</v>
      </c>
      <c r="W15" s="19">
        <f>DECEMBER!V39</f>
        <v>0</v>
      </c>
      <c r="X15" s="19">
        <f>DECEMBER!W39</f>
        <v>902.34189398785429</v>
      </c>
      <c r="Y15" s="19">
        <f>DECEMBER!X39</f>
        <v>0</v>
      </c>
      <c r="Z15" s="19">
        <f>DECEMBER!Y39</f>
        <v>7259.4196842749952</v>
      </c>
      <c r="AA15" s="19">
        <f>DECEMBER!Z39</f>
        <v>0</v>
      </c>
      <c r="AB15" s="19">
        <f>DECEMBER!AA39</f>
        <v>0</v>
      </c>
      <c r="AC15" s="21">
        <f>DECEMBER!AB39</f>
        <v>0</v>
      </c>
      <c r="AD15" s="21">
        <f>DECEMBER!AC39</f>
        <v>0</v>
      </c>
      <c r="AE15" s="13">
        <f>DECEMBER!AD40</f>
        <v>354.75174867014084</v>
      </c>
      <c r="AF15" s="13">
        <f>DECEMBER!AE40</f>
        <v>350.15125136100062</v>
      </c>
      <c r="AG15" s="13">
        <f>DECEMBER!AF40</f>
        <v>0</v>
      </c>
      <c r="AH15" s="6">
        <f>DECEMBER!AG40</f>
        <v>1</v>
      </c>
    </row>
    <row r="16" spans="1:34" ht="15.75" customHeight="1">
      <c r="A16" s="373" t="s">
        <v>170</v>
      </c>
      <c r="B16" s="374"/>
      <c r="C16" s="55" t="s">
        <v>108</v>
      </c>
      <c r="D16" s="55" t="s">
        <v>108</v>
      </c>
      <c r="E16" s="55" t="s">
        <v>108</v>
      </c>
      <c r="F16" s="55" t="s">
        <v>108</v>
      </c>
      <c r="G16" s="55" t="s">
        <v>108</v>
      </c>
      <c r="H16" s="55" t="s">
        <v>109</v>
      </c>
      <c r="I16" s="55" t="s">
        <v>108</v>
      </c>
      <c r="J16" s="55" t="s">
        <v>108</v>
      </c>
      <c r="K16" s="55" t="s">
        <v>108</v>
      </c>
      <c r="L16" s="57" t="s">
        <v>108</v>
      </c>
      <c r="M16" s="57" t="s">
        <v>108</v>
      </c>
      <c r="N16" s="57" t="s">
        <v>108</v>
      </c>
      <c r="O16" s="57" t="s">
        <v>108</v>
      </c>
      <c r="P16" s="57" t="s">
        <v>108</v>
      </c>
      <c r="Q16" s="57" t="s">
        <v>108</v>
      </c>
      <c r="R16" s="57" t="s">
        <v>108</v>
      </c>
      <c r="S16" s="57" t="s">
        <v>108</v>
      </c>
      <c r="T16" s="57" t="s">
        <v>108</v>
      </c>
      <c r="U16" s="57" t="s">
        <v>108</v>
      </c>
      <c r="V16" s="55" t="s">
        <v>109</v>
      </c>
      <c r="W16" s="55" t="s">
        <v>109</v>
      </c>
      <c r="X16" s="57" t="s">
        <v>108</v>
      </c>
      <c r="Y16" s="57" t="s">
        <v>108</v>
      </c>
      <c r="Z16" s="57" t="s">
        <v>108</v>
      </c>
      <c r="AA16" s="57" t="s">
        <v>108</v>
      </c>
      <c r="AB16" s="57" t="s">
        <v>108</v>
      </c>
      <c r="AC16" s="55" t="s">
        <v>109</v>
      </c>
      <c r="AD16" s="86" t="s">
        <v>108</v>
      </c>
      <c r="AE16" s="156" t="s">
        <v>28</v>
      </c>
      <c r="AF16" s="156" t="s">
        <v>28</v>
      </c>
      <c r="AG16" s="156" t="s">
        <v>28</v>
      </c>
      <c r="AH16" s="157" t="s">
        <v>34</v>
      </c>
    </row>
    <row r="17" spans="1:34" ht="15.75" customHeight="1" thickBot="1">
      <c r="A17" s="7" t="s">
        <v>73</v>
      </c>
      <c r="B17" s="8" t="s">
        <v>72</v>
      </c>
      <c r="C17" s="22">
        <f>SUM(C4:C15)</f>
        <v>0</v>
      </c>
      <c r="D17" s="22">
        <f t="shared" ref="D17:AG17" si="0">SUM(D4:D15)</f>
        <v>12527.995294900738</v>
      </c>
      <c r="E17" s="22">
        <f t="shared" si="0"/>
        <v>99209.755112624145</v>
      </c>
      <c r="F17" s="22">
        <f t="shared" si="0"/>
        <v>1466.6283255795638</v>
      </c>
      <c r="G17" s="22">
        <f t="shared" si="0"/>
        <v>13.17323693782091</v>
      </c>
      <c r="H17" s="22">
        <f t="shared" si="0"/>
        <v>338615.57391276018</v>
      </c>
      <c r="I17" s="22">
        <f t="shared" si="0"/>
        <v>4847.6701927314261</v>
      </c>
      <c r="J17" s="22">
        <f t="shared" si="0"/>
        <v>82743.765256085404</v>
      </c>
      <c r="K17" s="22">
        <f t="shared" si="0"/>
        <v>224090.71584230062</v>
      </c>
      <c r="L17" s="22">
        <f t="shared" si="0"/>
        <v>3840.9229280118152</v>
      </c>
      <c r="M17" s="22">
        <f t="shared" si="0"/>
        <v>0.82249869108199958</v>
      </c>
      <c r="N17" s="22">
        <f t="shared" si="0"/>
        <v>0</v>
      </c>
      <c r="O17" s="22">
        <f t="shared" si="0"/>
        <v>17506.323927504916</v>
      </c>
      <c r="P17" s="22">
        <f t="shared" si="0"/>
        <v>1.2056131404531716E-3</v>
      </c>
      <c r="Q17" s="22">
        <f t="shared" si="0"/>
        <v>2.6433388770692376E-4</v>
      </c>
      <c r="R17" s="22">
        <f t="shared" si="0"/>
        <v>4.9199443483803856E-4</v>
      </c>
      <c r="S17" s="22">
        <f t="shared" si="0"/>
        <v>7.676424359824074E-5</v>
      </c>
      <c r="T17" s="22">
        <f t="shared" si="0"/>
        <v>8.7856149078221174E-2</v>
      </c>
      <c r="U17" s="22">
        <f t="shared" si="0"/>
        <v>1.370790064254299E-2</v>
      </c>
      <c r="V17" s="22">
        <f t="shared" si="0"/>
        <v>61984.739782570759</v>
      </c>
      <c r="W17" s="22">
        <f t="shared" si="0"/>
        <v>10106.817832880664</v>
      </c>
      <c r="X17" s="22">
        <f t="shared" si="0"/>
        <v>7119.2492807585477</v>
      </c>
      <c r="Y17" s="22">
        <f t="shared" si="0"/>
        <v>1164.543359920204</v>
      </c>
      <c r="Z17" s="22">
        <f t="shared" si="0"/>
        <v>54864.837017049314</v>
      </c>
      <c r="AA17" s="22">
        <f t="shared" si="0"/>
        <v>8770.2071143673165</v>
      </c>
      <c r="AB17" s="22">
        <f t="shared" si="0"/>
        <v>0</v>
      </c>
      <c r="AC17" s="22">
        <f t="shared" si="0"/>
        <v>4688.3846085177338</v>
      </c>
      <c r="AD17" s="22">
        <f t="shared" si="0"/>
        <v>0.10156404972076416</v>
      </c>
      <c r="AE17" s="9">
        <f t="shared" si="0"/>
        <v>3322.2484234850936</v>
      </c>
      <c r="AF17" s="9">
        <f t="shared" si="0"/>
        <v>2814.5440983541766</v>
      </c>
      <c r="AG17" s="9">
        <f t="shared" si="0"/>
        <v>456.94032273074686</v>
      </c>
      <c r="AH17" s="140">
        <f>IF(SUM(AF17:AG17)&gt;0, AF17/(AF17+AG17), "")</f>
        <v>0.86032630331792581</v>
      </c>
    </row>
    <row r="18" spans="1:34" ht="15.75" customHeight="1" thickTop="1">
      <c r="A18" s="368" t="s">
        <v>95</v>
      </c>
      <c r="B18" s="2" t="s">
        <v>60</v>
      </c>
      <c r="C18" s="23">
        <f>JANUARY!B41</f>
        <v>0</v>
      </c>
      <c r="D18" s="23">
        <f>JANUARY!C41</f>
        <v>460.86831100049949</v>
      </c>
      <c r="E18" s="23">
        <f>JANUARY!D41</f>
        <v>4821.7676498183355</v>
      </c>
      <c r="F18" s="23">
        <f>JANUARY!E41</f>
        <v>88.446300203833502</v>
      </c>
      <c r="G18" s="23">
        <f>JANUARY!F41</f>
        <v>0.76905357242998462</v>
      </c>
      <c r="H18" s="23">
        <f>JANUARY!G41</f>
        <v>658.81999066743913</v>
      </c>
      <c r="I18" s="23">
        <f>JANUARY!H41</f>
        <v>391.01722714143125</v>
      </c>
      <c r="J18" s="23">
        <f>JANUARY!I41</f>
        <v>1183.1707543764587</v>
      </c>
      <c r="K18" s="23">
        <f>JANUARY!J41</f>
        <v>6343.5785254823668</v>
      </c>
      <c r="L18" s="24">
        <f>JANUARY!K41</f>
        <v>175.49762056404992</v>
      </c>
      <c r="M18" s="23">
        <f>JANUARY!L41</f>
        <v>0</v>
      </c>
      <c r="N18" s="23">
        <f>JANUARY!M41</f>
        <v>0</v>
      </c>
      <c r="O18" s="25">
        <f>JANUARY!N41</f>
        <v>68.073395040310828</v>
      </c>
      <c r="P18" s="25">
        <f>JANUARY!O41</f>
        <v>0</v>
      </c>
      <c r="Q18" s="23">
        <f>JANUARY!P41</f>
        <v>0</v>
      </c>
      <c r="R18" s="23">
        <f>JANUARY!Q41</f>
        <v>0</v>
      </c>
      <c r="S18" s="23">
        <f>JANUARY!R41</f>
        <v>0</v>
      </c>
      <c r="T18" s="23">
        <f>JANUARY!S41</f>
        <v>0</v>
      </c>
      <c r="U18" s="23">
        <f>JANUARY!T41</f>
        <v>0</v>
      </c>
      <c r="V18" s="23">
        <f>JANUARY!U41</f>
        <v>454.70181068780073</v>
      </c>
      <c r="W18" s="23">
        <f>JANUARY!V41</f>
        <v>77.070017391184081</v>
      </c>
      <c r="X18" s="23">
        <f>JANUARY!W41</f>
        <v>170.19424854849922</v>
      </c>
      <c r="Y18" s="23">
        <f>JANUARY!X41</f>
        <v>29.516427785166549</v>
      </c>
      <c r="Z18" s="23">
        <f>JANUARY!Y41</f>
        <v>2874.8821595060681</v>
      </c>
      <c r="AA18" s="23">
        <f>JANUARY!Z41</f>
        <v>513.44698918309302</v>
      </c>
      <c r="AB18" s="23">
        <f>JANUARY!AA41</f>
        <v>0</v>
      </c>
      <c r="AC18" s="26">
        <f>JANUARY!AB41</f>
        <v>0</v>
      </c>
      <c r="AD18" s="26">
        <f>JANUARY!AC41</f>
        <v>0</v>
      </c>
      <c r="AE18" s="36"/>
      <c r="AF18" s="36"/>
      <c r="AG18" s="36"/>
      <c r="AH18" s="37"/>
    </row>
    <row r="19" spans="1:34" ht="15.75" customHeight="1">
      <c r="A19" s="369"/>
      <c r="B19" s="3" t="s">
        <v>61</v>
      </c>
      <c r="C19" s="27">
        <f>FEBRUARY!B41</f>
        <v>0</v>
      </c>
      <c r="D19" s="27">
        <f>FEBRUARY!C41</f>
        <v>0</v>
      </c>
      <c r="E19" s="27">
        <f>FEBRUARY!D41</f>
        <v>0</v>
      </c>
      <c r="F19" s="27">
        <f>FEBRUARY!E41</f>
        <v>0</v>
      </c>
      <c r="G19" s="27">
        <f>FEBRUARY!F41</f>
        <v>0</v>
      </c>
      <c r="H19" s="27">
        <f>FEBRUARY!G41</f>
        <v>0</v>
      </c>
      <c r="I19" s="27">
        <f>FEBRUARY!H41</f>
        <v>0</v>
      </c>
      <c r="J19" s="27">
        <f>FEBRUARY!I41</f>
        <v>0</v>
      </c>
      <c r="K19" s="27">
        <f>FEBRUARY!J41</f>
        <v>0</v>
      </c>
      <c r="L19" s="28">
        <f>FEBRUARY!K41</f>
        <v>0</v>
      </c>
      <c r="M19" s="27">
        <f>FEBRUARY!L41</f>
        <v>0</v>
      </c>
      <c r="N19" s="27">
        <f>FEBRUARY!M41</f>
        <v>0</v>
      </c>
      <c r="O19" s="29">
        <f>FEBRUARY!N41</f>
        <v>0</v>
      </c>
      <c r="P19" s="29">
        <f>FEBRUARY!O41</f>
        <v>0</v>
      </c>
      <c r="Q19" s="27">
        <f>FEBRUARY!P41</f>
        <v>0</v>
      </c>
      <c r="R19" s="27">
        <f>FEBRUARY!Q41</f>
        <v>0</v>
      </c>
      <c r="S19" s="27">
        <f>FEBRUARY!R41</f>
        <v>0</v>
      </c>
      <c r="T19" s="27">
        <f>FEBRUARY!S41</f>
        <v>0</v>
      </c>
      <c r="U19" s="27">
        <f>FEBRUARY!T41</f>
        <v>0</v>
      </c>
      <c r="V19" s="27">
        <f>FEBRUARY!U41</f>
        <v>0</v>
      </c>
      <c r="W19" s="27">
        <f>FEBRUARY!V41</f>
        <v>0</v>
      </c>
      <c r="X19" s="27">
        <f>FEBRUARY!W41</f>
        <v>0</v>
      </c>
      <c r="Y19" s="27">
        <f>FEBRUARY!X41</f>
        <v>0</v>
      </c>
      <c r="Z19" s="27">
        <f>FEBRUARY!Y41</f>
        <v>0</v>
      </c>
      <c r="AA19" s="27">
        <f>FEBRUARY!Z41</f>
        <v>0</v>
      </c>
      <c r="AB19" s="27">
        <f>FEBRUARY!AA41</f>
        <v>0</v>
      </c>
      <c r="AC19" s="30">
        <f>FEBRUARY!AB41</f>
        <v>0</v>
      </c>
      <c r="AD19" s="30">
        <f>FEBRUARY!AC41</f>
        <v>0</v>
      </c>
      <c r="AE19" s="38"/>
      <c r="AF19" s="38"/>
      <c r="AG19" s="38"/>
      <c r="AH19" s="39"/>
    </row>
    <row r="20" spans="1:34" ht="15.75" customHeight="1">
      <c r="A20" s="369"/>
      <c r="B20" s="3" t="s">
        <v>62</v>
      </c>
      <c r="C20" s="27">
        <f>MARCH!B41</f>
        <v>0</v>
      </c>
      <c r="D20" s="27">
        <f>MARCH!C41</f>
        <v>0</v>
      </c>
      <c r="E20" s="27">
        <f>MARCH!D41</f>
        <v>0</v>
      </c>
      <c r="F20" s="27">
        <f>MARCH!E41</f>
        <v>0</v>
      </c>
      <c r="G20" s="27">
        <f>MARCH!F41</f>
        <v>0</v>
      </c>
      <c r="H20" s="27">
        <f>MARCH!G41</f>
        <v>0</v>
      </c>
      <c r="I20" s="27">
        <f>MARCH!H41</f>
        <v>0</v>
      </c>
      <c r="J20" s="27">
        <f>MARCH!I41</f>
        <v>0</v>
      </c>
      <c r="K20" s="27">
        <f>MARCH!J41</f>
        <v>0</v>
      </c>
      <c r="L20" s="28">
        <f>MARCH!K41</f>
        <v>0</v>
      </c>
      <c r="M20" s="27">
        <f>MARCH!L41</f>
        <v>0</v>
      </c>
      <c r="N20" s="27">
        <f>MARCH!M41</f>
        <v>0</v>
      </c>
      <c r="O20" s="29">
        <f>MARCH!N41</f>
        <v>0</v>
      </c>
      <c r="P20" s="29">
        <f>MARCH!O41</f>
        <v>0</v>
      </c>
      <c r="Q20" s="27">
        <f>MARCH!P41</f>
        <v>0</v>
      </c>
      <c r="R20" s="27">
        <f>MARCH!Q41</f>
        <v>0</v>
      </c>
      <c r="S20" s="27">
        <f>MARCH!R41</f>
        <v>0</v>
      </c>
      <c r="T20" s="27">
        <f>MARCH!S41</f>
        <v>0</v>
      </c>
      <c r="U20" s="27">
        <f>MARCH!T41</f>
        <v>0</v>
      </c>
      <c r="V20" s="27">
        <f>MARCH!U41</f>
        <v>0</v>
      </c>
      <c r="W20" s="27">
        <f>MARCH!V41</f>
        <v>0</v>
      </c>
      <c r="X20" s="27">
        <f>MARCH!W41</f>
        <v>0</v>
      </c>
      <c r="Y20" s="27">
        <f>MARCH!X41</f>
        <v>0</v>
      </c>
      <c r="Z20" s="27">
        <f>MARCH!Y41</f>
        <v>0</v>
      </c>
      <c r="AA20" s="27">
        <f>MARCH!Z41</f>
        <v>0</v>
      </c>
      <c r="AB20" s="27">
        <f>MARCH!AA41</f>
        <v>0</v>
      </c>
      <c r="AC20" s="30">
        <f>MARCH!AB41</f>
        <v>0</v>
      </c>
      <c r="AD20" s="30">
        <f>MARCH!AC41</f>
        <v>0</v>
      </c>
      <c r="AE20" s="38"/>
      <c r="AF20" s="38"/>
      <c r="AG20" s="38"/>
      <c r="AH20" s="39"/>
    </row>
    <row r="21" spans="1:34" ht="15.75" customHeight="1">
      <c r="A21" s="369"/>
      <c r="B21" s="3" t="s">
        <v>63</v>
      </c>
      <c r="C21" s="27">
        <f>APRIL!B41</f>
        <v>0</v>
      </c>
      <c r="D21" s="27">
        <f>APRIL!C41</f>
        <v>0</v>
      </c>
      <c r="E21" s="27">
        <f>APRIL!D41</f>
        <v>0</v>
      </c>
      <c r="F21" s="27">
        <f>APRIL!E41</f>
        <v>0</v>
      </c>
      <c r="G21" s="27">
        <f>APRIL!F41</f>
        <v>0</v>
      </c>
      <c r="H21" s="27">
        <f>APRIL!G41</f>
        <v>0</v>
      </c>
      <c r="I21" s="27">
        <f>APRIL!H41</f>
        <v>0</v>
      </c>
      <c r="J21" s="27">
        <f>APRIL!I41</f>
        <v>0</v>
      </c>
      <c r="K21" s="27">
        <f>APRIL!J41</f>
        <v>0</v>
      </c>
      <c r="L21" s="28">
        <f>APRIL!K41</f>
        <v>0</v>
      </c>
      <c r="M21" s="27">
        <f>APRIL!L41</f>
        <v>0</v>
      </c>
      <c r="N21" s="27">
        <f>APRIL!M41</f>
        <v>0</v>
      </c>
      <c r="O21" s="29">
        <f>APRIL!N41</f>
        <v>0</v>
      </c>
      <c r="P21" s="29">
        <f>APRIL!O41</f>
        <v>0</v>
      </c>
      <c r="Q21" s="27">
        <f>APRIL!P41</f>
        <v>0</v>
      </c>
      <c r="R21" s="27">
        <f>APRIL!Q41</f>
        <v>0</v>
      </c>
      <c r="S21" s="27">
        <f>APRIL!R41</f>
        <v>0</v>
      </c>
      <c r="T21" s="27">
        <f>APRIL!S41</f>
        <v>0</v>
      </c>
      <c r="U21" s="27">
        <f>APRIL!T41</f>
        <v>0</v>
      </c>
      <c r="V21" s="27">
        <f>APRIL!U41</f>
        <v>0</v>
      </c>
      <c r="W21" s="27">
        <f>APRIL!V41</f>
        <v>0</v>
      </c>
      <c r="X21" s="27">
        <f>APRIL!W41</f>
        <v>0</v>
      </c>
      <c r="Y21" s="27">
        <f>APRIL!X41</f>
        <v>0</v>
      </c>
      <c r="Z21" s="27">
        <f>APRIL!Y41</f>
        <v>0</v>
      </c>
      <c r="AA21" s="27">
        <f>APRIL!Z41</f>
        <v>0</v>
      </c>
      <c r="AB21" s="27">
        <f>APRIL!AA41</f>
        <v>0</v>
      </c>
      <c r="AC21" s="30">
        <f>APRIL!AB41</f>
        <v>0</v>
      </c>
      <c r="AD21" s="30">
        <f>APRIL!AC41</f>
        <v>0</v>
      </c>
      <c r="AE21" s="38"/>
      <c r="AF21" s="38"/>
      <c r="AG21" s="38"/>
      <c r="AH21" s="39"/>
    </row>
    <row r="22" spans="1:34" ht="15.75" customHeight="1">
      <c r="A22" s="369"/>
      <c r="B22" s="3" t="s">
        <v>64</v>
      </c>
      <c r="C22" s="27">
        <f>MAY!B41</f>
        <v>0</v>
      </c>
      <c r="D22" s="27">
        <f>MAY!C41</f>
        <v>1163.468243395816</v>
      </c>
      <c r="E22" s="27">
        <f>MAY!D41</f>
        <v>6871.2075260406627</v>
      </c>
      <c r="F22" s="27">
        <f>MAY!E41</f>
        <v>227.06852054369625</v>
      </c>
      <c r="G22" s="27">
        <f>MAY!F41</f>
        <v>0</v>
      </c>
      <c r="H22" s="27">
        <f>MAY!G41</f>
        <v>642.61678491468444</v>
      </c>
      <c r="I22" s="27">
        <f>MAY!H41</f>
        <v>986.36255898640024</v>
      </c>
      <c r="J22" s="27">
        <f>MAY!I41</f>
        <v>2342.7924702148712</v>
      </c>
      <c r="K22" s="27">
        <f>MAY!J41</f>
        <v>14943.910397669983</v>
      </c>
      <c r="L22" s="28">
        <f>MAY!K41</f>
        <v>287.5899800319703</v>
      </c>
      <c r="M22" s="27">
        <f>MAY!L41</f>
        <v>0</v>
      </c>
      <c r="N22" s="27">
        <f>MAY!M41</f>
        <v>0</v>
      </c>
      <c r="O22" s="29">
        <f>MAY!N41</f>
        <v>0</v>
      </c>
      <c r="P22" s="29">
        <f>MAY!O41</f>
        <v>0</v>
      </c>
      <c r="Q22" s="27">
        <f>MAY!P41</f>
        <v>0</v>
      </c>
      <c r="R22" s="27">
        <f>MAY!Q41</f>
        <v>0</v>
      </c>
      <c r="S22" s="27">
        <f>MAY!R41</f>
        <v>0</v>
      </c>
      <c r="T22" s="27">
        <f>MAY!S41</f>
        <v>0</v>
      </c>
      <c r="U22" s="27">
        <f>MAY!T41</f>
        <v>0</v>
      </c>
      <c r="V22" s="27">
        <f>MAY!U41</f>
        <v>1015.8280740371305</v>
      </c>
      <c r="W22" s="27">
        <f>MAY!V41</f>
        <v>167.98229774322937</v>
      </c>
      <c r="X22" s="27">
        <f>MAY!W41</f>
        <v>464.85078176185311</v>
      </c>
      <c r="Y22" s="27">
        <f>MAY!X41</f>
        <v>74.074002387757702</v>
      </c>
      <c r="Z22" s="27">
        <f>MAY!Y41</f>
        <v>5278.9779476620633</v>
      </c>
      <c r="AA22" s="27">
        <f>MAY!Z41</f>
        <v>936.19816638339398</v>
      </c>
      <c r="AB22" s="27">
        <f>MAY!AA41</f>
        <v>0</v>
      </c>
      <c r="AC22" s="30">
        <f>MAY!AB41</f>
        <v>991.90122180004425</v>
      </c>
      <c r="AD22" s="30">
        <f>MAY!AC41</f>
        <v>0</v>
      </c>
      <c r="AE22" s="38"/>
      <c r="AF22" s="38"/>
      <c r="AG22" s="38"/>
      <c r="AH22" s="39"/>
    </row>
    <row r="23" spans="1:34" ht="15.75" customHeight="1">
      <c r="A23" s="369"/>
      <c r="B23" s="3" t="s">
        <v>65</v>
      </c>
      <c r="C23" s="27">
        <f>JUNE!B41</f>
        <v>0</v>
      </c>
      <c r="D23" s="27">
        <f>JUNE!C41</f>
        <v>2018.4051949509171</v>
      </c>
      <c r="E23" s="27">
        <f>JUNE!D41</f>
        <v>15114.052175898169</v>
      </c>
      <c r="F23" s="27">
        <f>JUNE!E41</f>
        <v>377.28882988101037</v>
      </c>
      <c r="G23" s="27">
        <f>JUNE!F41</f>
        <v>0</v>
      </c>
      <c r="H23" s="27">
        <f>JUNE!G41</f>
        <v>808.18525556121779</v>
      </c>
      <c r="I23" s="27">
        <f>JUNE!H41</f>
        <v>1556.2438081843325</v>
      </c>
      <c r="J23" s="27">
        <f>JUNE!I41</f>
        <v>7266.1606363845767</v>
      </c>
      <c r="K23" s="27">
        <f>JUNE!J41</f>
        <v>30207.891942221369</v>
      </c>
      <c r="L23" s="28">
        <f>JUNE!K41</f>
        <v>749.28744916922517</v>
      </c>
      <c r="M23" s="27">
        <f>JUNE!L41</f>
        <v>0</v>
      </c>
      <c r="N23" s="27">
        <f>JUNE!M41</f>
        <v>0</v>
      </c>
      <c r="O23" s="29">
        <f>JUNE!N41</f>
        <v>65.843333249028788</v>
      </c>
      <c r="P23" s="29">
        <f>JUNE!O41</f>
        <v>0</v>
      </c>
      <c r="Q23" s="27">
        <f>JUNE!P41</f>
        <v>0</v>
      </c>
      <c r="R23" s="27">
        <f>JUNE!Q41</f>
        <v>0</v>
      </c>
      <c r="S23" s="27">
        <f>JUNE!R41</f>
        <v>0</v>
      </c>
      <c r="T23" s="27">
        <f>JUNE!S41</f>
        <v>0</v>
      </c>
      <c r="U23" s="27">
        <f>JUNE!T41</f>
        <v>0</v>
      </c>
      <c r="V23" s="27">
        <f>JUNE!U41</f>
        <v>2275.9298530620404</v>
      </c>
      <c r="W23" s="27">
        <f>JUNE!V41</f>
        <v>301.1877889137636</v>
      </c>
      <c r="X23" s="27">
        <f>JUNE!W41</f>
        <v>878.986839346593</v>
      </c>
      <c r="Y23" s="27">
        <f>JUNE!X41</f>
        <v>116.09813458841491</v>
      </c>
      <c r="Z23" s="27">
        <f>JUNE!Y41</f>
        <v>12179.616199645285</v>
      </c>
      <c r="AA23" s="27">
        <f>JUNE!Z41</f>
        <v>1593.2525417357799</v>
      </c>
      <c r="AB23" s="27">
        <f>JUNE!AA41</f>
        <v>0</v>
      </c>
      <c r="AC23" s="30">
        <f>JUNE!AB41</f>
        <v>332.5674301062154</v>
      </c>
      <c r="AD23" s="30">
        <f>JUNE!AC41</f>
        <v>0</v>
      </c>
      <c r="AE23" s="38"/>
      <c r="AF23" s="38"/>
      <c r="AG23" s="38"/>
      <c r="AH23" s="39"/>
    </row>
    <row r="24" spans="1:34" ht="15.75" customHeight="1">
      <c r="A24" s="369"/>
      <c r="B24" s="3" t="s">
        <v>66</v>
      </c>
      <c r="C24" s="27">
        <f>JULY!B41</f>
        <v>0</v>
      </c>
      <c r="D24" s="27">
        <f>JULY!C41</f>
        <v>747.04560441935064</v>
      </c>
      <c r="E24" s="27">
        <f>JULY!D41</f>
        <v>7361.0383621053688</v>
      </c>
      <c r="F24" s="27">
        <f>JULY!E41</f>
        <v>159.80921397474992</v>
      </c>
      <c r="G24" s="27">
        <f>JULY!F41</f>
        <v>0</v>
      </c>
      <c r="H24" s="27">
        <f>JULY!G41</f>
        <v>568.46996873760099</v>
      </c>
      <c r="I24" s="27">
        <f>JULY!H41</f>
        <v>683.85183740666696</v>
      </c>
      <c r="J24" s="27">
        <f>JULY!I41</f>
        <v>13253.798582419935</v>
      </c>
      <c r="K24" s="27">
        <f>JULY!J41</f>
        <v>42773.165912430391</v>
      </c>
      <c r="L24" s="28">
        <f>JULY!K41</f>
        <v>1896.3668204949568</v>
      </c>
      <c r="M24" s="27">
        <f>JULY!L41</f>
        <v>0</v>
      </c>
      <c r="N24" s="27">
        <f>JULY!M41</f>
        <v>0</v>
      </c>
      <c r="O24" s="29">
        <f>JULY!N41</f>
        <v>112.28358356920032</v>
      </c>
      <c r="P24" s="29">
        <f>JULY!O41</f>
        <v>0</v>
      </c>
      <c r="Q24" s="27">
        <f>JULY!P41</f>
        <v>0</v>
      </c>
      <c r="R24" s="27">
        <f>JULY!Q41</f>
        <v>0</v>
      </c>
      <c r="S24" s="27">
        <f>JULY!R41</f>
        <v>0</v>
      </c>
      <c r="T24" s="27">
        <f>JULY!S41</f>
        <v>0</v>
      </c>
      <c r="U24" s="27">
        <f>JULY!T41</f>
        <v>0</v>
      </c>
      <c r="V24" s="27">
        <f>JULY!U41</f>
        <v>2591.83514734459</v>
      </c>
      <c r="W24" s="27">
        <f>JULY!V41</f>
        <v>106.70112668261093</v>
      </c>
      <c r="X24" s="27">
        <f>JULY!W41</f>
        <v>932.76828171152545</v>
      </c>
      <c r="Y24" s="27">
        <f>JULY!X41</f>
        <v>38.757676960282623</v>
      </c>
      <c r="Z24" s="27">
        <f>JULY!Y41</f>
        <v>15541.781215986533</v>
      </c>
      <c r="AA24" s="27">
        <f>JULY!Z41</f>
        <v>691.91166083169412</v>
      </c>
      <c r="AB24" s="27">
        <f>JULY!AA41</f>
        <v>0</v>
      </c>
      <c r="AC24" s="30">
        <f>JULY!AB41</f>
        <v>0</v>
      </c>
      <c r="AD24" s="30">
        <f>JULY!AC41</f>
        <v>0</v>
      </c>
      <c r="AE24" s="38"/>
      <c r="AF24" s="38"/>
      <c r="AG24" s="38"/>
      <c r="AH24" s="39"/>
    </row>
    <row r="25" spans="1:34" ht="15.75" customHeight="1">
      <c r="A25" s="369"/>
      <c r="B25" s="3" t="s">
        <v>67</v>
      </c>
      <c r="C25" s="27">
        <f>AUGUST!B41</f>
        <v>0</v>
      </c>
      <c r="D25" s="27">
        <f>AUGUST!C41</f>
        <v>4334.934990053318</v>
      </c>
      <c r="E25" s="27">
        <f>AUGUST!D41</f>
        <v>50343.742248503098</v>
      </c>
      <c r="F25" s="27">
        <f>AUGUST!E41</f>
        <v>1141.1727239484987</v>
      </c>
      <c r="G25" s="27">
        <f>AUGUST!F41</f>
        <v>0</v>
      </c>
      <c r="H25" s="27">
        <f>AUGUST!G41</f>
        <v>4037.6863406315779</v>
      </c>
      <c r="I25" s="27">
        <f>AUGUST!H41</f>
        <v>4217.3007273973171</v>
      </c>
      <c r="J25" s="27">
        <f>AUGUST!I41</f>
        <v>16769.906254071284</v>
      </c>
      <c r="K25" s="27">
        <f>AUGUST!J41</f>
        <v>53814.052427105773</v>
      </c>
      <c r="L25" s="28">
        <f>AUGUST!K41</f>
        <v>2274.8389243632264</v>
      </c>
      <c r="M25" s="27">
        <f>AUGUST!L41</f>
        <v>0</v>
      </c>
      <c r="N25" s="27">
        <f>AUGUST!M41</f>
        <v>0</v>
      </c>
      <c r="O25" s="29">
        <f>AUGUST!N41</f>
        <v>252.51927826002267</v>
      </c>
      <c r="P25" s="29">
        <f>AUGUST!O41</f>
        <v>1.5517504474791735E-2</v>
      </c>
      <c r="Q25" s="27">
        <f>AUGUST!P41</f>
        <v>2.4211442430885129E-3</v>
      </c>
      <c r="R25" s="27">
        <f>AUGUST!Q41</f>
        <v>7.7587522373958676E-3</v>
      </c>
      <c r="S25" s="27">
        <f>AUGUST!R41</f>
        <v>1.2105721215442565E-3</v>
      </c>
      <c r="T25" s="27">
        <f>AUGUST!S41</f>
        <v>0.11947590395634754</v>
      </c>
      <c r="U25" s="27">
        <f>AUGUST!T41</f>
        <v>1.8641425077184602E-2</v>
      </c>
      <c r="V25" s="27">
        <f>AUGUST!U41</f>
        <v>3033.7433224698161</v>
      </c>
      <c r="W25" s="27">
        <f>AUGUST!V41</f>
        <v>722.77727884915794</v>
      </c>
      <c r="X25" s="27">
        <f>AUGUST!W41</f>
        <v>1066.453237839514</v>
      </c>
      <c r="Y25" s="27">
        <f>AUGUST!X41</f>
        <v>257.63428972013338</v>
      </c>
      <c r="Z25" s="27">
        <f>AUGUST!Y41</f>
        <v>20794.77116871965</v>
      </c>
      <c r="AA25" s="27">
        <f>AUGUST!Z41</f>
        <v>4907.6397431159221</v>
      </c>
      <c r="AB25" s="27">
        <f>AUGUST!AA41</f>
        <v>0</v>
      </c>
      <c r="AC25" s="30">
        <f>AUGUST!AB41</f>
        <v>0</v>
      </c>
      <c r="AD25" s="30">
        <f>AUGUST!AC41</f>
        <v>9.2564817999230845E-2</v>
      </c>
      <c r="AE25" s="38"/>
      <c r="AF25" s="38"/>
      <c r="AG25" s="38"/>
      <c r="AH25" s="39"/>
    </row>
    <row r="26" spans="1:34" ht="15.75" customHeight="1">
      <c r="A26" s="369"/>
      <c r="B26" s="3" t="s">
        <v>68</v>
      </c>
      <c r="C26" s="27">
        <f>SEPTEMBER!B41</f>
        <v>0</v>
      </c>
      <c r="D26" s="27">
        <f>SEPTEMBER!C41</f>
        <v>5472.2378899309924</v>
      </c>
      <c r="E26" s="27">
        <f>SEPTEMBER!D41</f>
        <v>73364.403058614058</v>
      </c>
      <c r="F26" s="27">
        <f>SEPTEMBER!E41</f>
        <v>1499.7160796986582</v>
      </c>
      <c r="G26" s="27">
        <f>SEPTEMBER!F41</f>
        <v>0</v>
      </c>
      <c r="H26" s="27">
        <f>SEPTEMBER!G41</f>
        <v>5297.2065432947111</v>
      </c>
      <c r="I26" s="27">
        <f>SEPTEMBER!H41</f>
        <v>5823.6041789066494</v>
      </c>
      <c r="J26" s="27">
        <f>SEPTEMBER!I41</f>
        <v>13644.532995913607</v>
      </c>
      <c r="K26" s="27">
        <f>SEPTEMBER!J41</f>
        <v>47749.524441987596</v>
      </c>
      <c r="L26" s="28">
        <f>SEPTEMBER!K41</f>
        <v>2063.9457570572449</v>
      </c>
      <c r="M26" s="27">
        <f>SEPTEMBER!L41</f>
        <v>0</v>
      </c>
      <c r="N26" s="27">
        <f>SEPTEMBER!M41</f>
        <v>0</v>
      </c>
      <c r="O26" s="29">
        <f>SEPTEMBER!N41</f>
        <v>223.52540062056917</v>
      </c>
      <c r="P26" s="29">
        <f>SEPTEMBER!O41</f>
        <v>0</v>
      </c>
      <c r="Q26" s="27">
        <f>SEPTEMBER!P41</f>
        <v>0</v>
      </c>
      <c r="R26" s="27">
        <f>SEPTEMBER!Q41</f>
        <v>0</v>
      </c>
      <c r="S26" s="27">
        <f>SEPTEMBER!R41</f>
        <v>0</v>
      </c>
      <c r="T26" s="27">
        <f>SEPTEMBER!S41</f>
        <v>0</v>
      </c>
      <c r="U26" s="27">
        <f>SEPTEMBER!T41</f>
        <v>0</v>
      </c>
      <c r="V26" s="27">
        <f>SEPTEMBER!U41</f>
        <v>2688.27940364807</v>
      </c>
      <c r="W26" s="27">
        <f>SEPTEMBER!V41</f>
        <v>943.28429443952518</v>
      </c>
      <c r="X26" s="27">
        <f>SEPTEMBER!W41</f>
        <v>1111.5575137552808</v>
      </c>
      <c r="Y26" s="27">
        <f>SEPTEMBER!X41</f>
        <v>389.88993925194001</v>
      </c>
      <c r="Z26" s="27">
        <f>SEPTEMBER!Y41</f>
        <v>16496.981684384809</v>
      </c>
      <c r="AA26" s="27">
        <f>SEPTEMBER!Z41</f>
        <v>5796.6410547458963</v>
      </c>
      <c r="AB26" s="27">
        <f>SEPTEMBER!AA41</f>
        <v>0</v>
      </c>
      <c r="AC26" s="30">
        <f>SEPTEMBER!AB41</f>
        <v>0</v>
      </c>
      <c r="AD26" s="30">
        <f>SEPTEMBER!AC41</f>
        <v>0</v>
      </c>
      <c r="AE26" s="38"/>
      <c r="AF26" s="38"/>
      <c r="AG26" s="38"/>
      <c r="AH26" s="39"/>
    </row>
    <row r="27" spans="1:34" ht="15.75" customHeight="1">
      <c r="A27" s="369"/>
      <c r="B27" s="3" t="s">
        <v>69</v>
      </c>
      <c r="C27" s="27">
        <f>OCTOBER!B41</f>
        <v>0</v>
      </c>
      <c r="D27" s="27">
        <f>OCTOBER!C41</f>
        <v>3002.0552160012585</v>
      </c>
      <c r="E27" s="27">
        <f>OCTOBER!D41</f>
        <v>52883.833863560569</v>
      </c>
      <c r="F27" s="27">
        <f>OCTOBER!E41</f>
        <v>1086.0394118584386</v>
      </c>
      <c r="G27" s="27">
        <f>OCTOBER!F41</f>
        <v>0</v>
      </c>
      <c r="H27" s="27">
        <f>OCTOBER!G41</f>
        <v>4748.486024874398</v>
      </c>
      <c r="I27" s="27">
        <f>OCTOBER!H41</f>
        <v>3973.4562071963151</v>
      </c>
      <c r="J27" s="27">
        <f>OCTOBER!I41</f>
        <v>9662.1256008742221</v>
      </c>
      <c r="K27" s="27">
        <f>OCTOBER!J41</f>
        <v>34891.923523620455</v>
      </c>
      <c r="L27" s="28">
        <f>OCTOBER!K41</f>
        <v>1545.6109188438147</v>
      </c>
      <c r="M27" s="27">
        <f>OCTOBER!L41</f>
        <v>9.1625632199548834E-2</v>
      </c>
      <c r="N27" s="27">
        <f>OCTOBER!M41</f>
        <v>0</v>
      </c>
      <c r="O27" s="29">
        <f>OCTOBER!N41</f>
        <v>154.15013896010484</v>
      </c>
      <c r="P27" s="29">
        <f>OCTOBER!O41</f>
        <v>3.495014750154778E-3</v>
      </c>
      <c r="Q27" s="27">
        <f>OCTOBER!P41</f>
        <v>1.7474011660496747E-3</v>
      </c>
      <c r="R27" s="27">
        <f>OCTOBER!Q41</f>
        <v>0</v>
      </c>
      <c r="S27" s="27">
        <f>OCTOBER!R41</f>
        <v>0</v>
      </c>
      <c r="T27" s="27">
        <f>OCTOBER!S41</f>
        <v>0</v>
      </c>
      <c r="U27" s="27">
        <f>OCTOBER!T41</f>
        <v>0</v>
      </c>
      <c r="V27" s="27">
        <f>OCTOBER!U41</f>
        <v>2016.5513597464801</v>
      </c>
      <c r="W27" s="27">
        <f>OCTOBER!V41</f>
        <v>661.54637905061963</v>
      </c>
      <c r="X27" s="27">
        <f>OCTOBER!W41</f>
        <v>858.53172272222321</v>
      </c>
      <c r="Y27" s="27">
        <f>OCTOBER!X41</f>
        <v>281.86375642491305</v>
      </c>
      <c r="Z27" s="27">
        <f>OCTOBER!Y41</f>
        <v>12599.114625836271</v>
      </c>
      <c r="AA27" s="27">
        <f>OCTOBER!Z41</f>
        <v>4151.0382096363555</v>
      </c>
      <c r="AB27" s="27">
        <f>OCTOBER!AA41</f>
        <v>0</v>
      </c>
      <c r="AC27" s="30">
        <f>OCTOBER!AB41</f>
        <v>0</v>
      </c>
      <c r="AD27" s="30">
        <f>OCTOBER!AC41</f>
        <v>0</v>
      </c>
      <c r="AE27" s="38"/>
      <c r="AF27" s="38"/>
      <c r="AG27" s="38"/>
      <c r="AH27" s="39"/>
    </row>
    <row r="28" spans="1:34" ht="15.75" customHeight="1">
      <c r="A28" s="369"/>
      <c r="B28" s="3" t="s">
        <v>70</v>
      </c>
      <c r="C28" s="27">
        <f>NOVEMBER!B41</f>
        <v>0</v>
      </c>
      <c r="D28" s="27">
        <f>NOVEMBER!C41</f>
        <v>0</v>
      </c>
      <c r="E28" s="27">
        <f>NOVEMBER!D41</f>
        <v>0</v>
      </c>
      <c r="F28" s="27">
        <f>NOVEMBER!E41</f>
        <v>0</v>
      </c>
      <c r="G28" s="27">
        <f>NOVEMBER!F41</f>
        <v>0</v>
      </c>
      <c r="H28" s="27">
        <f>NOVEMBER!G41</f>
        <v>0</v>
      </c>
      <c r="I28" s="27">
        <f>NOVEMBER!H41</f>
        <v>0</v>
      </c>
      <c r="J28" s="27">
        <f>NOVEMBER!I41</f>
        <v>6079.731890637072</v>
      </c>
      <c r="K28" s="27">
        <f>NOVEMBER!J41</f>
        <v>40916.110792841915</v>
      </c>
      <c r="L28" s="28">
        <f>NOVEMBER!K41</f>
        <v>1550.7137331617519</v>
      </c>
      <c r="M28" s="27">
        <f>NOVEMBER!L41</f>
        <v>0.21774409047188797</v>
      </c>
      <c r="N28" s="27">
        <f>NOVEMBER!M41</f>
        <v>0</v>
      </c>
      <c r="O28" s="29">
        <f>NOVEMBER!N41</f>
        <v>73.959084332395534</v>
      </c>
      <c r="P28" s="29">
        <f>NOVEMBER!O41</f>
        <v>0</v>
      </c>
      <c r="Q28" s="27">
        <f>NOVEMBER!P41</f>
        <v>0</v>
      </c>
      <c r="R28" s="27">
        <f>NOVEMBER!Q41</f>
        <v>0</v>
      </c>
      <c r="S28" s="27">
        <f>NOVEMBER!R41</f>
        <v>0</v>
      </c>
      <c r="T28" s="27">
        <f>NOVEMBER!S41</f>
        <v>0</v>
      </c>
      <c r="U28" s="27">
        <f>NOVEMBER!T41</f>
        <v>0</v>
      </c>
      <c r="V28" s="27">
        <f>NOVEMBER!U41</f>
        <v>1976.3636944616821</v>
      </c>
      <c r="W28" s="27">
        <f>NOVEMBER!V41</f>
        <v>0</v>
      </c>
      <c r="X28" s="27">
        <f>NOVEMBER!W41</f>
        <v>857.90290882061731</v>
      </c>
      <c r="Y28" s="27">
        <f>NOVEMBER!X41</f>
        <v>0</v>
      </c>
      <c r="Z28" s="27">
        <f>NOVEMBER!Y41</f>
        <v>15296.70805640031</v>
      </c>
      <c r="AA28" s="27">
        <f>NOVEMBER!Z41</f>
        <v>0</v>
      </c>
      <c r="AB28" s="27">
        <f>NOVEMBER!AA41</f>
        <v>0</v>
      </c>
      <c r="AC28" s="30">
        <f>NOVEMBER!AB41</f>
        <v>0</v>
      </c>
      <c r="AD28" s="30">
        <f>NOVEMBER!AC41</f>
        <v>0</v>
      </c>
      <c r="AE28" s="38"/>
      <c r="AF28" s="38"/>
      <c r="AG28" s="38"/>
      <c r="AH28" s="39"/>
    </row>
    <row r="29" spans="1:34" ht="15.75" customHeight="1">
      <c r="A29" s="370"/>
      <c r="B29" s="5" t="s">
        <v>71</v>
      </c>
      <c r="C29" s="31">
        <f>DECEMBER!B41</f>
        <v>0</v>
      </c>
      <c r="D29" s="31">
        <f>DECEMBER!C41</f>
        <v>0</v>
      </c>
      <c r="E29" s="31">
        <f>DECEMBER!D41</f>
        <v>0</v>
      </c>
      <c r="F29" s="31">
        <f>DECEMBER!E41</f>
        <v>0</v>
      </c>
      <c r="G29" s="31">
        <f>DECEMBER!F41</f>
        <v>0</v>
      </c>
      <c r="H29" s="31">
        <f>DECEMBER!G41</f>
        <v>0</v>
      </c>
      <c r="I29" s="31">
        <f>DECEMBER!H41</f>
        <v>0</v>
      </c>
      <c r="J29" s="31">
        <f>DECEMBER!I41</f>
        <v>5209.9132828305274</v>
      </c>
      <c r="K29" s="31">
        <f>DECEMBER!J41</f>
        <v>39319.973905466701</v>
      </c>
      <c r="L29" s="32">
        <f>DECEMBER!K41</f>
        <v>1449.4152753389408</v>
      </c>
      <c r="M29" s="31">
        <f>DECEMBER!L41</f>
        <v>0</v>
      </c>
      <c r="N29" s="31">
        <f>DECEMBER!M41</f>
        <v>0</v>
      </c>
      <c r="O29" s="33">
        <f>DECEMBER!N41</f>
        <v>71.664976856104687</v>
      </c>
      <c r="P29" s="33">
        <f>DECEMBER!O41</f>
        <v>0</v>
      </c>
      <c r="Q29" s="31">
        <f>DECEMBER!P41</f>
        <v>0</v>
      </c>
      <c r="R29" s="31">
        <f>DECEMBER!Q41</f>
        <v>0</v>
      </c>
      <c r="S29" s="31">
        <f>DECEMBER!R41</f>
        <v>0</v>
      </c>
      <c r="T29" s="31">
        <f>DECEMBER!S41</f>
        <v>0</v>
      </c>
      <c r="U29" s="31">
        <f>DECEMBER!T41</f>
        <v>0</v>
      </c>
      <c r="V29" s="31">
        <f>DECEMBER!U41</f>
        <v>2204.6711325839806</v>
      </c>
      <c r="W29" s="31">
        <f>DECEMBER!V41</f>
        <v>0</v>
      </c>
      <c r="X29" s="31">
        <f>DECEMBER!W41</f>
        <v>920.38873186761134</v>
      </c>
      <c r="Y29" s="31">
        <f>DECEMBER!X41</f>
        <v>0</v>
      </c>
      <c r="Z29" s="31">
        <f>DECEMBER!Y41</f>
        <v>16036.778216996143</v>
      </c>
      <c r="AA29" s="31">
        <f>DECEMBER!Z41</f>
        <v>0</v>
      </c>
      <c r="AB29" s="31">
        <f>DECEMBER!AA41</f>
        <v>0</v>
      </c>
      <c r="AC29" s="34">
        <f>DECEMBER!AB41</f>
        <v>0</v>
      </c>
      <c r="AD29" s="34">
        <f>DECEMBER!AC41</f>
        <v>0</v>
      </c>
      <c r="AE29" s="40"/>
      <c r="AF29" s="40"/>
      <c r="AG29" s="40"/>
      <c r="AH29" s="41"/>
    </row>
    <row r="30" spans="1:34" ht="15.75" customHeight="1" thickBot="1">
      <c r="A30" s="10" t="s">
        <v>96</v>
      </c>
      <c r="B30" s="11" t="s">
        <v>72</v>
      </c>
      <c r="C30" s="35">
        <f>SUM(C18:C29)</f>
        <v>0</v>
      </c>
      <c r="D30" s="35">
        <f t="shared" ref="D30:AD30" si="1">SUM(D18:D29)</f>
        <v>17199.015449752154</v>
      </c>
      <c r="E30" s="35">
        <f t="shared" si="1"/>
        <v>210760.04488454026</v>
      </c>
      <c r="F30" s="35">
        <f t="shared" si="1"/>
        <v>4579.5410801088856</v>
      </c>
      <c r="G30" s="35">
        <f t="shared" si="1"/>
        <v>0.76905357242998462</v>
      </c>
      <c r="H30" s="35">
        <f t="shared" si="1"/>
        <v>16761.470908681629</v>
      </c>
      <c r="I30" s="35">
        <f t="shared" si="1"/>
        <v>17631.836545219114</v>
      </c>
      <c r="J30" s="35">
        <f t="shared" si="1"/>
        <v>75412.132467722549</v>
      </c>
      <c r="K30" s="35">
        <f t="shared" si="1"/>
        <v>310960.13186882657</v>
      </c>
      <c r="L30" s="35">
        <f t="shared" si="1"/>
        <v>11993.266479025182</v>
      </c>
      <c r="M30" s="35">
        <f t="shared" si="1"/>
        <v>0.30936972267143681</v>
      </c>
      <c r="N30" s="35">
        <f t="shared" si="1"/>
        <v>0</v>
      </c>
      <c r="O30" s="35">
        <f t="shared" si="1"/>
        <v>1022.0191908877368</v>
      </c>
      <c r="P30" s="35">
        <f t="shared" si="1"/>
        <v>1.9012519224946511E-2</v>
      </c>
      <c r="Q30" s="35">
        <f t="shared" si="1"/>
        <v>4.1685454091381878E-3</v>
      </c>
      <c r="R30" s="35">
        <f t="shared" si="1"/>
        <v>7.7587522373958676E-3</v>
      </c>
      <c r="S30" s="35">
        <f t="shared" si="1"/>
        <v>1.2105721215442565E-3</v>
      </c>
      <c r="T30" s="35">
        <f t="shared" si="1"/>
        <v>0.11947590395634754</v>
      </c>
      <c r="U30" s="35">
        <f t="shared" si="1"/>
        <v>1.8641425077184602E-2</v>
      </c>
      <c r="V30" s="35">
        <f t="shared" si="1"/>
        <v>18257.903798041589</v>
      </c>
      <c r="W30" s="35">
        <f t="shared" si="1"/>
        <v>2980.5491830700907</v>
      </c>
      <c r="X30" s="35">
        <f t="shared" si="1"/>
        <v>7261.6342663737169</v>
      </c>
      <c r="Y30" s="35">
        <f t="shared" si="1"/>
        <v>1187.8342271186079</v>
      </c>
      <c r="Z30" s="35">
        <f t="shared" si="1"/>
        <v>117099.61127513714</v>
      </c>
      <c r="AA30" s="35">
        <f t="shared" si="1"/>
        <v>18590.128365632136</v>
      </c>
      <c r="AB30" s="35">
        <f t="shared" si="1"/>
        <v>0</v>
      </c>
      <c r="AC30" s="35">
        <f t="shared" si="1"/>
        <v>1324.4686519062598</v>
      </c>
      <c r="AD30" s="35">
        <f t="shared" si="1"/>
        <v>9.2564817999230845E-2</v>
      </c>
      <c r="AE30" s="42" t="str">
        <f>IF(SUM(AE18:AE29)&gt;0, AVERAGE(AE18:AE29), "")</f>
        <v/>
      </c>
      <c r="AF30" s="42" t="str">
        <f>IF(SUM(AF18:AF29)&gt;0, AVERAGE(AF18:AF29), "")</f>
        <v/>
      </c>
      <c r="AG30" s="42" t="str">
        <f>IF(SUM(AG18:AG29)&gt;0, AVERAGE(AG18:AG29), "")</f>
        <v/>
      </c>
      <c r="AH30" s="141" t="str">
        <f>IF(SUM(AH18:AH29)&gt;0, AVERAGE(AH18:AH29), "")</f>
        <v/>
      </c>
    </row>
    <row r="31" spans="1:34" ht="16.5" customHeight="1" thickTop="1">
      <c r="AH31" s="173" t="s">
        <v>231</v>
      </c>
    </row>
    <row r="32" spans="1:34" ht="15.75" thickBot="1">
      <c r="C32" s="179" t="s">
        <v>214</v>
      </c>
      <c r="D32" s="179" t="s">
        <v>215</v>
      </c>
      <c r="E32" s="179" t="s">
        <v>216</v>
      </c>
    </row>
    <row r="33" spans="1:5" ht="15.75" customHeight="1" thickTop="1">
      <c r="A33" s="365" t="s">
        <v>217</v>
      </c>
      <c r="B33" s="2" t="s">
        <v>60</v>
      </c>
      <c r="C33" s="174">
        <f>IF(ISNUMBER(JANUARY!B51)=TRUE,JANUARY!B51,"")</f>
        <v>2.7012085067666152</v>
      </c>
      <c r="D33" s="174">
        <f>IF(ISNUMBER(JANUARY!E51)=TRUE,JANUARY!E51,"")</f>
        <v>8.8649101746560319</v>
      </c>
      <c r="E33" s="174">
        <f>IF(ISNUMBER(JANUARY!H51)=TRUE,JANUARY!H51,"")</f>
        <v>1.6760994740908051</v>
      </c>
    </row>
    <row r="34" spans="1:5" ht="15.75" customHeight="1">
      <c r="A34" s="366"/>
      <c r="B34" s="3" t="s">
        <v>61</v>
      </c>
      <c r="C34" s="175" t="str">
        <f>IF(ISNUMBER(FEBRUARY!$B$51)=TRUE,FEBRUARY!$B$51,"")</f>
        <v/>
      </c>
      <c r="D34" s="175" t="str">
        <f>IF(ISNUMBER(FEBRUARY!$E$51)=TRUE,FEBRUARY!$E$51,"")</f>
        <v/>
      </c>
      <c r="E34" s="175" t="str">
        <f>IF(ISNUMBER(FEBRUARY!$H$51)=TRUE,FEBRUARY!$H$51,"")</f>
        <v/>
      </c>
    </row>
    <row r="35" spans="1:5">
      <c r="A35" s="366"/>
      <c r="B35" s="3" t="s">
        <v>62</v>
      </c>
      <c r="C35" s="175" t="str">
        <f>IF(ISNUMBER(MARCH!$B$51)=TRUE,MARCH!$B$51,"")</f>
        <v/>
      </c>
      <c r="D35" s="175" t="str">
        <f>IF(ISNUMBER(MARCH!$E$51)=TRUE,MARCH!$E$51,"")</f>
        <v/>
      </c>
      <c r="E35" s="175" t="str">
        <f>IF(ISNUMBER(MARCH!$H$51)=TRUE,MARCH!$H$51,"")</f>
        <v/>
      </c>
    </row>
    <row r="36" spans="1:5">
      <c r="A36" s="366"/>
      <c r="B36" s="3" t="s">
        <v>63</v>
      </c>
      <c r="C36" s="175" t="str">
        <f>IF(ISNUMBER(APRIL!$B$51)=TRUE,APRIL!$B$51,"")</f>
        <v/>
      </c>
      <c r="D36" s="175" t="str">
        <f>IF(ISNUMBER(APRIL!$E$51)=TRUE,APRIL!$E$51,"")</f>
        <v/>
      </c>
      <c r="E36" s="175" t="str">
        <f>IF(ISNUMBER(APRIL!$H$51)=TRUE,APRIL!$H$51,"")</f>
        <v/>
      </c>
    </row>
    <row r="37" spans="1:5">
      <c r="A37" s="366"/>
      <c r="B37" s="3" t="s">
        <v>64</v>
      </c>
      <c r="C37" s="175">
        <f>IF(ISNUMBER(MAY!$B$51)=TRUE,MAY!$B$51,"")</f>
        <v>1.5002640328413444</v>
      </c>
      <c r="D37" s="175">
        <f>IF(ISNUMBER(MAY!$E$51)=TRUE,MAY!$E$51,"")</f>
        <v>5.3729515694563972</v>
      </c>
      <c r="E37" s="175">
        <f>IF(ISNUMBER(MAY!$H$51)=TRUE,MAY!$H$51,"")</f>
        <v>0.93232252683840344</v>
      </c>
    </row>
    <row r="38" spans="1:5">
      <c r="A38" s="366"/>
      <c r="B38" s="3" t="s">
        <v>65</v>
      </c>
      <c r="C38" s="175">
        <f>IF(ISNUMBER(JUNE!$B$51)=TRUE,JUNE!$B$51,"")</f>
        <v>0.72142668907950624</v>
      </c>
      <c r="D38" s="175">
        <f>IF(ISNUMBER(JUNE!$E$51)=TRUE,JUNE!$E$51,"")</f>
        <v>2.7263097113826871</v>
      </c>
      <c r="E38" s="175">
        <f>IF(ISNUMBER(JUNE!$H$51)=TRUE,JUNE!$H$51,"")</f>
        <v>0.47419178990987881</v>
      </c>
    </row>
    <row r="39" spans="1:5">
      <c r="A39" s="366"/>
      <c r="B39" s="3" t="s">
        <v>66</v>
      </c>
      <c r="C39" s="175">
        <f>IF(ISNUMBER(JULY!$B$51)=TRUE,JULY!$B$51,"")</f>
        <v>0.85229406628263782</v>
      </c>
      <c r="D39" s="175">
        <f>IF(ISNUMBER(JULY!$E$51)=TRUE,JULY!$E$51,"")</f>
        <v>8.2891215383050767</v>
      </c>
      <c r="E39" s="175">
        <f>IF(ISNUMBER(JULY!$H$51)=TRUE,JULY!$H$51,"")</f>
        <v>0.55328474180760423</v>
      </c>
    </row>
    <row r="40" spans="1:5">
      <c r="A40" s="366"/>
      <c r="B40" s="3" t="s">
        <v>67</v>
      </c>
      <c r="C40" s="175">
        <f>IF(ISNUMBER(AUGUST!$B$51)=TRUE,AUGUST!$B$51,"")</f>
        <v>0.66977067893316766</v>
      </c>
      <c r="D40" s="175">
        <f>IF(ISNUMBER(AUGUST!$E$51)=TRUE,AUGUST!$E$51,"")</f>
        <v>1.6527194268308993</v>
      </c>
      <c r="E40" s="175">
        <f>IF(ISNUMBER(AUGUST!$H$51)=TRUE,AUGUST!$H$51,"")</f>
        <v>0.44751660170304541</v>
      </c>
    </row>
    <row r="41" spans="1:5">
      <c r="A41" s="366"/>
      <c r="B41" s="3" t="s">
        <v>68</v>
      </c>
      <c r="C41" s="175">
        <f>IF(ISNUMBER(SEPTEMBER!$B$51)=TRUE,SEPTEMBER!$B$51,"")</f>
        <v>0.70449481763888078</v>
      </c>
      <c r="D41" s="175">
        <f>IF(ISNUMBER(SEPTEMBER!$E$51)=TRUE,SEPTEMBER!$E$51,"")</f>
        <v>1.4537327344882442</v>
      </c>
      <c r="E41" s="175">
        <f>IF(ISNUMBER(SEPTEMBER!$H$51)=TRUE,SEPTEMBER!$H$51,"")</f>
        <v>0.46566935265590076</v>
      </c>
    </row>
    <row r="42" spans="1:5">
      <c r="A42" s="366"/>
      <c r="B42" s="3" t="s">
        <v>69</v>
      </c>
      <c r="C42" s="175">
        <f>IF(ISNUMBER(OCTOBER!$B$51)=TRUE,OCTOBER!$B$51,"")</f>
        <v>0.7322047040014017</v>
      </c>
      <c r="D42" s="175">
        <f>IF(ISNUMBER(OCTOBER!$E$51)=TRUE,OCTOBER!$E$51,"")</f>
        <v>1.5398693516650757</v>
      </c>
      <c r="E42" s="175">
        <f>IF(ISNUMBER(OCTOBER!$H$51)=TRUE,OCTOBER!$H$51,"")</f>
        <v>0.48044082774732005</v>
      </c>
    </row>
    <row r="43" spans="1:5">
      <c r="A43" s="366"/>
      <c r="B43" s="3" t="s">
        <v>70</v>
      </c>
      <c r="C43" s="175">
        <f>IF(ISNUMBER(NOVEMBER!$B$51)=TRUE,NOVEMBER!$B$51,"")</f>
        <v>0.78002259789118644</v>
      </c>
      <c r="D43" s="175" t="str">
        <f>IF(ISNUMBER(NOVEMBER!$E$51)=TRUE,NOVEMBER!$E$51,"")</f>
        <v/>
      </c>
      <c r="E43" s="175">
        <f>IF(ISNUMBER(NOVEMBER!$H$51)=TRUE,NOVEMBER!$H$51,"")</f>
        <v>0.52234144869567667</v>
      </c>
    </row>
    <row r="44" spans="1:5" ht="15.75" thickBot="1">
      <c r="A44" s="366"/>
      <c r="B44" s="5" t="s">
        <v>71</v>
      </c>
      <c r="C44" s="176">
        <f>IF(ISNUMBER(DECEMBER!$B$51)=TRUE,DECEMBER!$B$51,"")</f>
        <v>0.99986115729772373</v>
      </c>
      <c r="D44" s="176" t="str">
        <f>IF(ISNUMBER(DECEMBER!$E$51)=TRUE,DECEMBER!$E$51,"")</f>
        <v/>
      </c>
      <c r="E44" s="176">
        <f>IF(ISNUMBER(DECEMBER!$H$51)=TRUE,DECEMBER!$H$51,"")</f>
        <v>0.63343682662399314</v>
      </c>
    </row>
    <row r="45" spans="1:5" ht="15.75" thickBot="1">
      <c r="A45" s="367"/>
      <c r="B45" s="178" t="s">
        <v>218</v>
      </c>
      <c r="C45" s="177">
        <f>AVERAGE(C33:C44)</f>
        <v>1.0735052500813849</v>
      </c>
      <c r="D45" s="177">
        <f>AVERAGE(D33:D44)</f>
        <v>4.2713735009692018</v>
      </c>
      <c r="E45" s="177">
        <f>AVERAGE(E33:E44)</f>
        <v>0.68725595445251431</v>
      </c>
    </row>
    <row r="47" spans="1:5" ht="15.75" thickBot="1">
      <c r="C47" s="179" t="s">
        <v>214</v>
      </c>
      <c r="D47" s="179" t="s">
        <v>215</v>
      </c>
      <c r="E47" s="179" t="s">
        <v>216</v>
      </c>
    </row>
    <row r="48" spans="1:5" ht="15" customHeight="1" thickTop="1">
      <c r="A48" s="361" t="s">
        <v>219</v>
      </c>
      <c r="B48" s="181" t="s">
        <v>228</v>
      </c>
      <c r="C48" s="183">
        <f>(JANUARY!B44+FEBRUARY!B44+MARCH!B44+APRIL!B44+MAY!B44+JUNE!B44+JULY!B44+AUGUST!B44+SEPTEMBER!B44+OCTOBER!B44+NOVEMBER!B44+DECEMBER!B44)/$AE$17</f>
        <v>250.74071042045071</v>
      </c>
      <c r="D48" s="184">
        <f>(JANUARY!E44+FEBRUARY!E44+MARCH!E44+APRIL!E44+MAY!E44+JUNE!E44+JULY!E44+AUGUST!E44+SEPTEMBER!E44+OCTOBER!E44+NOVEMBER!E44+DECEMBER!E44)/$AG$17</f>
        <v>633.98041124275903</v>
      </c>
      <c r="E48" s="187">
        <f>(JANUARY!H44+FEBRUARY!H44+MARCH!H44+APRIL!H44+MAY!H44+JUNE!H44+JULY!H44+AUGUST!H44+SEPTEMBER!H44+OCTOBER!H44+NOVEMBER!H44+DECEMBER!H44)/$AF$17</f>
        <v>192.57369436131941</v>
      </c>
    </row>
    <row r="49" spans="1:10" ht="15" customHeight="1">
      <c r="A49" s="362"/>
      <c r="B49" s="182" t="s">
        <v>220</v>
      </c>
      <c r="C49" s="175">
        <f>(JANUARY!B47+FEBRUARY!B47+MARCH!B47+APRIL!B47+MAY!B47+JUNE!B47+JULY!B47+AUGUST!B47+SEPTEMBER!B47+OCTOBER!B47+NOVEMBER!B47+DECEMBER!B47)/$AE$17</f>
        <v>459.40197885591624</v>
      </c>
      <c r="D49" s="175">
        <f>(JANUARY!E47+FEBRUARY!E47+MARCH!E47+APRIL!E47+MAY!E47+JUNE!E47+JULY!E47+AUGUST!E47+SEPTEMBER!E47+OCTOBER!E47+NOVEMBER!E47+DECEMBER!E47)/$AG$17</f>
        <v>1670.0731190441961</v>
      </c>
      <c r="E49" s="188">
        <f>(JANUARY!H47+FEBRUARY!H47+MARCH!H47+APRIL!H47+MAY!H47+JUNE!H47+JULY!H47+AUGUST!H47+SEPTEMBER!H47+OCTOBER!H47+NOVEMBER!H47+DECEMBER!H47)/$AF$17</f>
        <v>271.13582993645105</v>
      </c>
    </row>
    <row r="50" spans="1:10" ht="15" customHeight="1">
      <c r="A50" s="362"/>
      <c r="B50" s="182" t="s">
        <v>221</v>
      </c>
      <c r="C50" s="180">
        <f>C48+C51</f>
        <v>413.08155350352968</v>
      </c>
      <c r="D50" s="180">
        <f>D48+D51</f>
        <v>1224.1412956847798</v>
      </c>
      <c r="E50" s="189">
        <f>E48+E51</f>
        <v>288.38612279606673</v>
      </c>
    </row>
    <row r="51" spans="1:10" ht="15" customHeight="1">
      <c r="A51" s="362"/>
      <c r="B51" s="182" t="s">
        <v>225</v>
      </c>
      <c r="C51" s="175">
        <f>(JANUARY!B48+FEBRUARY!B48+MARCH!B48+APRIL!B48+MAY!B48+JUNE!B48+JULY!B48+AUGUST!B48+SEPTEMBER!B48+OCTOBER!B48+NOVEMBER!B48+DECEMBER!B48)/$AE$17</f>
        <v>162.34084308307894</v>
      </c>
      <c r="D51" s="175">
        <f>(JANUARY!E48+FEBRUARY!E48+MARCH!E48+APRIL!E48+MAY!E48+JUNE!E48+JULY!E48+AUGUST!E48+SEPTEMBER!E48+OCTOBER!E48+NOVEMBER!E48+DECEMBER!E48)/$AG$17</f>
        <v>590.1608844420208</v>
      </c>
      <c r="E51" s="188">
        <f>(JANUARY!H48+FEBRUARY!H48+MARCH!H48+APRIL!H48+MAY!H48+JUNE!H48+JULY!H48+AUGUST!H48+SEPTEMBER!H48+OCTOBER!H48+NOVEMBER!H48+DECEMBER!H48)/$AF$17</f>
        <v>95.812428434747332</v>
      </c>
    </row>
    <row r="52" spans="1:10" ht="15" customHeight="1">
      <c r="A52" s="362"/>
      <c r="B52" s="182" t="s">
        <v>226</v>
      </c>
      <c r="C52" s="175">
        <f>(JANUARY!B46+FEBRUARY!B46+MARCH!B46+APRIL!B46+MAY!B46+JUNE!B46+JULY!B46+AUGUST!B46+SEPTEMBER!B46+OCTOBER!B46+NOVEMBER!B46+DECEMBER!B46)/$AE$17</f>
        <v>50.434061106192821</v>
      </c>
      <c r="D52" s="175">
        <f>(JANUARY!E46+FEBRUARY!E46+MARCH!E46+APRIL!E46+MAY!E46+JUNE!E46+JULY!E46+AUGUST!E46+SEPTEMBER!E46+OCTOBER!E46+NOVEMBER!E46+DECEMBER!E46)/$AG$17</f>
        <v>144.22252199525681</v>
      </c>
      <c r="E52" s="188">
        <f>(JANUARY!H46+FEBRUARY!H46+MARCH!H46+APRIL!H46+MAY!H46+JUNE!H46+JULY!H46+AUGUST!H46+SEPTEMBER!H46+OCTOBER!H46+NOVEMBER!H46+DECEMBER!H46)/$AF$17</f>
        <v>36.117179444403661</v>
      </c>
    </row>
    <row r="53" spans="1:10" ht="15" customHeight="1">
      <c r="A53" s="362"/>
      <c r="B53" s="186" t="s">
        <v>222</v>
      </c>
      <c r="C53" s="176">
        <f>(JANUARY!B45+FEBRUARY!B45+MARCH!B45+APRIL!B45+MAY!B45+JUNE!B45+JULY!B45+AUGUST!B45+SEPTEMBER!B45+OCTOBER!B45+NOVEMBER!B45+DECEMBER!B45)/$AE$17</f>
        <v>99.984568760841256</v>
      </c>
      <c r="D53" s="176">
        <f>(JANUARY!E45+FEBRUARY!E45+MARCH!E45+APRIL!E45+MAY!E45+JUNE!E45+JULY!E45+AUGUST!E45+SEPTEMBER!E45+OCTOBER!E45+NOVEMBER!E45+DECEMBER!E45)/$AG$17</f>
        <v>354.6255792590714</v>
      </c>
      <c r="E53" s="196">
        <f>(JANUARY!H45+FEBRUARY!H45+MARCH!H45+APRIL!H45+MAY!H45+JUNE!H45+JULY!H45+AUGUST!H45+SEPTEMBER!H45+OCTOBER!H45+NOVEMBER!H45+DECEMBER!H45)/$AF$17</f>
        <v>60.4470363078727</v>
      </c>
      <c r="H53" s="1"/>
      <c r="I53" s="1"/>
      <c r="J53" s="1"/>
    </row>
    <row r="54" spans="1:10" ht="15" customHeight="1">
      <c r="A54" s="363"/>
      <c r="B54" s="186" t="s">
        <v>229</v>
      </c>
      <c r="C54" s="200">
        <f>(SUM(JANUARY!AH39:AQ39)+SUM(FEBRUARY!AH39:AQ39)+SUM(MARCH!AH39:AQ39)+SUM(APRIL!AH39:AQ39)+SUM(MAY!AH39:AQ39)+SUM(JUNE!AH39:AQ39)+SUM(JULY!AH39:AQ39)+SUM(AUGUST!AH39:AQ39)+SUM(SEPTEMBER!AH39:AQ39)+SUM(OCTOBER!AH39:AQ39)+SUM(NOVEMBER!AH39:AQ39)+SUM(DECEMBER!AH39:AQ39))</f>
        <v>4247745.936303487</v>
      </c>
      <c r="D54" s="200">
        <f>(JANUARY!E45/JANUARY!AH40+FEBRUARY!E45/FEBRUARY!AH40+MARCH!E45/MARCH!AH40+APRIL!E45/APRIL!AH40+MAY!E45/MAY!AH40+JUNE!E45/JUNE!AH40+JULY!E45/JULY!AH40+AUGUST!E45/AUGUST!AH40+SEPTEMBER!E45/SEPTEMBER!AH40+OCTOBER!E45/OCTOBER!AH40+NOVEMBER!E45/NOVEMBER!AH40+DECEMBER!E45/DECEMBER!AH40)</f>
        <v>2055253.09134314</v>
      </c>
      <c r="E54" s="201">
        <f>C54-D54</f>
        <v>2192492.8449603468</v>
      </c>
      <c r="H54" s="1"/>
      <c r="I54" s="1"/>
      <c r="J54" s="1"/>
    </row>
    <row r="55" spans="1:10" ht="15" customHeight="1" thickBot="1">
      <c r="A55" s="363"/>
      <c r="B55" s="186" t="s">
        <v>230</v>
      </c>
      <c r="C55" s="202">
        <f>C54/C58</f>
        <v>1278.575649634151</v>
      </c>
      <c r="D55" s="202">
        <f>D54/D58</f>
        <v>4497.8588868249271</v>
      </c>
      <c r="E55" s="203">
        <f>E54/E58</f>
        <v>778.98685127812405</v>
      </c>
      <c r="H55" s="1"/>
      <c r="I55" s="1"/>
      <c r="J55" s="1"/>
    </row>
    <row r="56" spans="1:10" ht="15" customHeight="1" thickTop="1">
      <c r="A56" s="363"/>
      <c r="B56" s="199" t="s">
        <v>223</v>
      </c>
      <c r="C56" s="197">
        <f>C48+C49+C51+C52+C53</f>
        <v>1022.9021622264801</v>
      </c>
      <c r="D56" s="197">
        <f>D48+D49+D51+D52+D53</f>
        <v>3393.0625159833044</v>
      </c>
      <c r="E56" s="198">
        <f>E48+E49+E51+E52+E53</f>
        <v>656.08616848479414</v>
      </c>
      <c r="H56" s="1"/>
      <c r="I56" s="1"/>
      <c r="J56" s="1"/>
    </row>
    <row r="57" spans="1:10" ht="15" customHeight="1">
      <c r="A57" s="363"/>
      <c r="B57" s="190" t="s">
        <v>224</v>
      </c>
      <c r="C57" s="191">
        <f>C56/1000</f>
        <v>1.02290216222648</v>
      </c>
      <c r="D57" s="191">
        <f>D56/1000</f>
        <v>3.3930625159833046</v>
      </c>
      <c r="E57" s="192">
        <f>E56/1000</f>
        <v>0.65608616848479417</v>
      </c>
      <c r="H57" s="1"/>
      <c r="I57" s="185"/>
      <c r="J57" s="1"/>
    </row>
    <row r="58" spans="1:10" ht="15" customHeight="1" thickBot="1">
      <c r="A58" s="364"/>
      <c r="B58" s="193" t="s">
        <v>227</v>
      </c>
      <c r="C58" s="194">
        <f>AE17</f>
        <v>3322.2484234850936</v>
      </c>
      <c r="D58" s="194">
        <f>AG17</f>
        <v>456.94032273074686</v>
      </c>
      <c r="E58" s="195">
        <f>AF17</f>
        <v>2814.5440983541766</v>
      </c>
      <c r="H58" s="1"/>
      <c r="I58" s="1"/>
      <c r="J58" s="1"/>
    </row>
    <row r="59" spans="1:10" ht="15.75" thickTop="1">
      <c r="H59" s="1"/>
      <c r="I59" s="1"/>
      <c r="J59" s="1"/>
    </row>
  </sheetData>
  <sheetProtection password="A25B" sheet="1" objects="1" scenarios="1"/>
  <mergeCells count="14">
    <mergeCell ref="C1:AH1"/>
    <mergeCell ref="A2:B3"/>
    <mergeCell ref="AE2:AH2"/>
    <mergeCell ref="C2:I2"/>
    <mergeCell ref="J2:O2"/>
    <mergeCell ref="P2:U2"/>
    <mergeCell ref="V2:AB2"/>
    <mergeCell ref="AC2:AD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paperSize="17" scale="6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5"/>
  <sheetViews>
    <sheetView topLeftCell="L4" zoomScaleNormal="100" workbookViewId="0">
      <selection activeCell="AI23" sqref="AI23"/>
    </sheetView>
  </sheetViews>
  <sheetFormatPr defaultRowHeight="15"/>
  <cols>
    <col min="1" max="2" width="12.7109375" customWidth="1"/>
    <col min="3" max="35" width="9.140625" customWidth="1"/>
  </cols>
  <sheetData>
    <row r="1" spans="1:35" ht="21.75" thickBot="1">
      <c r="A1" s="470">
        <v>2011</v>
      </c>
      <c r="B1" s="502"/>
      <c r="C1" s="503" t="s">
        <v>98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  <c r="AG1" s="473"/>
      <c r="AH1" s="473"/>
      <c r="AI1" s="505"/>
    </row>
    <row r="2" spans="1:35" ht="28.5" customHeight="1" thickBot="1">
      <c r="A2" s="506"/>
      <c r="B2" s="382"/>
      <c r="C2" s="509" t="s">
        <v>74</v>
      </c>
      <c r="D2" s="387"/>
      <c r="E2" s="387"/>
      <c r="F2" s="387"/>
      <c r="G2" s="387"/>
      <c r="H2" s="387"/>
      <c r="I2" s="387"/>
      <c r="J2" s="387"/>
      <c r="K2" s="387"/>
      <c r="L2" s="387"/>
      <c r="M2" s="510"/>
      <c r="N2" s="510"/>
      <c r="O2" s="510"/>
      <c r="P2" s="511"/>
      <c r="Q2" s="512" t="s">
        <v>79</v>
      </c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4"/>
      <c r="AD2" s="515" t="s">
        <v>91</v>
      </c>
      <c r="AE2" s="516"/>
      <c r="AF2" s="519" t="s">
        <v>169</v>
      </c>
      <c r="AG2" s="520"/>
      <c r="AH2" s="520"/>
      <c r="AI2" s="521"/>
    </row>
    <row r="3" spans="1:35" ht="28.5" customHeight="1" thickBot="1">
      <c r="A3" s="506"/>
      <c r="B3" s="382"/>
      <c r="C3" s="509" t="s">
        <v>99</v>
      </c>
      <c r="D3" s="387"/>
      <c r="E3" s="387"/>
      <c r="F3" s="387"/>
      <c r="G3" s="387"/>
      <c r="H3" s="387"/>
      <c r="I3" s="388"/>
      <c r="J3" s="392" t="s">
        <v>100</v>
      </c>
      <c r="K3" s="393"/>
      <c r="L3" s="394"/>
      <c r="M3" s="479" t="s">
        <v>101</v>
      </c>
      <c r="N3" s="480"/>
      <c r="O3" s="480"/>
      <c r="P3" s="481"/>
      <c r="Q3" s="478" t="s">
        <v>102</v>
      </c>
      <c r="R3" s="390"/>
      <c r="S3" s="390"/>
      <c r="T3" s="390"/>
      <c r="U3" s="390"/>
      <c r="V3" s="391"/>
      <c r="W3" s="392" t="s">
        <v>103</v>
      </c>
      <c r="X3" s="393"/>
      <c r="Y3" s="394"/>
      <c r="Z3" s="479" t="s">
        <v>104</v>
      </c>
      <c r="AA3" s="480"/>
      <c r="AB3" s="480"/>
      <c r="AC3" s="481"/>
      <c r="AD3" s="517"/>
      <c r="AE3" s="518"/>
      <c r="AF3" s="522"/>
      <c r="AG3" s="523"/>
      <c r="AH3" s="523"/>
      <c r="AI3" s="524"/>
    </row>
    <row r="4" spans="1:35" ht="129.75" thickBot="1">
      <c r="A4" s="507"/>
      <c r="B4" s="508"/>
      <c r="C4" s="43" t="s">
        <v>75</v>
      </c>
      <c r="D4" s="44" t="s">
        <v>76</v>
      </c>
      <c r="E4" s="44" t="s">
        <v>11</v>
      </c>
      <c r="F4" s="44" t="s">
        <v>12</v>
      </c>
      <c r="G4" s="44" t="s">
        <v>13</v>
      </c>
      <c r="H4" s="44" t="s">
        <v>77</v>
      </c>
      <c r="I4" s="44" t="s">
        <v>78</v>
      </c>
      <c r="J4" s="45" t="s">
        <v>36</v>
      </c>
      <c r="K4" s="45" t="s">
        <v>83</v>
      </c>
      <c r="L4" s="45" t="s">
        <v>85</v>
      </c>
      <c r="M4" s="46" t="s">
        <v>87</v>
      </c>
      <c r="N4" s="46" t="s">
        <v>89</v>
      </c>
      <c r="O4" s="46" t="s">
        <v>46</v>
      </c>
      <c r="P4" s="47" t="s">
        <v>105</v>
      </c>
      <c r="Q4" s="48" t="s">
        <v>75</v>
      </c>
      <c r="R4" s="49" t="s">
        <v>80</v>
      </c>
      <c r="S4" s="49" t="s">
        <v>17</v>
      </c>
      <c r="T4" s="49" t="s">
        <v>18</v>
      </c>
      <c r="U4" s="49" t="s">
        <v>19</v>
      </c>
      <c r="V4" s="49" t="s">
        <v>13</v>
      </c>
      <c r="W4" s="45" t="s">
        <v>35</v>
      </c>
      <c r="X4" s="45" t="s">
        <v>82</v>
      </c>
      <c r="Y4" s="45" t="s">
        <v>84</v>
      </c>
      <c r="Z4" s="46" t="s">
        <v>86</v>
      </c>
      <c r="AA4" s="46" t="s">
        <v>88</v>
      </c>
      <c r="AB4" s="46" t="s">
        <v>45</v>
      </c>
      <c r="AC4" s="47" t="s">
        <v>106</v>
      </c>
      <c r="AD4" s="50" t="s">
        <v>7</v>
      </c>
      <c r="AE4" s="51" t="s">
        <v>92</v>
      </c>
      <c r="AF4" s="52" t="s">
        <v>27</v>
      </c>
      <c r="AG4" s="52" t="s">
        <v>31</v>
      </c>
      <c r="AH4" s="52" t="s">
        <v>32</v>
      </c>
      <c r="AI4" s="53" t="s">
        <v>33</v>
      </c>
    </row>
    <row r="5" spans="1:35" ht="15" customHeight="1">
      <c r="A5" s="482" t="s">
        <v>107</v>
      </c>
      <c r="B5" s="483"/>
      <c r="C5" s="57" t="s">
        <v>108</v>
      </c>
      <c r="D5" s="55" t="s">
        <v>108</v>
      </c>
      <c r="E5" s="55" t="s">
        <v>108</v>
      </c>
      <c r="F5" s="55" t="s">
        <v>108</v>
      </c>
      <c r="G5" s="55" t="s">
        <v>108</v>
      </c>
      <c r="H5" s="55" t="s">
        <v>109</v>
      </c>
      <c r="I5" s="55" t="s">
        <v>108</v>
      </c>
      <c r="J5" s="55" t="s">
        <v>108</v>
      </c>
      <c r="K5" s="55" t="s">
        <v>108</v>
      </c>
      <c r="L5" s="55" t="s">
        <v>108</v>
      </c>
      <c r="M5" s="55" t="s">
        <v>109</v>
      </c>
      <c r="N5" s="55" t="s">
        <v>108</v>
      </c>
      <c r="O5" s="55" t="s">
        <v>108</v>
      </c>
      <c r="P5" s="56" t="s">
        <v>108</v>
      </c>
      <c r="Q5" s="54" t="s">
        <v>108</v>
      </c>
      <c r="R5" s="55" t="s">
        <v>108</v>
      </c>
      <c r="S5" s="55" t="s">
        <v>108</v>
      </c>
      <c r="T5" s="55" t="s">
        <v>108</v>
      </c>
      <c r="U5" s="55" t="s">
        <v>108</v>
      </c>
      <c r="V5" s="55" t="s">
        <v>108</v>
      </c>
      <c r="W5" s="55" t="s">
        <v>108</v>
      </c>
      <c r="X5" s="55" t="s">
        <v>108</v>
      </c>
      <c r="Y5" s="55" t="s">
        <v>108</v>
      </c>
      <c r="Z5" s="55" t="s">
        <v>109</v>
      </c>
      <c r="AA5" s="55" t="s">
        <v>108</v>
      </c>
      <c r="AB5" s="55" t="s">
        <v>108</v>
      </c>
      <c r="AC5" s="56" t="s">
        <v>108</v>
      </c>
      <c r="AD5" s="57" t="s">
        <v>109</v>
      </c>
      <c r="AE5" s="84" t="s">
        <v>108</v>
      </c>
      <c r="AF5" s="58" t="s">
        <v>110</v>
      </c>
      <c r="AG5" s="58" t="s">
        <v>110</v>
      </c>
      <c r="AH5" s="58" t="s">
        <v>110</v>
      </c>
      <c r="AI5" s="59" t="s">
        <v>34</v>
      </c>
    </row>
    <row r="6" spans="1:35" ht="15.75" thickBot="1">
      <c r="A6" s="453"/>
      <c r="B6" s="484"/>
      <c r="C6" s="57">
        <f>'Yearly Summary '!$C$17</f>
        <v>0</v>
      </c>
      <c r="D6" s="55">
        <f>'Yearly Summary '!$D$17</f>
        <v>12527.995294900738</v>
      </c>
      <c r="E6" s="55">
        <f>'Yearly Summary '!$E$17</f>
        <v>99209.755112624145</v>
      </c>
      <c r="F6" s="55">
        <f>'Yearly Summary '!$F$17</f>
        <v>1466.6283255795638</v>
      </c>
      <c r="G6" s="55">
        <f>'Yearly Summary '!$G$17</f>
        <v>13.17323693782091</v>
      </c>
      <c r="H6" s="55">
        <f>'Yearly Summary '!$H$17</f>
        <v>338615.57391276018</v>
      </c>
      <c r="I6" s="55">
        <f>'Yearly Summary '!$I$17</f>
        <v>4847.6701927314261</v>
      </c>
      <c r="J6" s="55">
        <f>'Yearly Summary '!$Q$17</f>
        <v>2.6433388770692376E-4</v>
      </c>
      <c r="K6" s="55">
        <f>'Yearly Summary '!$S$17</f>
        <v>7.676424359824074E-5</v>
      </c>
      <c r="L6" s="55">
        <f>'Yearly Summary '!$U$17</f>
        <v>1.370790064254299E-2</v>
      </c>
      <c r="M6" s="55">
        <f>'Yearly Summary '!$W$17</f>
        <v>10106.817832880664</v>
      </c>
      <c r="N6" s="55">
        <f>'Yearly Summary '!$Y$17</f>
        <v>1164.543359920204</v>
      </c>
      <c r="O6" s="55">
        <f>'Yearly Summary '!$AA$17</f>
        <v>8770.2071143673165</v>
      </c>
      <c r="P6" s="56">
        <f>('Yearly Summary '!$AB$17)*(1-AI6)</f>
        <v>0</v>
      </c>
      <c r="Q6" s="54">
        <f>'Yearly Summary '!$J$17</f>
        <v>82743.765256085404</v>
      </c>
      <c r="R6" s="55">
        <f>'Yearly Summary '!$K$17</f>
        <v>224090.71584230062</v>
      </c>
      <c r="S6" s="55">
        <f>'Yearly Summary '!$L$17</f>
        <v>3840.9229280118152</v>
      </c>
      <c r="T6" s="55">
        <f>'Yearly Summary '!$M$17</f>
        <v>0.82249869108199958</v>
      </c>
      <c r="U6" s="55">
        <f>'Yearly Summary '!N17</f>
        <v>0</v>
      </c>
      <c r="V6" s="55">
        <f>'Yearly Summary '!O17</f>
        <v>17506.323927504916</v>
      </c>
      <c r="W6" s="55">
        <f>'Yearly Summary '!$P$17</f>
        <v>1.2056131404531716E-3</v>
      </c>
      <c r="X6" s="55">
        <f>'Yearly Summary '!$R$17</f>
        <v>4.9199443483803856E-4</v>
      </c>
      <c r="Y6" s="55">
        <f>'Yearly Summary '!$T$17</f>
        <v>8.7856149078221174E-2</v>
      </c>
      <c r="Z6" s="55">
        <f>'Yearly Summary '!$V$17</f>
        <v>61984.739782570759</v>
      </c>
      <c r="AA6" s="55">
        <f>'Yearly Summary '!$X$17</f>
        <v>7119.2492807585477</v>
      </c>
      <c r="AB6" s="55">
        <f>'Yearly Summary '!$Z$17</f>
        <v>54864.837017049314</v>
      </c>
      <c r="AC6" s="56">
        <f>('Yearly Summary '!$AB$17)*AI6</f>
        <v>0</v>
      </c>
      <c r="AD6" s="57">
        <v>4688.3846085177338</v>
      </c>
      <c r="AE6" s="55">
        <v>0</v>
      </c>
      <c r="AF6" s="60">
        <f>'Yearly Summary '!$AE$17</f>
        <v>3322.2484234850936</v>
      </c>
      <c r="AG6" s="60">
        <f>'Yearly Summary '!$AF$17</f>
        <v>2814.5440983541766</v>
      </c>
      <c r="AH6" s="60">
        <f>'Yearly Summary '!$AG$17</f>
        <v>456.94032273074686</v>
      </c>
      <c r="AI6" s="61">
        <f>'Yearly Summary '!$AH$17</f>
        <v>0.86032630331792581</v>
      </c>
    </row>
    <row r="7" spans="1:35" ht="15" customHeight="1">
      <c r="A7" s="455" t="s">
        <v>111</v>
      </c>
      <c r="B7" s="485"/>
      <c r="C7" s="65">
        <f>(C6*(1.029*8.34)*0.03)/2000</f>
        <v>0</v>
      </c>
      <c r="D7" s="63">
        <f>(D6*(1.4*8.34)*0.38)/2000</f>
        <v>27.79260588201959</v>
      </c>
      <c r="E7" s="63">
        <f>(E6*(1.54*8.34)*0.5)/2000</f>
        <v>318.55260269112489</v>
      </c>
      <c r="F7" s="63">
        <f>(F6*(1.04*8.34)*1)/2000</f>
        <v>6.3604737223734524</v>
      </c>
      <c r="G7" s="63">
        <f>(G6*(1.055*8.34)*0.005)/2000</f>
        <v>2.8976839961201214E-4</v>
      </c>
      <c r="H7" s="63">
        <f>H6/2000</f>
        <v>169.30778695638008</v>
      </c>
      <c r="I7" s="63">
        <f>(I6*(1.135*8.34)*0.35)/2000</f>
        <v>8.0303232235408704</v>
      </c>
      <c r="J7" s="63">
        <f>(J6*(1.055*8.34)*1)/2000</f>
        <v>1.1628972888834552E-6</v>
      </c>
      <c r="K7" s="63">
        <f>(K6*(1.055*8.34)*1)/2000</f>
        <v>3.3771277507392039E-7</v>
      </c>
      <c r="L7" s="63">
        <f>(L6*(1.4*8.34)*0.38)/2000</f>
        <v>3.0410155101443064E-5</v>
      </c>
      <c r="M7" s="63">
        <f>M6/2000</f>
        <v>5.0534089164403317</v>
      </c>
      <c r="N7" s="63">
        <f>(N6*(0.895*8.34)*0.29)/2000</f>
        <v>1.2604126452105948</v>
      </c>
      <c r="O7" s="63">
        <f>(O6*(1.54*8.34)*0.5)/2000</f>
        <v>28.160258023522015</v>
      </c>
      <c r="P7" s="64">
        <f>(P6*(1.135*8.34)*0.35)/2000</f>
        <v>0</v>
      </c>
      <c r="Q7" s="62">
        <f>(Q6*(1.029*8.34)*0.03)/2000</f>
        <v>10.651431139508835</v>
      </c>
      <c r="R7" s="63">
        <f>(R6*(1.4*8.34)*0.38)/2000</f>
        <v>497.13180765319328</v>
      </c>
      <c r="S7" s="63">
        <f>(S6*(1.04*8.34)*1)/2000</f>
        <v>16.657314554201644</v>
      </c>
      <c r="T7" s="63">
        <f>(T6*(1.135*8.34)*0.35)/2000</f>
        <v>1.3624958129847921E-3</v>
      </c>
      <c r="U7" s="63">
        <f>(U6*(1.055*8.34)*0.005)/2000</f>
        <v>0</v>
      </c>
      <c r="V7" s="63">
        <f>(V6*(1.055*8.34)*0.005)/2000</f>
        <v>0.38508223085234378</v>
      </c>
      <c r="W7" s="63">
        <f>(W6*(1.055*8.34)*1)/2000</f>
        <v>5.3039141694526597E-6</v>
      </c>
      <c r="X7" s="63">
        <f>(X6*(1.055*8.34)*1)/2000</f>
        <v>2.1644557169047249E-6</v>
      </c>
      <c r="Y7" s="63">
        <f>(Y6*(1.4*8.34)*0.38)/2000</f>
        <v>1.9490359536108897E-4</v>
      </c>
      <c r="Z7" s="63">
        <f>Z6/2000</f>
        <v>30.992369891285378</v>
      </c>
      <c r="AA7" s="63">
        <f>(AA6*(0.895*8.34)*0.29)/2000</f>
        <v>7.7053307989230726</v>
      </c>
      <c r="AB7" s="63">
        <f>(AB6*(1.54*8.34)*0.5)/2000</f>
        <v>176.16550517804365</v>
      </c>
      <c r="AC7" s="64">
        <f>(AC6*(1.135*8.34)*0.35)/2000</f>
        <v>0</v>
      </c>
      <c r="AD7" s="65">
        <f>AD6/2000</f>
        <v>2.344192304258867</v>
      </c>
      <c r="AE7" s="63">
        <f>(AE6*(1.029*8.34)*0.03)/2000</f>
        <v>0</v>
      </c>
      <c r="AF7" s="489" t="s">
        <v>168</v>
      </c>
      <c r="AG7" s="490"/>
      <c r="AH7" s="490"/>
      <c r="AI7" s="491"/>
    </row>
    <row r="8" spans="1:35">
      <c r="A8" s="498" t="s">
        <v>112</v>
      </c>
      <c r="B8" s="499"/>
      <c r="C8" s="69">
        <f>C7/$AH$6</f>
        <v>0</v>
      </c>
      <c r="D8" s="67">
        <f>D7/$AH$6</f>
        <v>6.0823272754583421E-2</v>
      </c>
      <c r="E8" s="67">
        <f t="shared" ref="E8:P8" si="0">E7/$AH$6</f>
        <v>0.69714268328827866</v>
      </c>
      <c r="F8" s="67">
        <f t="shared" si="0"/>
        <v>1.3919703309093551E-2</v>
      </c>
      <c r="G8" s="67">
        <f t="shared" si="0"/>
        <v>6.3414933022393571E-7</v>
      </c>
      <c r="H8" s="67">
        <f t="shared" si="0"/>
        <v>0.37052494282966814</v>
      </c>
      <c r="I8" s="67">
        <f t="shared" si="0"/>
        <v>1.7574118159567102E-2</v>
      </c>
      <c r="J8" s="67">
        <f t="shared" si="0"/>
        <v>2.544965351129003E-9</v>
      </c>
      <c r="K8" s="67">
        <f t="shared" si="0"/>
        <v>7.390741378561122E-10</v>
      </c>
      <c r="L8" s="67">
        <f t="shared" si="0"/>
        <v>6.6551699617375018E-8</v>
      </c>
      <c r="M8" s="67">
        <f t="shared" si="0"/>
        <v>1.1059231731269346E-2</v>
      </c>
      <c r="N8" s="67">
        <f t="shared" si="0"/>
        <v>2.7583747428508204E-3</v>
      </c>
      <c r="O8" s="67">
        <f t="shared" si="0"/>
        <v>6.1627868285363631E-2</v>
      </c>
      <c r="P8" s="68">
        <f t="shared" si="0"/>
        <v>0</v>
      </c>
      <c r="Q8" s="66">
        <f>Q7/$AG$6</f>
        <v>3.7844250320104526E-3</v>
      </c>
      <c r="R8" s="67">
        <f t="shared" ref="R8:AD8" si="1">R7/$AG$6</f>
        <v>0.17662960333216823</v>
      </c>
      <c r="S8" s="67">
        <f t="shared" si="1"/>
        <v>5.9182993664736398E-3</v>
      </c>
      <c r="T8" s="67">
        <f t="shared" si="1"/>
        <v>4.8409112288612588E-7</v>
      </c>
      <c r="U8" s="67">
        <f t="shared" si="1"/>
        <v>0</v>
      </c>
      <c r="V8" s="67">
        <f t="shared" si="1"/>
        <v>1.3681868799906996E-4</v>
      </c>
      <c r="W8" s="67">
        <f t="shared" si="1"/>
        <v>1.8844665367134089E-9</v>
      </c>
      <c r="X8" s="67">
        <f t="shared" si="1"/>
        <v>7.6902533457209097E-10</v>
      </c>
      <c r="Y8" s="67">
        <f t="shared" si="1"/>
        <v>6.9248726809809144E-8</v>
      </c>
      <c r="Z8" s="67">
        <f t="shared" si="1"/>
        <v>1.1011506236270511E-2</v>
      </c>
      <c r="AA8" s="67">
        <f t="shared" si="1"/>
        <v>2.737683450555568E-3</v>
      </c>
      <c r="AB8" s="67">
        <f t="shared" si="1"/>
        <v>6.2591133420527176E-2</v>
      </c>
      <c r="AC8" s="68">
        <f t="shared" si="1"/>
        <v>0</v>
      </c>
      <c r="AD8" s="69">
        <f t="shared" si="1"/>
        <v>8.3288526395079374E-4</v>
      </c>
      <c r="AE8" s="67"/>
      <c r="AF8" s="492"/>
      <c r="AG8" s="493"/>
      <c r="AH8" s="493"/>
      <c r="AI8" s="494"/>
    </row>
    <row r="9" spans="1:35" ht="15.75" thickBot="1">
      <c r="A9" s="500" t="s">
        <v>113</v>
      </c>
      <c r="B9" s="501"/>
      <c r="C9" s="134">
        <f t="shared" ref="C9:P9" si="2">C7/$AH$19</f>
        <v>0</v>
      </c>
      <c r="D9" s="70">
        <f t="shared" si="2"/>
        <v>5.3359177856284648E-2</v>
      </c>
      <c r="E9" s="70">
        <f t="shared" si="2"/>
        <v>0.61159090499587765</v>
      </c>
      <c r="F9" s="70">
        <f t="shared" si="2"/>
        <v>1.2211508702820768E-2</v>
      </c>
      <c r="G9" s="70">
        <f t="shared" si="2"/>
        <v>5.5632795419271296E-7</v>
      </c>
      <c r="H9" s="70">
        <f t="shared" si="2"/>
        <v>0.32505495724328809</v>
      </c>
      <c r="I9" s="70">
        <f t="shared" si="2"/>
        <v>1.5417462002207668E-2</v>
      </c>
      <c r="J9" s="70">
        <f t="shared" si="2"/>
        <v>2.2326529412007217E-9</v>
      </c>
      <c r="K9" s="70">
        <f t="shared" si="2"/>
        <v>6.4837662599917798E-10</v>
      </c>
      <c r="L9" s="70">
        <f t="shared" si="2"/>
        <v>5.8384625089973368E-8</v>
      </c>
      <c r="M9" s="70">
        <f t="shared" si="2"/>
        <v>9.7020677477142048E-3</v>
      </c>
      <c r="N9" s="70">
        <f t="shared" si="2"/>
        <v>2.419873213530245E-3</v>
      </c>
      <c r="O9" s="70">
        <f t="shared" si="2"/>
        <v>5.4065035237594955E-2</v>
      </c>
      <c r="P9" s="71">
        <f t="shared" si="2"/>
        <v>0</v>
      </c>
      <c r="Q9" s="72">
        <f t="shared" ref="Q9:AD9" si="3">Q7/$AF$19</f>
        <v>3.4966698079012971E-3</v>
      </c>
      <c r="R9" s="73">
        <f t="shared" si="3"/>
        <v>0.1631992696193193</v>
      </c>
      <c r="S9" s="73">
        <f t="shared" si="3"/>
        <v>5.4682913609933517E-3</v>
      </c>
      <c r="T9" s="73">
        <f t="shared" si="3"/>
        <v>4.4728242714579892E-7</v>
      </c>
      <c r="U9" s="73">
        <f t="shared" si="3"/>
        <v>0</v>
      </c>
      <c r="V9" s="73">
        <f t="shared" si="3"/>
        <v>1.2641544526219962E-4</v>
      </c>
      <c r="W9" s="73">
        <f t="shared" si="3"/>
        <v>1.7411779034305622E-9</v>
      </c>
      <c r="X9" s="73">
        <f t="shared" si="3"/>
        <v>7.1055117915254206E-10</v>
      </c>
      <c r="Y9" s="73">
        <f t="shared" si="3"/>
        <v>6.3983281535063035E-8</v>
      </c>
      <c r="Z9" s="73">
        <f t="shared" si="3"/>
        <v>1.0174227543207306E-2</v>
      </c>
      <c r="AA9" s="73">
        <f t="shared" si="3"/>
        <v>2.529519011257364E-3</v>
      </c>
      <c r="AB9" s="73">
        <f t="shared" si="3"/>
        <v>5.7831909635586286E-2</v>
      </c>
      <c r="AC9" s="74">
        <f t="shared" si="3"/>
        <v>0</v>
      </c>
      <c r="AD9" s="75">
        <f t="shared" si="3"/>
        <v>7.6955540967751392E-4</v>
      </c>
      <c r="AE9" s="73"/>
      <c r="AF9" s="495"/>
      <c r="AG9" s="496"/>
      <c r="AH9" s="496"/>
      <c r="AI9" s="497"/>
    </row>
    <row r="10" spans="1:35" ht="15.75" thickBot="1">
      <c r="A10" s="457" t="s">
        <v>114</v>
      </c>
      <c r="B10" s="469"/>
      <c r="C10" s="79">
        <f>'Yearly Summary '!$C$30</f>
        <v>0</v>
      </c>
      <c r="D10" s="77">
        <f>'Yearly Summary '!D30</f>
        <v>17199.015449752154</v>
      </c>
      <c r="E10" s="77">
        <f>'Yearly Summary '!E30</f>
        <v>210760.04488454026</v>
      </c>
      <c r="F10" s="77">
        <f>'Yearly Summary '!F30</f>
        <v>4579.5410801088856</v>
      </c>
      <c r="G10" s="77">
        <f>'Yearly Summary '!G30</f>
        <v>0.76905357242998462</v>
      </c>
      <c r="H10" s="77">
        <f>'Yearly Summary '!H30</f>
        <v>16761.470908681629</v>
      </c>
      <c r="I10" s="77">
        <f>'Yearly Summary '!I30</f>
        <v>17631.836545219114</v>
      </c>
      <c r="J10" s="77">
        <f>'Yearly Summary '!$Q$30</f>
        <v>4.1685454091381878E-3</v>
      </c>
      <c r="K10" s="77">
        <v>1.2105721215442565E-3</v>
      </c>
      <c r="L10" s="77">
        <v>1.8505665867433036E-2</v>
      </c>
      <c r="M10" s="77">
        <f>'Yearly Summary '!$W$30</f>
        <v>2980.5491830700907</v>
      </c>
      <c r="N10" s="77">
        <f>'Yearly Summary '!$Y$30</f>
        <v>1187.8342271186079</v>
      </c>
      <c r="O10" s="77">
        <f>'Yearly Summary '!$AA$30</f>
        <v>18590.128365632136</v>
      </c>
      <c r="P10" s="78">
        <f>('Yearly Summary '!$AB$30)*(1-AI6)</f>
        <v>0</v>
      </c>
      <c r="Q10" s="76">
        <f>'Yearly Summary '!J30</f>
        <v>75412.132467722549</v>
      </c>
      <c r="R10" s="77">
        <f>'Yearly Summary '!K30</f>
        <v>310960.13186882657</v>
      </c>
      <c r="S10" s="77">
        <f>'Yearly Summary '!L30</f>
        <v>11993.266479025182</v>
      </c>
      <c r="T10" s="77">
        <f>'Yearly Summary '!M30</f>
        <v>0.30936972267143681</v>
      </c>
      <c r="U10" s="77">
        <f>'Yearly Summary '!N30</f>
        <v>0</v>
      </c>
      <c r="V10" s="77">
        <f>'Yearly Summary '!O30</f>
        <v>1022.0191908877368</v>
      </c>
      <c r="W10" s="77">
        <f>'Yearly Summary '!$P$30</f>
        <v>1.9012519224946511E-2</v>
      </c>
      <c r="X10" s="77">
        <f>'Yearly Summary '!$R$30</f>
        <v>7.7587522373958676E-3</v>
      </c>
      <c r="Y10" s="77">
        <v>0.11860580125559859</v>
      </c>
      <c r="Z10" s="77">
        <f>'Yearly Summary '!$V$30</f>
        <v>18257.903798041589</v>
      </c>
      <c r="AA10" s="77">
        <f>'Yearly Summary '!$X$30</f>
        <v>7261.6342663737169</v>
      </c>
      <c r="AB10" s="77">
        <f>'Yearly Summary '!$Z$30</f>
        <v>117099.61127513714</v>
      </c>
      <c r="AC10" s="78">
        <f>('Yearly Summary '!$AB$30)*AI6</f>
        <v>0</v>
      </c>
      <c r="AD10" s="79">
        <f>'Yearly Summary '!$AC$30</f>
        <v>1324.4686519062598</v>
      </c>
      <c r="AE10" s="77">
        <f>'Yearly Summary '!$AD$30</f>
        <v>9.2564817999230845E-2</v>
      </c>
      <c r="AF10" s="80" t="s">
        <v>115</v>
      </c>
      <c r="AG10" s="81">
        <f>'[1]Yearly Summary '!$Q$29</f>
        <v>42.185885911956788</v>
      </c>
      <c r="AH10" s="80" t="s">
        <v>116</v>
      </c>
      <c r="AI10" s="82">
        <f>'[1]Yearly Summary '!$R$29</f>
        <v>89.382557874206555</v>
      </c>
    </row>
    <row r="11" spans="1:35" ht="15.75" thickBot="1">
      <c r="A11" s="131"/>
      <c r="B11" s="132"/>
      <c r="C11" s="474" t="s">
        <v>125</v>
      </c>
      <c r="D11" s="475"/>
      <c r="E11" s="475"/>
      <c r="F11" s="135">
        <f>SUM(C10:P10)</f>
        <v>289691.2135824787</v>
      </c>
      <c r="G11" s="476" t="s">
        <v>126</v>
      </c>
      <c r="H11" s="475"/>
      <c r="I11" s="475"/>
      <c r="J11" s="204">
        <f>SUM(Q10:AE10)</f>
        <v>543331.71530953399</v>
      </c>
      <c r="K11" s="476" t="s">
        <v>127</v>
      </c>
      <c r="L11" s="477"/>
      <c r="M11" s="477">
        <f>SUM(C10:AE10)</f>
        <v>833022.92889201269</v>
      </c>
      <c r="N11" s="486"/>
      <c r="O11" s="487" t="s">
        <v>128</v>
      </c>
      <c r="P11" s="488"/>
      <c r="Q11" s="488"/>
      <c r="R11" s="136">
        <f>($AG$6+$AH$6)/($AG$19+$AI$19)</f>
        <v>0.95227109268611321</v>
      </c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96"/>
      <c r="AF11" s="400" t="s">
        <v>118</v>
      </c>
      <c r="AG11" s="400" t="s">
        <v>119</v>
      </c>
      <c r="AH11" s="400" t="s">
        <v>120</v>
      </c>
      <c r="AI11" s="400" t="s">
        <v>121</v>
      </c>
    </row>
    <row r="12" spans="1:35" ht="21.75" customHeight="1" thickBot="1">
      <c r="A12" s="470">
        <f>A1+1</f>
        <v>2012</v>
      </c>
      <c r="B12" s="471"/>
      <c r="C12" s="472" t="s">
        <v>117</v>
      </c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3"/>
      <c r="T12" s="473"/>
      <c r="U12" s="473"/>
      <c r="V12" s="473"/>
      <c r="W12" s="473"/>
      <c r="X12" s="473"/>
      <c r="Y12" s="473"/>
      <c r="Z12" s="473"/>
      <c r="AA12" s="473"/>
      <c r="AB12" s="473"/>
      <c r="AC12" s="473"/>
      <c r="AD12" s="473"/>
      <c r="AE12" s="473"/>
      <c r="AF12" s="401"/>
      <c r="AG12" s="401"/>
      <c r="AH12" s="401"/>
      <c r="AI12" s="401"/>
    </row>
    <row r="13" spans="1:35" ht="15" customHeight="1">
      <c r="A13" s="453" t="s">
        <v>122</v>
      </c>
      <c r="B13" s="454"/>
      <c r="C13" s="83" t="s">
        <v>108</v>
      </c>
      <c r="D13" s="84" t="s">
        <v>108</v>
      </c>
      <c r="E13" s="84" t="s">
        <v>108</v>
      </c>
      <c r="F13" s="84" t="s">
        <v>108</v>
      </c>
      <c r="G13" s="84" t="s">
        <v>108</v>
      </c>
      <c r="H13" s="84" t="s">
        <v>109</v>
      </c>
      <c r="I13" s="84" t="s">
        <v>108</v>
      </c>
      <c r="J13" s="84" t="s">
        <v>108</v>
      </c>
      <c r="K13" s="84" t="s">
        <v>108</v>
      </c>
      <c r="L13" s="84" t="s">
        <v>108</v>
      </c>
      <c r="M13" s="84" t="s">
        <v>109</v>
      </c>
      <c r="N13" s="84" t="s">
        <v>108</v>
      </c>
      <c r="O13" s="84" t="s">
        <v>108</v>
      </c>
      <c r="P13" s="85" t="s">
        <v>108</v>
      </c>
      <c r="Q13" s="54" t="s">
        <v>108</v>
      </c>
      <c r="R13" s="55" t="s">
        <v>108</v>
      </c>
      <c r="S13" s="55" t="s">
        <v>108</v>
      </c>
      <c r="T13" s="55" t="s">
        <v>108</v>
      </c>
      <c r="U13" s="55" t="s">
        <v>108</v>
      </c>
      <c r="V13" s="55" t="s">
        <v>108</v>
      </c>
      <c r="W13" s="55" t="s">
        <v>108</v>
      </c>
      <c r="X13" s="55" t="s">
        <v>108</v>
      </c>
      <c r="Y13" s="55" t="s">
        <v>108</v>
      </c>
      <c r="Z13" s="55" t="s">
        <v>109</v>
      </c>
      <c r="AA13" s="55" t="s">
        <v>108</v>
      </c>
      <c r="AB13" s="55" t="s">
        <v>108</v>
      </c>
      <c r="AC13" s="56" t="s">
        <v>108</v>
      </c>
      <c r="AD13" s="57" t="s">
        <v>109</v>
      </c>
      <c r="AE13" s="86" t="s">
        <v>108</v>
      </c>
      <c r="AF13" s="401"/>
      <c r="AG13" s="401"/>
      <c r="AH13" s="401"/>
      <c r="AI13" s="401"/>
    </row>
    <row r="14" spans="1:35">
      <c r="A14" s="453"/>
      <c r="B14" s="454"/>
      <c r="C14" s="54">
        <f t="shared" ref="C14:P14" si="4">(C6/$AH$6)*$AB$18</f>
        <v>0</v>
      </c>
      <c r="D14" s="55">
        <f t="shared" si="4"/>
        <v>40983.821376900072</v>
      </c>
      <c r="E14" s="55">
        <f t="shared" si="4"/>
        <v>324552.71467389242</v>
      </c>
      <c r="F14" s="55">
        <f t="shared" si="4"/>
        <v>4797.8971820272482</v>
      </c>
      <c r="G14" s="55">
        <f t="shared" si="4"/>
        <v>43.094651371315976</v>
      </c>
      <c r="H14" s="55">
        <f t="shared" si="4"/>
        <v>1107739.8953307176</v>
      </c>
      <c r="I14" s="55">
        <f t="shared" si="4"/>
        <v>15858.56672167609</v>
      </c>
      <c r="J14" s="55">
        <f t="shared" si="4"/>
        <v>8.6473634309646027E-4</v>
      </c>
      <c r="K14" s="55">
        <f t="shared" si="4"/>
        <v>2.5112493848426771E-4</v>
      </c>
      <c r="L14" s="55">
        <f t="shared" si="4"/>
        <v>4.4843739015047811E-2</v>
      </c>
      <c r="M14" s="55">
        <f t="shared" si="4"/>
        <v>33063.232145389411</v>
      </c>
      <c r="N14" s="55">
        <f t="shared" si="4"/>
        <v>3809.6627533098736</v>
      </c>
      <c r="O14" s="55">
        <f t="shared" si="4"/>
        <v>28690.671839567942</v>
      </c>
      <c r="P14" s="56">
        <f t="shared" si="4"/>
        <v>0</v>
      </c>
      <c r="Q14" s="54">
        <f t="shared" ref="Q14:AE14" si="5">(Q6/$AG$6)*$T$18</f>
        <v>110250.04015772649</v>
      </c>
      <c r="R14" s="55">
        <f t="shared" si="5"/>
        <v>298584.55611881055</v>
      </c>
      <c r="S14" s="55">
        <f t="shared" si="5"/>
        <v>5117.7500292070818</v>
      </c>
      <c r="T14" s="55">
        <f t="shared" si="5"/>
        <v>1.0959195951600571</v>
      </c>
      <c r="U14" s="55">
        <f t="shared" si="5"/>
        <v>0</v>
      </c>
      <c r="V14" s="55">
        <f t="shared" si="5"/>
        <v>23325.901474850245</v>
      </c>
      <c r="W14" s="55">
        <f t="shared" si="5"/>
        <v>1.6063916929362767E-3</v>
      </c>
      <c r="X14" s="55">
        <f t="shared" si="5"/>
        <v>6.5554674760564429E-4</v>
      </c>
      <c r="Y14" s="55">
        <f t="shared" si="5"/>
        <v>0.11706191921529363</v>
      </c>
      <c r="Z14" s="55">
        <f t="shared" si="5"/>
        <v>82590.150799211522</v>
      </c>
      <c r="AA14" s="55">
        <f t="shared" si="5"/>
        <v>9485.881101340985</v>
      </c>
      <c r="AB14" s="55">
        <f t="shared" si="5"/>
        <v>73103.398977023724</v>
      </c>
      <c r="AC14" s="56">
        <f t="shared" si="5"/>
        <v>0</v>
      </c>
      <c r="AD14" s="57">
        <f t="shared" si="5"/>
        <v>6246.9309894733351</v>
      </c>
      <c r="AE14" s="86">
        <f t="shared" si="5"/>
        <v>0</v>
      </c>
      <c r="AF14" s="401"/>
      <c r="AG14" s="401"/>
      <c r="AH14" s="401"/>
      <c r="AI14" s="401"/>
    </row>
    <row r="15" spans="1:35">
      <c r="A15" s="455" t="s">
        <v>123</v>
      </c>
      <c r="B15" s="456"/>
      <c r="C15" s="62">
        <f t="shared" ref="C15:P15" si="6">C8*$AB$18</f>
        <v>0</v>
      </c>
      <c r="D15" s="63">
        <f t="shared" si="6"/>
        <v>90.920148695370173</v>
      </c>
      <c r="E15" s="63">
        <f t="shared" si="6"/>
        <v>1042.1063115464015</v>
      </c>
      <c r="F15" s="63">
        <f t="shared" si="6"/>
        <v>20.807520499015773</v>
      </c>
      <c r="G15" s="63">
        <f t="shared" si="6"/>
        <v>9.4794227255199487E-4</v>
      </c>
      <c r="H15" s="63">
        <f t="shared" si="6"/>
        <v>553.86994766535872</v>
      </c>
      <c r="I15" s="63">
        <f t="shared" si="6"/>
        <v>26.270231177874898</v>
      </c>
      <c r="J15" s="63">
        <f t="shared" si="6"/>
        <v>3.8042778310014127E-6</v>
      </c>
      <c r="K15" s="63">
        <f t="shared" si="6"/>
        <v>1.1047864981207631E-6</v>
      </c>
      <c r="L15" s="63">
        <f t="shared" si="6"/>
        <v>9.9483144380542633E-5</v>
      </c>
      <c r="M15" s="63">
        <f t="shared" si="6"/>
        <v>16.531616072694703</v>
      </c>
      <c r="N15" s="63">
        <f t="shared" si="6"/>
        <v>4.1232875249819783</v>
      </c>
      <c r="O15" s="63">
        <f t="shared" si="6"/>
        <v>92.122878209668713</v>
      </c>
      <c r="P15" s="64">
        <f t="shared" si="6"/>
        <v>0</v>
      </c>
      <c r="Q15" s="62">
        <f t="shared" ref="Q15:AD15" si="7">Q8*$T$18</f>
        <v>14.192256144419797</v>
      </c>
      <c r="R15" s="63">
        <f t="shared" si="7"/>
        <v>662.39192267621399</v>
      </c>
      <c r="S15" s="63">
        <f t="shared" si="7"/>
        <v>22.19465832666528</v>
      </c>
      <c r="T15" s="63">
        <f t="shared" si="7"/>
        <v>1.8154264267694769E-3</v>
      </c>
      <c r="U15" s="63">
        <f t="shared" si="7"/>
        <v>0</v>
      </c>
      <c r="V15" s="63">
        <f t="shared" si="7"/>
        <v>0.51309402326691211</v>
      </c>
      <c r="W15" s="63">
        <f t="shared" si="7"/>
        <v>7.0670792943192079E-6</v>
      </c>
      <c r="X15" s="63">
        <f t="shared" si="7"/>
        <v>2.8839795840788908E-6</v>
      </c>
      <c r="Y15" s="63">
        <f t="shared" si="7"/>
        <v>2.5969484406397598E-4</v>
      </c>
      <c r="Z15" s="63">
        <f t="shared" si="7"/>
        <v>41.295075399605757</v>
      </c>
      <c r="AA15" s="63">
        <f t="shared" si="7"/>
        <v>10.266792034187226</v>
      </c>
      <c r="AB15" s="63">
        <f t="shared" si="7"/>
        <v>234.72770377532549</v>
      </c>
      <c r="AC15" s="64">
        <f t="shared" si="7"/>
        <v>0</v>
      </c>
      <c r="AD15" s="65">
        <f t="shared" si="7"/>
        <v>3.1234654947366676</v>
      </c>
      <c r="AE15" s="87">
        <f>(AE14*(1.029*8.34)*0.03)/2000</f>
        <v>0</v>
      </c>
      <c r="AF15" s="401"/>
      <c r="AG15" s="401"/>
      <c r="AH15" s="401"/>
      <c r="AI15" s="401"/>
    </row>
    <row r="16" spans="1:35" ht="15" customHeight="1" thickBot="1">
      <c r="A16" s="457" t="s">
        <v>124</v>
      </c>
      <c r="B16" s="458"/>
      <c r="C16" s="88">
        <f>$AI$30*C15</f>
        <v>0</v>
      </c>
      <c r="D16" s="89">
        <f>$AI$28*D15</f>
        <v>58916.256354599871</v>
      </c>
      <c r="E16" s="89">
        <f>$AI$31*E15</f>
        <v>716969.14234392415</v>
      </c>
      <c r="F16" s="89">
        <f>$AI$26*F15</f>
        <v>14981.414759291356</v>
      </c>
      <c r="G16" s="90">
        <f>$AI$23*G15</f>
        <v>2.6542383631455855</v>
      </c>
      <c r="H16" s="90">
        <f>$AI$24*H15</f>
        <v>54833.124818870514</v>
      </c>
      <c r="I16" s="90">
        <f>$AI$29*I15</f>
        <v>57680.420730209429</v>
      </c>
      <c r="J16" s="90">
        <v>0</v>
      </c>
      <c r="K16" s="90">
        <f>'Yearly Summary '!$S$30</f>
        <v>1.2105721215442565E-3</v>
      </c>
      <c r="L16" s="90">
        <f>'Yearly Summary '!$U$30</f>
        <v>1.8641425077184602E-2</v>
      </c>
      <c r="M16" s="90">
        <f>$AI$27*M15</f>
        <v>9836.3115632533481</v>
      </c>
      <c r="N16" s="90">
        <f>$AI$22*N15</f>
        <v>3885.8560083760703</v>
      </c>
      <c r="O16" s="90">
        <f>$AI$31*O15</f>
        <v>63380.540208252074</v>
      </c>
      <c r="P16" s="91">
        <v>0</v>
      </c>
      <c r="Q16" s="92">
        <f>$AI$30*Q15</f>
        <v>100481.17350249217</v>
      </c>
      <c r="R16" s="90">
        <f>$AI$28*R15</f>
        <v>429229.96589418669</v>
      </c>
      <c r="S16" s="90">
        <f>$AI$26*S15</f>
        <v>15980.153995199002</v>
      </c>
      <c r="T16" s="90">
        <f>$AI$25*T15</f>
        <v>2.9772993399019421</v>
      </c>
      <c r="U16" s="90">
        <f>$AI$23*U15</f>
        <v>0</v>
      </c>
      <c r="V16" s="90">
        <f>$AI$23*V15</f>
        <v>1436.663265147354</v>
      </c>
      <c r="W16" s="90">
        <v>0</v>
      </c>
      <c r="X16" s="90">
        <v>0</v>
      </c>
      <c r="Y16" s="90">
        <f>'Yearly Summary '!$T$30</f>
        <v>0.11947590395634754</v>
      </c>
      <c r="Z16" s="90">
        <f>$AI$27*Z15</f>
        <v>24570.569862765424</v>
      </c>
      <c r="AA16" s="90">
        <f>$AI$22*AA15</f>
        <v>9675.5987233678024</v>
      </c>
      <c r="AB16" s="90">
        <f>$AI$31*AB15</f>
        <v>161492.66019742395</v>
      </c>
      <c r="AC16" s="91">
        <v>0</v>
      </c>
      <c r="AD16" s="93">
        <f>$AI$27*AD15</f>
        <v>1858.4619693683171</v>
      </c>
      <c r="AE16" s="94">
        <f>$AI$30*AE15</f>
        <v>0</v>
      </c>
      <c r="AF16" s="401"/>
      <c r="AG16" s="401"/>
      <c r="AH16" s="401"/>
      <c r="AI16" s="401"/>
    </row>
    <row r="17" spans="1:35" ht="15" customHeight="1" thickBot="1">
      <c r="A17" s="459"/>
      <c r="B17" s="460"/>
      <c r="C17" s="461" t="s">
        <v>125</v>
      </c>
      <c r="D17" s="462"/>
      <c r="E17" s="462"/>
      <c r="F17" s="95">
        <f>SUM(C16:P16)</f>
        <v>980485.74087713717</v>
      </c>
      <c r="G17" s="463" t="s">
        <v>126</v>
      </c>
      <c r="H17" s="462"/>
      <c r="I17" s="462"/>
      <c r="J17" s="205">
        <f>SUM(Q16:AE16)</f>
        <v>744728.34418519458</v>
      </c>
      <c r="K17" s="463" t="s">
        <v>127</v>
      </c>
      <c r="L17" s="464"/>
      <c r="M17" s="465">
        <f>SUM(C16:AE16)</f>
        <v>1725214.0850623315</v>
      </c>
      <c r="N17" s="466"/>
      <c r="O17" s="467"/>
      <c r="P17" s="468"/>
      <c r="Q17" s="468"/>
      <c r="R17" s="137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402"/>
      <c r="AG17" s="402"/>
      <c r="AH17" s="402"/>
      <c r="AI17" s="402"/>
    </row>
    <row r="18" spans="1:35" ht="15" customHeight="1" thickTop="1" thickBot="1">
      <c r="A18" s="97" t="s">
        <v>129</v>
      </c>
      <c r="B18" s="98"/>
      <c r="C18" s="98"/>
      <c r="D18" s="99">
        <v>5245</v>
      </c>
      <c r="E18" s="100" t="s">
        <v>130</v>
      </c>
      <c r="F18" s="101"/>
      <c r="G18" s="101"/>
      <c r="H18" s="102">
        <f>D18*((AF19+AH19)/(AG6+AH6))</f>
        <v>5718.8221593063845</v>
      </c>
      <c r="I18" s="103" t="s">
        <v>131</v>
      </c>
      <c r="J18" s="101"/>
      <c r="K18" s="101"/>
      <c r="L18" s="104">
        <v>0.71499999999999997</v>
      </c>
      <c r="M18" s="103" t="s">
        <v>132</v>
      </c>
      <c r="N18" s="101"/>
      <c r="O18" s="101"/>
      <c r="P18" s="105">
        <f>L18/(1-L18)</f>
        <v>2.5087719298245612</v>
      </c>
      <c r="Q18" s="103" t="s">
        <v>133</v>
      </c>
      <c r="R18" s="101"/>
      <c r="S18" s="101"/>
      <c r="T18" s="102">
        <f>D18*L18</f>
        <v>3750.1749999999997</v>
      </c>
      <c r="U18" s="103" t="s">
        <v>134</v>
      </c>
      <c r="V18" s="101"/>
      <c r="W18" s="101"/>
      <c r="X18" s="102">
        <f>H18*L18</f>
        <v>4088.9578439040647</v>
      </c>
      <c r="Y18" s="103" t="s">
        <v>135</v>
      </c>
      <c r="Z18" s="101"/>
      <c r="AA18" s="101"/>
      <c r="AB18" s="102">
        <f>D18-T18</f>
        <v>1494.8250000000003</v>
      </c>
      <c r="AC18" s="103" t="s">
        <v>136</v>
      </c>
      <c r="AD18" s="101"/>
      <c r="AE18" s="106">
        <f>H18-X18</f>
        <v>1629.8643154023198</v>
      </c>
      <c r="AF18" s="138" t="s">
        <v>110</v>
      </c>
      <c r="AG18" s="139" t="s">
        <v>110</v>
      </c>
      <c r="AH18" s="139" t="s">
        <v>110</v>
      </c>
      <c r="AI18" s="139" t="s">
        <v>110</v>
      </c>
    </row>
    <row r="19" spans="1:35" ht="16.5" thickTop="1" thickBot="1">
      <c r="O19" s="444"/>
      <c r="P19" s="444"/>
      <c r="AF19" s="107">
        <f>'[1]Yearly Summary '!$C$29</f>
        <v>3046.1644149070598</v>
      </c>
      <c r="AG19" s="107">
        <f>AF19-AG10</f>
        <v>3003.9785289951033</v>
      </c>
      <c r="AH19" s="107">
        <f>'[1]Yearly Summary '!$D$29</f>
        <v>520.85895995015176</v>
      </c>
      <c r="AI19" s="107">
        <f>AH19-AI10</f>
        <v>431.4764020759452</v>
      </c>
    </row>
    <row r="20" spans="1:35" ht="15" customHeight="1">
      <c r="A20" s="445">
        <f>A12</f>
        <v>2012</v>
      </c>
      <c r="B20" s="446"/>
      <c r="C20" s="446" t="s">
        <v>137</v>
      </c>
      <c r="D20" s="446"/>
      <c r="E20" s="446"/>
      <c r="F20" s="446"/>
      <c r="G20" s="446"/>
      <c r="H20" s="446"/>
      <c r="I20" s="446"/>
      <c r="J20" s="446" t="s">
        <v>138</v>
      </c>
      <c r="K20" s="446"/>
      <c r="L20" s="446"/>
      <c r="M20" s="446"/>
      <c r="N20" s="446"/>
      <c r="O20" s="446"/>
      <c r="P20" s="447"/>
      <c r="Q20" s="108"/>
      <c r="R20" s="109">
        <f>A1</f>
        <v>2011</v>
      </c>
      <c r="S20" s="448" t="s">
        <v>139</v>
      </c>
      <c r="T20" s="449"/>
      <c r="U20" s="450" t="s">
        <v>140</v>
      </c>
      <c r="V20" s="451"/>
      <c r="W20" s="451"/>
      <c r="X20" s="451"/>
      <c r="Y20" s="452"/>
      <c r="Z20" s="433" t="s">
        <v>141</v>
      </c>
      <c r="AA20" s="434"/>
      <c r="AB20" s="434"/>
      <c r="AC20" s="434"/>
      <c r="AD20" s="435"/>
      <c r="AE20" s="436" t="s">
        <v>142</v>
      </c>
      <c r="AF20" s="437"/>
      <c r="AG20" s="437"/>
      <c r="AH20" s="437"/>
      <c r="AI20" s="438"/>
    </row>
    <row r="21" spans="1:35" ht="15.75" thickBot="1">
      <c r="A21" s="439" t="s">
        <v>143</v>
      </c>
      <c r="B21" s="440"/>
      <c r="C21" s="425" t="s">
        <v>171</v>
      </c>
      <c r="D21" s="425"/>
      <c r="E21" s="425" t="s">
        <v>172</v>
      </c>
      <c r="F21" s="432"/>
      <c r="G21" s="432" t="s">
        <v>173</v>
      </c>
      <c r="H21" s="441"/>
      <c r="I21" s="441"/>
      <c r="J21" s="442" t="s">
        <v>174</v>
      </c>
      <c r="K21" s="442"/>
      <c r="L21" s="443"/>
      <c r="M21" s="442" t="s">
        <v>175</v>
      </c>
      <c r="N21" s="443"/>
      <c r="O21" s="425" t="s">
        <v>144</v>
      </c>
      <c r="P21" s="404"/>
      <c r="Q21" s="108"/>
      <c r="R21" s="405" t="s">
        <v>143</v>
      </c>
      <c r="S21" s="406"/>
      <c r="T21" s="406"/>
      <c r="U21" s="110" t="s">
        <v>145</v>
      </c>
      <c r="V21" s="162" t="s">
        <v>146</v>
      </c>
      <c r="W21" s="162" t="s">
        <v>147</v>
      </c>
      <c r="X21" s="162" t="s">
        <v>66</v>
      </c>
      <c r="Y21" s="162" t="s">
        <v>148</v>
      </c>
      <c r="Z21" s="111" t="s">
        <v>145</v>
      </c>
      <c r="AA21" s="111" t="s">
        <v>146</v>
      </c>
      <c r="AB21" s="111" t="s">
        <v>147</v>
      </c>
      <c r="AC21" s="111" t="s">
        <v>66</v>
      </c>
      <c r="AD21" s="111" t="s">
        <v>148</v>
      </c>
      <c r="AE21" s="112" t="s">
        <v>145</v>
      </c>
      <c r="AF21" s="112" t="s">
        <v>146</v>
      </c>
      <c r="AG21" s="112" t="s">
        <v>147</v>
      </c>
      <c r="AH21" s="112" t="s">
        <v>66</v>
      </c>
      <c r="AI21" s="113" t="s">
        <v>148</v>
      </c>
    </row>
    <row r="22" spans="1:35" ht="15.75" thickTop="1">
      <c r="A22" s="422" t="s">
        <v>149</v>
      </c>
      <c r="B22" s="423"/>
      <c r="C22" s="424">
        <f>N15+AA15</f>
        <v>14.390079559169205</v>
      </c>
      <c r="D22" s="425"/>
      <c r="E22" s="426">
        <f>N16+AA16</f>
        <v>13561.454731743874</v>
      </c>
      <c r="F22" s="427"/>
      <c r="G22" s="428">
        <f>(C22*2000)/(8.34*0.895*0.29)</f>
        <v>13295.543854650856</v>
      </c>
      <c r="H22" s="428"/>
      <c r="I22" s="114" t="s">
        <v>150</v>
      </c>
      <c r="J22" s="429">
        <f>(G22*8.34*0.895)/27000</f>
        <v>3.675626962750755</v>
      </c>
      <c r="K22" s="430"/>
      <c r="L22" s="115" t="s">
        <v>151</v>
      </c>
      <c r="M22" s="431">
        <f>ROUNDUP(J22,0)</f>
        <v>4</v>
      </c>
      <c r="N22" s="432"/>
      <c r="O22" s="403">
        <f>((M22*27000)/(8.34*0.895))*$Y$22</f>
        <v>14758.249266508583</v>
      </c>
      <c r="P22" s="404"/>
      <c r="Q22" s="108"/>
      <c r="R22" s="405" t="s">
        <v>149</v>
      </c>
      <c r="S22" s="406"/>
      <c r="T22" s="406"/>
      <c r="U22" s="158" t="s">
        <v>150</v>
      </c>
      <c r="V22" s="163">
        <v>1.02</v>
      </c>
      <c r="W22" s="164">
        <v>1.02</v>
      </c>
      <c r="X22" s="164">
        <v>1.02</v>
      </c>
      <c r="Y22" s="165">
        <v>1.02</v>
      </c>
      <c r="Z22" s="160" t="s">
        <v>150</v>
      </c>
      <c r="AA22" s="117">
        <f>V22</f>
        <v>1.02</v>
      </c>
      <c r="AB22" s="117">
        <f>W22</f>
        <v>1.02</v>
      </c>
      <c r="AC22" s="117">
        <f>X22</f>
        <v>1.02</v>
      </c>
      <c r="AD22" s="117">
        <f>Y22</f>
        <v>1.02</v>
      </c>
      <c r="AE22" s="118" t="s">
        <v>152</v>
      </c>
      <c r="AF22" s="119">
        <f>(V22/((0.895*8.34)*0.29))*2000</f>
        <v>942.41693911293623</v>
      </c>
      <c r="AG22" s="119">
        <f>(V22/((0.895*8.34)*0.29))*2000</f>
        <v>942.41693911293623</v>
      </c>
      <c r="AH22" s="119">
        <f>(V22/((0.895*8.34)*0.29))*2000</f>
        <v>942.41693911293623</v>
      </c>
      <c r="AI22" s="120">
        <f>(V22/((0.895*8.34)*0.29))*2000</f>
        <v>942.41693911293623</v>
      </c>
    </row>
    <row r="23" spans="1:35">
      <c r="A23" s="422" t="s">
        <v>153</v>
      </c>
      <c r="B23" s="423"/>
      <c r="C23" s="424">
        <f>G15+U15+V15</f>
        <v>0.51404196553946413</v>
      </c>
      <c r="D23" s="425"/>
      <c r="E23" s="426">
        <f>G16+U16+V16</f>
        <v>1439.3175035104996</v>
      </c>
      <c r="F23" s="427"/>
      <c r="G23" s="428">
        <f>C23*2000</f>
        <v>1028.0839310789283</v>
      </c>
      <c r="H23" s="428"/>
      <c r="I23" s="114" t="s">
        <v>154</v>
      </c>
      <c r="J23" s="429">
        <f>(G23/(8.34*1.055))/400</f>
        <v>0.29211245157776955</v>
      </c>
      <c r="K23" s="430"/>
      <c r="L23" s="115" t="s">
        <v>155</v>
      </c>
      <c r="M23" s="431">
        <f t="shared" ref="M23:M31" si="8">ROUNDUP(J23,0)</f>
        <v>1</v>
      </c>
      <c r="N23" s="432"/>
      <c r="O23" s="403">
        <f>(M23*400*8.34*1.055)*$Y$23</f>
        <v>4927.2719999999999</v>
      </c>
      <c r="P23" s="404"/>
      <c r="Q23" s="108"/>
      <c r="R23" s="405" t="s">
        <v>153</v>
      </c>
      <c r="S23" s="406"/>
      <c r="T23" s="406"/>
      <c r="U23" s="158" t="s">
        <v>154</v>
      </c>
      <c r="V23" s="166">
        <v>1.4</v>
      </c>
      <c r="W23" s="116">
        <v>1.4</v>
      </c>
      <c r="X23" s="116">
        <v>1.4</v>
      </c>
      <c r="Y23" s="167">
        <v>1.4</v>
      </c>
      <c r="Z23" s="160" t="s">
        <v>150</v>
      </c>
      <c r="AA23" s="117">
        <f>V23*8.34*0.005</f>
        <v>5.8379999999999994E-2</v>
      </c>
      <c r="AB23" s="117">
        <f>W23*8.34*0.005</f>
        <v>5.8379999999999994E-2</v>
      </c>
      <c r="AC23" s="117">
        <f>X23*8.34*0.005</f>
        <v>5.8379999999999994E-2</v>
      </c>
      <c r="AD23" s="117">
        <f>Y23*8.34*0.005</f>
        <v>5.8379999999999994E-2</v>
      </c>
      <c r="AE23" s="118" t="s">
        <v>152</v>
      </c>
      <c r="AF23" s="119">
        <f>V23*2000</f>
        <v>2800</v>
      </c>
      <c r="AG23" s="119">
        <f>W23*2000</f>
        <v>2800</v>
      </c>
      <c r="AH23" s="119">
        <f>X23*2000</f>
        <v>2800</v>
      </c>
      <c r="AI23" s="120">
        <f>Y23*2000</f>
        <v>2800</v>
      </c>
    </row>
    <row r="24" spans="1:35">
      <c r="A24" s="422" t="s">
        <v>156</v>
      </c>
      <c r="B24" s="423"/>
      <c r="C24" s="424">
        <f>H15</f>
        <v>553.86994766535872</v>
      </c>
      <c r="D24" s="425"/>
      <c r="E24" s="426">
        <f>H16</f>
        <v>54833.124818870514</v>
      </c>
      <c r="F24" s="427"/>
      <c r="G24" s="428">
        <f>C24</f>
        <v>553.86994766535872</v>
      </c>
      <c r="H24" s="428"/>
      <c r="I24" s="114" t="s">
        <v>157</v>
      </c>
      <c r="J24" s="429">
        <f>(G24*2000)/40000</f>
        <v>27.693497383267939</v>
      </c>
      <c r="K24" s="430"/>
      <c r="L24" s="115" t="s">
        <v>151</v>
      </c>
      <c r="M24" s="431">
        <f t="shared" si="8"/>
        <v>28</v>
      </c>
      <c r="N24" s="432"/>
      <c r="O24" s="403">
        <f>((M24*40000)/2000)*$Y$24</f>
        <v>55440</v>
      </c>
      <c r="P24" s="404"/>
      <c r="Q24" s="108"/>
      <c r="R24" s="405" t="s">
        <v>156</v>
      </c>
      <c r="S24" s="406"/>
      <c r="T24" s="406"/>
      <c r="U24" s="158" t="s">
        <v>157</v>
      </c>
      <c r="V24" s="166">
        <v>99</v>
      </c>
      <c r="W24" s="116">
        <v>99</v>
      </c>
      <c r="X24" s="116">
        <v>99</v>
      </c>
      <c r="Y24" s="167">
        <v>99</v>
      </c>
      <c r="Z24" s="160" t="s">
        <v>154</v>
      </c>
      <c r="AA24" s="117">
        <f>V24/2000</f>
        <v>4.9500000000000002E-2</v>
      </c>
      <c r="AB24" s="117">
        <f>W24/2000</f>
        <v>4.9500000000000002E-2</v>
      </c>
      <c r="AC24" s="117">
        <f>X24/2000</f>
        <v>4.9500000000000002E-2</v>
      </c>
      <c r="AD24" s="117">
        <f>Y24/2000</f>
        <v>4.9500000000000002E-2</v>
      </c>
      <c r="AE24" s="118" t="s">
        <v>152</v>
      </c>
      <c r="AF24" s="119">
        <f>V24</f>
        <v>99</v>
      </c>
      <c r="AG24" s="119">
        <f>W24</f>
        <v>99</v>
      </c>
      <c r="AH24" s="119">
        <f>X24</f>
        <v>99</v>
      </c>
      <c r="AI24" s="119">
        <f>Y24</f>
        <v>99</v>
      </c>
    </row>
    <row r="25" spans="1:35" ht="15.75" customHeight="1">
      <c r="A25" s="422" t="s">
        <v>158</v>
      </c>
      <c r="B25" s="423"/>
      <c r="C25" s="424">
        <f>T15</f>
        <v>1.8154264267694769E-3</v>
      </c>
      <c r="D25" s="425"/>
      <c r="E25" s="426">
        <f>T16</f>
        <v>2.9772993399019421</v>
      </c>
      <c r="F25" s="427"/>
      <c r="G25" s="428">
        <f>C25*2000</f>
        <v>3.6308528535389537</v>
      </c>
      <c r="H25" s="428"/>
      <c r="I25" s="114" t="s">
        <v>159</v>
      </c>
      <c r="J25" s="429">
        <f>G25/45000</f>
        <v>8.0685618967532303E-5</v>
      </c>
      <c r="K25" s="430"/>
      <c r="L25" s="115" t="s">
        <v>151</v>
      </c>
      <c r="M25" s="431">
        <f t="shared" si="8"/>
        <v>1</v>
      </c>
      <c r="N25" s="432"/>
      <c r="O25" s="403">
        <f>J25*45000*$Y$25</f>
        <v>2.9772993399019421</v>
      </c>
      <c r="P25" s="404"/>
      <c r="Q25" s="108"/>
      <c r="R25" s="405" t="s">
        <v>158</v>
      </c>
      <c r="S25" s="406"/>
      <c r="T25" s="406"/>
      <c r="U25" s="158" t="s">
        <v>159</v>
      </c>
      <c r="V25" s="166">
        <v>0.82</v>
      </c>
      <c r="W25" s="116">
        <v>0.82</v>
      </c>
      <c r="X25" s="116">
        <v>0.82</v>
      </c>
      <c r="Y25" s="167">
        <v>0.82</v>
      </c>
      <c r="Z25" s="160" t="s">
        <v>150</v>
      </c>
      <c r="AA25" s="117">
        <f>V25*8.34*0.055</f>
        <v>0.37613399999999997</v>
      </c>
      <c r="AB25" s="117">
        <f>W25*8.34*0.055</f>
        <v>0.37613399999999997</v>
      </c>
      <c r="AC25" s="117">
        <f>X25*8.34*0.055</f>
        <v>0.37613399999999997</v>
      </c>
      <c r="AD25" s="117">
        <f>Y25*8.34*0.055</f>
        <v>0.37613399999999997</v>
      </c>
      <c r="AE25" s="118" t="s">
        <v>152</v>
      </c>
      <c r="AF25" s="119">
        <f>V25*2000</f>
        <v>1640</v>
      </c>
      <c r="AG25" s="119">
        <f>W25*2000</f>
        <v>1640</v>
      </c>
      <c r="AH25" s="119">
        <f>X25*2000</f>
        <v>1640</v>
      </c>
      <c r="AI25" s="120">
        <f>Y25*2000</f>
        <v>1640</v>
      </c>
    </row>
    <row r="26" spans="1:35">
      <c r="A26" s="422" t="s">
        <v>160</v>
      </c>
      <c r="B26" s="423"/>
      <c r="C26" s="424">
        <f>F15+S15</f>
        <v>43.002178825681057</v>
      </c>
      <c r="D26" s="425"/>
      <c r="E26" s="426">
        <f>F16+S16</f>
        <v>30961.568754490356</v>
      </c>
      <c r="F26" s="427"/>
      <c r="G26" s="428">
        <f>C26</f>
        <v>43.002178825681057</v>
      </c>
      <c r="H26" s="428"/>
      <c r="I26" s="114" t="s">
        <v>157</v>
      </c>
      <c r="J26" s="429">
        <f>(G26*2000)/45000</f>
        <v>1.9112079478080468</v>
      </c>
      <c r="K26" s="430"/>
      <c r="L26" s="115" t="s">
        <v>151</v>
      </c>
      <c r="M26" s="431">
        <f t="shared" si="8"/>
        <v>2</v>
      </c>
      <c r="N26" s="432"/>
      <c r="O26" s="403">
        <f>((M26*45000)/2000)*$Y$26</f>
        <v>32400</v>
      </c>
      <c r="P26" s="404"/>
      <c r="Q26" s="108"/>
      <c r="R26" s="405" t="s">
        <v>160</v>
      </c>
      <c r="S26" s="406"/>
      <c r="T26" s="406"/>
      <c r="U26" s="158" t="s">
        <v>157</v>
      </c>
      <c r="V26" s="166">
        <v>720</v>
      </c>
      <c r="W26" s="116">
        <v>720</v>
      </c>
      <c r="X26" s="116">
        <v>720</v>
      </c>
      <c r="Y26" s="167">
        <v>720</v>
      </c>
      <c r="Z26" s="160" t="s">
        <v>150</v>
      </c>
      <c r="AA26" s="117">
        <f>(V26/2000)*8.34*1.04*1</f>
        <v>3.1224959999999999</v>
      </c>
      <c r="AB26" s="117">
        <f t="shared" ref="AB26:AD26" si="9">(W26/2000)*8.34*1.04*1</f>
        <v>3.1224959999999999</v>
      </c>
      <c r="AC26" s="117">
        <f t="shared" si="9"/>
        <v>3.1224959999999999</v>
      </c>
      <c r="AD26" s="117">
        <f t="shared" si="9"/>
        <v>3.1224959999999999</v>
      </c>
      <c r="AE26" s="118" t="s">
        <v>152</v>
      </c>
      <c r="AF26" s="119">
        <f t="shared" ref="AF26:AI28" si="10">V26</f>
        <v>720</v>
      </c>
      <c r="AG26" s="119">
        <f t="shared" si="10"/>
        <v>720</v>
      </c>
      <c r="AH26" s="119">
        <f t="shared" si="10"/>
        <v>720</v>
      </c>
      <c r="AI26" s="120">
        <f t="shared" si="10"/>
        <v>720</v>
      </c>
    </row>
    <row r="27" spans="1:35">
      <c r="A27" s="422" t="s">
        <v>161</v>
      </c>
      <c r="B27" s="423"/>
      <c r="C27" s="424">
        <f>M15+Z15+AD15</f>
        <v>60.950156967037131</v>
      </c>
      <c r="D27" s="425"/>
      <c r="E27" s="426">
        <f>M16+Z16+AD16</f>
        <v>36265.343395387092</v>
      </c>
      <c r="F27" s="427"/>
      <c r="G27" s="428">
        <f>C27</f>
        <v>60.950156967037131</v>
      </c>
      <c r="H27" s="428"/>
      <c r="I27" s="114" t="s">
        <v>157</v>
      </c>
      <c r="J27" s="429">
        <f>G27/8</f>
        <v>7.6187696208796414</v>
      </c>
      <c r="K27" s="430"/>
      <c r="L27" s="115" t="s">
        <v>151</v>
      </c>
      <c r="M27" s="431">
        <f t="shared" si="8"/>
        <v>8</v>
      </c>
      <c r="N27" s="432"/>
      <c r="O27" s="403">
        <f>M27*8*$Y$27</f>
        <v>38080</v>
      </c>
      <c r="P27" s="404"/>
      <c r="Q27" s="108"/>
      <c r="R27" s="405" t="s">
        <v>161</v>
      </c>
      <c r="S27" s="406"/>
      <c r="T27" s="406"/>
      <c r="U27" s="158" t="s">
        <v>157</v>
      </c>
      <c r="V27" s="166">
        <v>585</v>
      </c>
      <c r="W27" s="121">
        <v>565</v>
      </c>
      <c r="X27" s="121">
        <v>595</v>
      </c>
      <c r="Y27" s="167">
        <v>595</v>
      </c>
      <c r="Z27" s="160" t="s">
        <v>154</v>
      </c>
      <c r="AA27" s="117">
        <f>V27/2000</f>
        <v>0.29249999999999998</v>
      </c>
      <c r="AB27" s="121">
        <f>W27/2000</f>
        <v>0.28249999999999997</v>
      </c>
      <c r="AC27" s="121">
        <f>X27/2000</f>
        <v>0.29749999999999999</v>
      </c>
      <c r="AD27" s="117">
        <f>Y27/2000</f>
        <v>0.29749999999999999</v>
      </c>
      <c r="AE27" s="118" t="s">
        <v>152</v>
      </c>
      <c r="AF27" s="119">
        <f t="shared" si="10"/>
        <v>585</v>
      </c>
      <c r="AG27" s="121">
        <f t="shared" si="10"/>
        <v>565</v>
      </c>
      <c r="AH27" s="121">
        <f t="shared" si="10"/>
        <v>595</v>
      </c>
      <c r="AI27" s="120">
        <f t="shared" si="10"/>
        <v>595</v>
      </c>
    </row>
    <row r="28" spans="1:35">
      <c r="A28" s="422" t="s">
        <v>162</v>
      </c>
      <c r="B28" s="423"/>
      <c r="C28" s="424">
        <f>D15+L15+R15+Y15</f>
        <v>753.31243054957258</v>
      </c>
      <c r="D28" s="425"/>
      <c r="E28" s="426">
        <f>D16+L16+R16+Y16</f>
        <v>488146.36036611564</v>
      </c>
      <c r="F28" s="427"/>
      <c r="G28" s="428">
        <f>C28</f>
        <v>753.31243054957258</v>
      </c>
      <c r="H28" s="428"/>
      <c r="I28" s="114" t="s">
        <v>152</v>
      </c>
      <c r="J28" s="429">
        <f>((G28/0.38)*2000)/45000</f>
        <v>88.10671702334183</v>
      </c>
      <c r="K28" s="430"/>
      <c r="L28" s="115" t="s">
        <v>151</v>
      </c>
      <c r="M28" s="431">
        <f t="shared" si="8"/>
        <v>89</v>
      </c>
      <c r="N28" s="432"/>
      <c r="O28" s="403">
        <f>((M28*45000*0.38)/2000)*$Y$28</f>
        <v>493095.60000000003</v>
      </c>
      <c r="P28" s="404"/>
      <c r="Q28" s="108"/>
      <c r="R28" s="405" t="s">
        <v>162</v>
      </c>
      <c r="S28" s="406"/>
      <c r="T28" s="406"/>
      <c r="U28" s="158" t="s">
        <v>152</v>
      </c>
      <c r="V28" s="166">
        <v>613</v>
      </c>
      <c r="W28" s="116">
        <v>613</v>
      </c>
      <c r="X28" s="116">
        <v>613</v>
      </c>
      <c r="Y28" s="168">
        <v>648</v>
      </c>
      <c r="Z28" s="160" t="s">
        <v>150</v>
      </c>
      <c r="AA28" s="117">
        <f>(V28/2000)*8.34*1.4*0.38</f>
        <v>1.3599037199999999</v>
      </c>
      <c r="AB28" s="117">
        <f>(W28/2000)*8.34*1.4*0.38</f>
        <v>1.3599037199999999</v>
      </c>
      <c r="AC28" s="117">
        <f>(X28/2000)*8.34*1.4*0.38</f>
        <v>1.3599037199999999</v>
      </c>
      <c r="AD28" s="121">
        <f>(Y28/2000)*8.34*1.4*0.38</f>
        <v>1.4375491199999999</v>
      </c>
      <c r="AE28" s="118" t="s">
        <v>152</v>
      </c>
      <c r="AF28" s="119">
        <f t="shared" si="10"/>
        <v>613</v>
      </c>
      <c r="AG28" s="119">
        <f t="shared" si="10"/>
        <v>613</v>
      </c>
      <c r="AH28" s="119">
        <f t="shared" si="10"/>
        <v>613</v>
      </c>
      <c r="AI28" s="122">
        <f t="shared" si="10"/>
        <v>648</v>
      </c>
    </row>
    <row r="29" spans="1:35">
      <c r="A29" s="422" t="s">
        <v>163</v>
      </c>
      <c r="B29" s="423"/>
      <c r="C29" s="424">
        <f>I15</f>
        <v>26.270231177874898</v>
      </c>
      <c r="D29" s="425"/>
      <c r="E29" s="426">
        <f>I16</f>
        <v>57680.420730209429</v>
      </c>
      <c r="F29" s="427"/>
      <c r="G29" s="428">
        <f>C29/0.35</f>
        <v>75.057803365356861</v>
      </c>
      <c r="H29" s="428"/>
      <c r="I29" s="114" t="s">
        <v>157</v>
      </c>
      <c r="J29" s="429">
        <f>(G29*2000)/45000</f>
        <v>3.335902371793638</v>
      </c>
      <c r="K29" s="430"/>
      <c r="L29" s="115" t="s">
        <v>151</v>
      </c>
      <c r="M29" s="431">
        <f t="shared" si="8"/>
        <v>4</v>
      </c>
      <c r="N29" s="432"/>
      <c r="O29" s="403">
        <f>((M29*45000)/2000)*$Y$29</f>
        <v>69163.199999999997</v>
      </c>
      <c r="P29" s="404"/>
      <c r="Q29" s="108"/>
      <c r="R29" s="405" t="s">
        <v>163</v>
      </c>
      <c r="S29" s="406"/>
      <c r="T29" s="406"/>
      <c r="U29" s="158" t="s">
        <v>157</v>
      </c>
      <c r="V29" s="166">
        <v>768.48</v>
      </c>
      <c r="W29" s="116">
        <v>768.48</v>
      </c>
      <c r="X29" s="116">
        <v>768.48</v>
      </c>
      <c r="Y29" s="167">
        <v>768.48</v>
      </c>
      <c r="Z29" s="160" t="s">
        <v>150</v>
      </c>
      <c r="AA29" s="117">
        <f>(V29/2000)*8.34*1.135</f>
        <v>3.6371774160000006</v>
      </c>
      <c r="AB29" s="117">
        <f>(W29/2000)*8.34*1.135</f>
        <v>3.6371774160000006</v>
      </c>
      <c r="AC29" s="117">
        <f>(X29/2000)*8.34*1.135</f>
        <v>3.6371774160000006</v>
      </c>
      <c r="AD29" s="117">
        <f>(Y29/2000)*8.34*1.135</f>
        <v>3.6371774160000006</v>
      </c>
      <c r="AE29" s="118" t="s">
        <v>152</v>
      </c>
      <c r="AF29" s="119">
        <f>V29/0.35</f>
        <v>2195.6571428571428</v>
      </c>
      <c r="AG29" s="119">
        <f>W29/0.35</f>
        <v>2195.6571428571428</v>
      </c>
      <c r="AH29" s="119">
        <f>X29/0.35</f>
        <v>2195.6571428571428</v>
      </c>
      <c r="AI29" s="120">
        <f>Y29/0.35</f>
        <v>2195.6571428571428</v>
      </c>
    </row>
    <row r="30" spans="1:35">
      <c r="A30" s="422" t="s">
        <v>164</v>
      </c>
      <c r="B30" s="423"/>
      <c r="C30" s="424">
        <f>C15+Q15+AE15</f>
        <v>14.192256144419797</v>
      </c>
      <c r="D30" s="425"/>
      <c r="E30" s="426">
        <f>C16+Q16+AE16</f>
        <v>100481.17350249217</v>
      </c>
      <c r="F30" s="427"/>
      <c r="G30" s="428">
        <f>C30*2000</f>
        <v>28384.512288839596</v>
      </c>
      <c r="H30" s="428"/>
      <c r="I30" s="114" t="s">
        <v>159</v>
      </c>
      <c r="J30" s="429">
        <f>G30/3300</f>
        <v>8.6013673602544234</v>
      </c>
      <c r="K30" s="430"/>
      <c r="L30" s="115" t="s">
        <v>165</v>
      </c>
      <c r="M30" s="431">
        <f t="shared" si="8"/>
        <v>9</v>
      </c>
      <c r="N30" s="432"/>
      <c r="O30" s="403">
        <f>M30*3300*$Y$30</f>
        <v>105138</v>
      </c>
      <c r="P30" s="404"/>
      <c r="Q30" s="108"/>
      <c r="R30" s="405" t="s">
        <v>164</v>
      </c>
      <c r="S30" s="406"/>
      <c r="T30" s="406"/>
      <c r="U30" s="158" t="s">
        <v>159</v>
      </c>
      <c r="V30" s="166">
        <v>3.54</v>
      </c>
      <c r="W30" s="116">
        <v>3.54</v>
      </c>
      <c r="X30" s="116">
        <v>3.54</v>
      </c>
      <c r="Y30" s="167">
        <v>3.54</v>
      </c>
      <c r="Z30" s="160" t="s">
        <v>150</v>
      </c>
      <c r="AA30" s="117">
        <f>(8.34*1.029*0.03)*V30</f>
        <v>0.91139353199999984</v>
      </c>
      <c r="AB30" s="117">
        <f>(8.34*1.029*0.03)*W30</f>
        <v>0.91139353199999984</v>
      </c>
      <c r="AC30" s="117">
        <f>(8.34*1.029*0.03)*X30</f>
        <v>0.91139353199999984</v>
      </c>
      <c r="AD30" s="117">
        <f>(8.34*1.029*0.03)*Y30</f>
        <v>0.91139353199999984</v>
      </c>
      <c r="AE30" s="118" t="s">
        <v>152</v>
      </c>
      <c r="AF30" s="119">
        <f>V30*2000</f>
        <v>7080</v>
      </c>
      <c r="AG30" s="119">
        <f>W30*2000</f>
        <v>7080</v>
      </c>
      <c r="AH30" s="119">
        <f>X30*2000</f>
        <v>7080</v>
      </c>
      <c r="AI30" s="120">
        <f>Y30*2000</f>
        <v>7080</v>
      </c>
    </row>
    <row r="31" spans="1:35" ht="15.75" thickBot="1">
      <c r="A31" s="407" t="s">
        <v>166</v>
      </c>
      <c r="B31" s="408"/>
      <c r="C31" s="409">
        <f>E15+O15+AB15</f>
        <v>1368.9568935313955</v>
      </c>
      <c r="D31" s="410"/>
      <c r="E31" s="411">
        <f>E16+O16+AB16</f>
        <v>941842.34274960007</v>
      </c>
      <c r="F31" s="412"/>
      <c r="G31" s="413">
        <f>(C31/0.5)*2000</f>
        <v>5475827.5741255824</v>
      </c>
      <c r="H31" s="413"/>
      <c r="I31" s="123" t="s">
        <v>154</v>
      </c>
      <c r="J31" s="414">
        <f>G31/45000</f>
        <v>121.68505720279072</v>
      </c>
      <c r="K31" s="415"/>
      <c r="L31" s="124" t="s">
        <v>151</v>
      </c>
      <c r="M31" s="416">
        <f t="shared" si="8"/>
        <v>122</v>
      </c>
      <c r="N31" s="417"/>
      <c r="O31" s="418">
        <f>M31*45000*$Y$31</f>
        <v>944279.99999999988</v>
      </c>
      <c r="P31" s="419"/>
      <c r="Q31" s="108"/>
      <c r="R31" s="420" t="s">
        <v>166</v>
      </c>
      <c r="S31" s="421"/>
      <c r="T31" s="421"/>
      <c r="U31" s="159" t="s">
        <v>154</v>
      </c>
      <c r="V31" s="169">
        <v>0.16</v>
      </c>
      <c r="W31" s="170">
        <v>0.16</v>
      </c>
      <c r="X31" s="171">
        <v>0.16400000000000001</v>
      </c>
      <c r="Y31" s="172">
        <v>0.17199999999999999</v>
      </c>
      <c r="Z31" s="161" t="s">
        <v>150</v>
      </c>
      <c r="AA31" s="126">
        <f>V31*8.34*1.54</f>
        <v>2.0549759999999999</v>
      </c>
      <c r="AB31" s="126">
        <f>W31*8.34*1.54</f>
        <v>2.0549759999999999</v>
      </c>
      <c r="AC31" s="125">
        <f>X31*8.34*1.54</f>
        <v>2.1063504000000002</v>
      </c>
      <c r="AD31" s="125">
        <f>Y31*8.34*1.54</f>
        <v>2.2090991999999998</v>
      </c>
      <c r="AE31" s="127" t="s">
        <v>152</v>
      </c>
      <c r="AF31" s="128">
        <f>(V31*2000)/0.5</f>
        <v>640</v>
      </c>
      <c r="AG31" s="128">
        <f>(W31*2000)/0.5</f>
        <v>640</v>
      </c>
      <c r="AH31" s="125">
        <f>(X31*2000)/0.5</f>
        <v>656</v>
      </c>
      <c r="AI31" s="129">
        <f>(Y31*2000)/0.5</f>
        <v>688</v>
      </c>
    </row>
    <row r="32" spans="1:35">
      <c r="F32" s="130"/>
      <c r="AI32" s="173" t="s">
        <v>231</v>
      </c>
    </row>
    <row r="34" spans="7:7">
      <c r="G34" s="108"/>
    </row>
    <row r="35" spans="7:7">
      <c r="G35" s="108"/>
    </row>
    <row r="36" spans="7:7">
      <c r="G36" s="108"/>
    </row>
    <row r="37" spans="7:7">
      <c r="G37" s="108"/>
    </row>
    <row r="38" spans="7:7">
      <c r="G38" s="108"/>
    </row>
    <row r="39" spans="7:7">
      <c r="G39" s="108"/>
    </row>
    <row r="40" spans="7:7">
      <c r="G40" s="108"/>
    </row>
    <row r="41" spans="7:7">
      <c r="G41" s="108"/>
    </row>
    <row r="42" spans="7:7">
      <c r="G42" s="108"/>
    </row>
    <row r="43" spans="7:7">
      <c r="G43" s="108"/>
    </row>
    <row r="44" spans="7:7">
      <c r="G44" s="108"/>
    </row>
    <row r="45" spans="7:7">
      <c r="G45" s="108"/>
    </row>
  </sheetData>
  <sheetProtection password="A25B" sheet="1" objects="1" scenarios="1" selectLockedCells="1" selectUnlockedCells="1"/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zoomScaleNormal="100" workbookViewId="0">
      <selection activeCell="A3" sqref="A3"/>
    </sheetView>
  </sheetViews>
  <sheetFormatPr defaultRowHeight="15"/>
  <cols>
    <col min="1" max="1" width="36" style="208" customWidth="1"/>
    <col min="2" max="2" width="19.140625" style="208" bestFit="1" customWidth="1"/>
    <col min="3" max="3" width="27.5703125" style="208" bestFit="1" customWidth="1"/>
    <col min="4" max="4" width="29.5703125" style="208" customWidth="1"/>
    <col min="5" max="5" width="22.140625" style="208" bestFit="1" customWidth="1"/>
    <col min="6" max="6" width="14.85546875" style="208" bestFit="1" customWidth="1"/>
    <col min="7" max="7" width="35.5703125" style="208" customWidth="1"/>
    <col min="8" max="8" width="17.42578125" style="208" bestFit="1" customWidth="1"/>
    <col min="9" max="9" width="14.85546875" style="208" bestFit="1" customWidth="1"/>
    <col min="10" max="10" width="16.28515625" style="208" bestFit="1" customWidth="1"/>
    <col min="11" max="11" width="19.140625" style="208" bestFit="1" customWidth="1"/>
    <col min="12" max="12" width="16.85546875" style="208" bestFit="1" customWidth="1"/>
    <col min="13" max="13" width="15.85546875" style="208" bestFit="1" customWidth="1"/>
    <col min="14" max="14" width="14.85546875" style="208" bestFit="1" customWidth="1"/>
    <col min="15" max="16" width="15.57031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  <c r="AU5" s="343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40544</v>
      </c>
      <c r="B8" s="233"/>
      <c r="C8" s="234">
        <v>58.27417187690741</v>
      </c>
      <c r="D8" s="234">
        <v>431.04735803604012</v>
      </c>
      <c r="E8" s="234">
        <v>5.2185642172893703</v>
      </c>
      <c r="F8" s="234">
        <v>2.1546042765180276</v>
      </c>
      <c r="G8" s="234">
        <v>2872.0251000086432</v>
      </c>
      <c r="H8" s="235">
        <v>19.841978698968884</v>
      </c>
      <c r="I8" s="233">
        <v>141.5496861934661</v>
      </c>
      <c r="J8" s="234">
        <v>492.8627234518529</v>
      </c>
      <c r="K8" s="234">
        <v>5.387160244087374</v>
      </c>
      <c r="L8" s="234">
        <v>0</v>
      </c>
      <c r="M8" s="234">
        <v>0</v>
      </c>
      <c r="N8" s="235">
        <v>178.06003059546157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162.31909403330579</v>
      </c>
      <c r="V8" s="238">
        <v>49.942275809647846</v>
      </c>
      <c r="W8" s="238">
        <v>17.352764630493834</v>
      </c>
      <c r="X8" s="238">
        <v>5.33909188193351</v>
      </c>
      <c r="Y8" s="238">
        <v>126.45153413009623</v>
      </c>
      <c r="Z8" s="238">
        <v>38.906558909098834</v>
      </c>
      <c r="AA8" s="239">
        <v>0</v>
      </c>
      <c r="AB8" s="240">
        <v>0</v>
      </c>
      <c r="AC8" s="241">
        <v>0</v>
      </c>
      <c r="AD8" s="241">
        <v>8.5223435123761657</v>
      </c>
      <c r="AE8" s="242">
        <v>6.4998157969655956</v>
      </c>
      <c r="AF8" s="242">
        <v>1.9998607999706726</v>
      </c>
      <c r="AG8" s="242">
        <v>0.76471330677551563</v>
      </c>
      <c r="AH8" s="241">
        <v>354.42057117621113</v>
      </c>
      <c r="AI8" s="241">
        <v>1362.794683710734</v>
      </c>
      <c r="AJ8" s="241">
        <v>3301.7170407613121</v>
      </c>
      <c r="AK8" s="241">
        <v>711.93829644521088</v>
      </c>
      <c r="AL8" s="241">
        <v>4603.2285550435381</v>
      </c>
      <c r="AM8" s="241">
        <v>2097.8562355041504</v>
      </c>
      <c r="AN8" s="241">
        <v>681.78141959508264</v>
      </c>
      <c r="AO8" s="241">
        <v>3000</v>
      </c>
      <c r="AP8" s="241">
        <v>474.31985260645541</v>
      </c>
      <c r="AQ8" s="241">
        <v>706.65362656911225</v>
      </c>
    </row>
    <row r="9" spans="1:47">
      <c r="A9" s="232">
        <f>A8+1</f>
        <v>40545</v>
      </c>
      <c r="B9" s="243"/>
      <c r="C9" s="244">
        <v>66.228766777118238</v>
      </c>
      <c r="D9" s="244">
        <v>429.88102318445851</v>
      </c>
      <c r="E9" s="244">
        <v>5.2432575772206063</v>
      </c>
      <c r="F9" s="244">
        <v>2.6621283764640484</v>
      </c>
      <c r="G9" s="244">
        <v>2490.5965751012209</v>
      </c>
      <c r="H9" s="245">
        <v>19.971239690979385</v>
      </c>
      <c r="I9" s="243">
        <v>141.24576727549226</v>
      </c>
      <c r="J9" s="244">
        <v>514.98711544672574</v>
      </c>
      <c r="K9" s="244">
        <v>5.4408183967073791</v>
      </c>
      <c r="L9" s="244">
        <v>0</v>
      </c>
      <c r="M9" s="244">
        <v>0</v>
      </c>
      <c r="N9" s="245">
        <v>226.66232824325553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161.94260995278</v>
      </c>
      <c r="V9" s="246">
        <v>49.828368519187606</v>
      </c>
      <c r="W9" s="246">
        <v>18.090682565542799</v>
      </c>
      <c r="X9" s="246">
        <v>5.5663496957493264</v>
      </c>
      <c r="Y9" s="250">
        <v>152.77095478664364</v>
      </c>
      <c r="Z9" s="250">
        <v>47.006327959989441</v>
      </c>
      <c r="AA9" s="251">
        <v>0</v>
      </c>
      <c r="AB9" s="252">
        <v>0</v>
      </c>
      <c r="AC9" s="253">
        <v>0</v>
      </c>
      <c r="AD9" s="253">
        <v>8.5235550026099034</v>
      </c>
      <c r="AE9" s="252">
        <v>6.4994996589332494</v>
      </c>
      <c r="AF9" s="252">
        <v>1.9998409577941996</v>
      </c>
      <c r="AG9" s="252">
        <v>0.76470634041206242</v>
      </c>
      <c r="AH9" s="253">
        <v>343.83749500910443</v>
      </c>
      <c r="AI9" s="253">
        <v>1330.1191682179767</v>
      </c>
      <c r="AJ9" s="253">
        <v>3273.537583414713</v>
      </c>
      <c r="AK9" s="253">
        <v>711.74810969034843</v>
      </c>
      <c r="AL9" s="253">
        <v>4445.0129908243807</v>
      </c>
      <c r="AM9" s="253">
        <v>2044.597464243571</v>
      </c>
      <c r="AN9" s="253">
        <v>638.09228967030845</v>
      </c>
      <c r="AO9" s="253">
        <v>3000</v>
      </c>
      <c r="AP9" s="253">
        <v>437.44739211400343</v>
      </c>
      <c r="AQ9" s="253">
        <v>694.87683992385882</v>
      </c>
    </row>
    <row r="10" spans="1:47">
      <c r="A10" s="232">
        <f t="shared" ref="A10:A38" si="0">A9+1</f>
        <v>40546</v>
      </c>
      <c r="B10" s="243"/>
      <c r="C10" s="244">
        <v>60.447795665264152</v>
      </c>
      <c r="D10" s="244">
        <v>434.18274297714396</v>
      </c>
      <c r="E10" s="244">
        <v>5.2246768971283881</v>
      </c>
      <c r="F10" s="244">
        <v>2.6410767182707784</v>
      </c>
      <c r="G10" s="244">
        <v>2296.871300888065</v>
      </c>
      <c r="H10" s="245">
        <v>20.010087043046948</v>
      </c>
      <c r="I10" s="243">
        <v>133.23444644610061</v>
      </c>
      <c r="J10" s="244">
        <v>510.76868815422148</v>
      </c>
      <c r="K10" s="244">
        <v>5.4089196498195244</v>
      </c>
      <c r="L10" s="244">
        <v>0</v>
      </c>
      <c r="M10" s="244">
        <v>0</v>
      </c>
      <c r="N10" s="245">
        <v>172.52739295164756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153.48647527305795</v>
      </c>
      <c r="V10" s="246">
        <v>49.123297329660005</v>
      </c>
      <c r="W10" s="246">
        <v>17.135619280290914</v>
      </c>
      <c r="X10" s="246">
        <v>5.4842494710759837</v>
      </c>
      <c r="Y10" s="250">
        <v>153.85045111288574</v>
      </c>
      <c r="Z10" s="250">
        <v>49.239787680805691</v>
      </c>
      <c r="AA10" s="251">
        <v>0</v>
      </c>
      <c r="AB10" s="252">
        <v>0</v>
      </c>
      <c r="AC10" s="253">
        <v>0</v>
      </c>
      <c r="AD10" s="253">
        <v>8.2710564229223422</v>
      </c>
      <c r="AE10" s="252">
        <v>6.2503475444365098</v>
      </c>
      <c r="AF10" s="252">
        <v>2.000421732877987</v>
      </c>
      <c r="AG10" s="252">
        <v>0.7575472461242917</v>
      </c>
      <c r="AH10" s="253">
        <v>356.85248114267989</v>
      </c>
      <c r="AI10" s="253">
        <v>1325.856169382731</v>
      </c>
      <c r="AJ10" s="253">
        <v>3269.9176676432298</v>
      </c>
      <c r="AK10" s="253">
        <v>714.44948422114078</v>
      </c>
      <c r="AL10" s="253">
        <v>4410.214295959473</v>
      </c>
      <c r="AM10" s="253">
        <v>2314.3449877421058</v>
      </c>
      <c r="AN10" s="253">
        <v>670.33708066940301</v>
      </c>
      <c r="AO10" s="253">
        <v>3000</v>
      </c>
      <c r="AP10" s="253">
        <v>405.98732128143308</v>
      </c>
      <c r="AQ10" s="253">
        <v>770.71069965362551</v>
      </c>
    </row>
    <row r="11" spans="1:47">
      <c r="A11" s="232">
        <f t="shared" si="0"/>
        <v>40547</v>
      </c>
      <c r="B11" s="243"/>
      <c r="C11" s="244">
        <v>63.492118549346998</v>
      </c>
      <c r="D11" s="244">
        <v>434.30601689020671</v>
      </c>
      <c r="E11" s="244">
        <v>5.2074634234110437</v>
      </c>
      <c r="F11" s="244">
        <v>2.3935390939315155</v>
      </c>
      <c r="G11" s="244">
        <v>2296.2342914581327</v>
      </c>
      <c r="H11" s="245">
        <v>19.732457449038829</v>
      </c>
      <c r="I11" s="243">
        <v>129.46306983629864</v>
      </c>
      <c r="J11" s="244">
        <v>499.63014860153089</v>
      </c>
      <c r="K11" s="244">
        <v>5.258510706325378</v>
      </c>
      <c r="L11" s="244">
        <v>0</v>
      </c>
      <c r="M11" s="244">
        <v>0</v>
      </c>
      <c r="N11" s="245">
        <v>118.33830346266431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157.79863060184195</v>
      </c>
      <c r="V11" s="246">
        <v>48.560706759812476</v>
      </c>
      <c r="W11" s="246">
        <v>17.868438955428097</v>
      </c>
      <c r="X11" s="246">
        <v>5.4988057948332116</v>
      </c>
      <c r="Y11" s="250">
        <v>159.50544538761878</v>
      </c>
      <c r="Z11" s="250">
        <v>49.085959304712915</v>
      </c>
      <c r="AA11" s="251">
        <v>0</v>
      </c>
      <c r="AB11" s="252">
        <v>0</v>
      </c>
      <c r="AC11" s="253">
        <v>0</v>
      </c>
      <c r="AD11" s="253">
        <v>8.5187654723723902</v>
      </c>
      <c r="AE11" s="252">
        <v>6.4995328820184746</v>
      </c>
      <c r="AF11" s="252">
        <v>2.000156206398497</v>
      </c>
      <c r="AG11" s="252">
        <v>0.76467889759353336</v>
      </c>
      <c r="AH11" s="253">
        <v>336.33098546663922</v>
      </c>
      <c r="AI11" s="253">
        <v>1287.588691266378</v>
      </c>
      <c r="AJ11" s="253">
        <v>3288.5165019989017</v>
      </c>
      <c r="AK11" s="253">
        <v>712.96292982101465</v>
      </c>
      <c r="AL11" s="253">
        <v>4435.6968193054199</v>
      </c>
      <c r="AM11" s="253">
        <v>2236.7082575480144</v>
      </c>
      <c r="AN11" s="253">
        <v>596.54162243207293</v>
      </c>
      <c r="AO11" s="253">
        <v>3000</v>
      </c>
      <c r="AP11" s="253">
        <v>406.80158667564388</v>
      </c>
      <c r="AQ11" s="253">
        <v>776.16844755808506</v>
      </c>
    </row>
    <row r="12" spans="1:47">
      <c r="A12" s="232">
        <f t="shared" si="0"/>
        <v>40548</v>
      </c>
      <c r="B12" s="243"/>
      <c r="C12" s="244">
        <v>63.424408425887506</v>
      </c>
      <c r="D12" s="244">
        <v>433.96176083882773</v>
      </c>
      <c r="E12" s="244">
        <v>5.2207954724629184</v>
      </c>
      <c r="F12" s="244">
        <v>2.3101629793643954</v>
      </c>
      <c r="G12" s="244">
        <v>2327.9315089543716</v>
      </c>
      <c r="H12" s="245">
        <v>19.622073719898872</v>
      </c>
      <c r="I12" s="243">
        <v>128.39510528246552</v>
      </c>
      <c r="J12" s="244">
        <v>464.99150136311954</v>
      </c>
      <c r="K12" s="244">
        <v>5.2528319284319966</v>
      </c>
      <c r="L12" s="244">
        <v>0</v>
      </c>
      <c r="M12" s="244">
        <v>0</v>
      </c>
      <c r="N12" s="245">
        <v>112.66649752110246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149.90949988362806</v>
      </c>
      <c r="V12" s="246">
        <v>46.121466461841202</v>
      </c>
      <c r="W12" s="246">
        <v>16.073161780037413</v>
      </c>
      <c r="X12" s="246">
        <v>4.9451021619658162</v>
      </c>
      <c r="Y12" s="250">
        <v>144.68254216882164</v>
      </c>
      <c r="Z12" s="250">
        <v>44.513329851899549</v>
      </c>
      <c r="AA12" s="251">
        <v>0</v>
      </c>
      <c r="AB12" s="252">
        <v>0</v>
      </c>
      <c r="AC12" s="253">
        <v>0</v>
      </c>
      <c r="AD12" s="253">
        <v>8.1957772109243781</v>
      </c>
      <c r="AE12" s="252">
        <v>6.2537912204583019</v>
      </c>
      <c r="AF12" s="252">
        <v>1.9240543278286597</v>
      </c>
      <c r="AG12" s="252">
        <v>0.76472356729313662</v>
      </c>
      <c r="AH12" s="253">
        <v>326.04376854896537</v>
      </c>
      <c r="AI12" s="253">
        <v>1273.8379015604653</v>
      </c>
      <c r="AJ12" s="253">
        <v>3376.6587818145745</v>
      </c>
      <c r="AK12" s="253">
        <v>710.14250078201303</v>
      </c>
      <c r="AL12" s="253">
        <v>3902.5416449228919</v>
      </c>
      <c r="AM12" s="253">
        <v>2291.2055909474689</v>
      </c>
      <c r="AN12" s="253">
        <v>596.60843550364177</v>
      </c>
      <c r="AO12" s="253">
        <v>3000</v>
      </c>
      <c r="AP12" s="253">
        <v>405.31807354688647</v>
      </c>
      <c r="AQ12" s="253">
        <v>705.09704945882163</v>
      </c>
    </row>
    <row r="13" spans="1:47">
      <c r="A13" s="232">
        <f t="shared" si="0"/>
        <v>40549</v>
      </c>
      <c r="B13" s="243"/>
      <c r="C13" s="244">
        <v>27.030488761266035</v>
      </c>
      <c r="D13" s="244">
        <v>183.00745480855298</v>
      </c>
      <c r="E13" s="244">
        <v>2.210755144556348</v>
      </c>
      <c r="F13" s="244">
        <v>1.0117254932721458</v>
      </c>
      <c r="G13" s="244">
        <v>1025.8359845479326</v>
      </c>
      <c r="H13" s="245">
        <v>8.3278422305981312</v>
      </c>
      <c r="I13" s="243">
        <v>150.19709579149892</v>
      </c>
      <c r="J13" s="244">
        <v>532.97914013862658</v>
      </c>
      <c r="K13" s="244">
        <v>10.603522469103336</v>
      </c>
      <c r="L13" s="244">
        <v>0</v>
      </c>
      <c r="M13" s="244">
        <v>0</v>
      </c>
      <c r="N13" s="245">
        <v>100.3233532701929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181.29576365794543</v>
      </c>
      <c r="V13" s="246">
        <v>19.911124064069902</v>
      </c>
      <c r="W13" s="246">
        <v>19.158131701862171</v>
      </c>
      <c r="X13" s="246">
        <v>2.1040752936250451</v>
      </c>
      <c r="Y13" s="250">
        <v>192.15267927358187</v>
      </c>
      <c r="Z13" s="250">
        <v>21.103503794375872</v>
      </c>
      <c r="AA13" s="251">
        <v>0</v>
      </c>
      <c r="AB13" s="252">
        <v>0</v>
      </c>
      <c r="AC13" s="253">
        <v>0</v>
      </c>
      <c r="AD13" s="253">
        <v>8.2742911524242704</v>
      </c>
      <c r="AE13" s="252">
        <v>7.380080074698264</v>
      </c>
      <c r="AF13" s="252">
        <v>0.80903763382619864</v>
      </c>
      <c r="AG13" s="252">
        <v>0.90104153844087664</v>
      </c>
      <c r="AH13" s="253">
        <v>293.42059415976206</v>
      </c>
      <c r="AI13" s="253">
        <v>1129.3668008486427</v>
      </c>
      <c r="AJ13" s="253">
        <v>2321.5516961415606</v>
      </c>
      <c r="AK13" s="253">
        <v>689.61523211797066</v>
      </c>
      <c r="AL13" s="253">
        <v>2938.0835247039799</v>
      </c>
      <c r="AM13" s="253">
        <v>2342.7760196685795</v>
      </c>
      <c r="AN13" s="253">
        <v>582.78821744918832</v>
      </c>
      <c r="AO13" s="253">
        <v>3000</v>
      </c>
      <c r="AP13" s="253">
        <v>307.10874514977138</v>
      </c>
      <c r="AQ13" s="253">
        <v>797.56439110438032</v>
      </c>
    </row>
    <row r="14" spans="1:47">
      <c r="A14" s="232">
        <f t="shared" si="0"/>
        <v>40550</v>
      </c>
      <c r="B14" s="243"/>
      <c r="C14" s="244"/>
      <c r="D14" s="244"/>
      <c r="E14" s="244"/>
      <c r="F14" s="244"/>
      <c r="G14" s="244"/>
      <c r="H14" s="245"/>
      <c r="I14" s="243">
        <v>175.93095000584907</v>
      </c>
      <c r="J14" s="244">
        <v>597.13816922505748</v>
      </c>
      <c r="K14" s="244">
        <v>6.7791507393121542</v>
      </c>
      <c r="L14" s="244">
        <v>0</v>
      </c>
      <c r="M14" s="244">
        <v>0</v>
      </c>
      <c r="N14" s="245">
        <v>86.465436621506981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212.29123982323307</v>
      </c>
      <c r="V14" s="246">
        <v>0</v>
      </c>
      <c r="W14" s="246">
        <v>22.169285255670527</v>
      </c>
      <c r="X14" s="246">
        <v>0</v>
      </c>
      <c r="Y14" s="250">
        <v>173.70720692475635</v>
      </c>
      <c r="Z14" s="250">
        <v>0</v>
      </c>
      <c r="AA14" s="251">
        <v>0</v>
      </c>
      <c r="AB14" s="252">
        <v>0</v>
      </c>
      <c r="AC14" s="253">
        <v>0</v>
      </c>
      <c r="AD14" s="253">
        <v>8.5936384167936293</v>
      </c>
      <c r="AE14" s="252">
        <v>8.5001634582182728</v>
      </c>
      <c r="AF14" s="252">
        <v>0</v>
      </c>
      <c r="AG14" s="252">
        <v>1</v>
      </c>
      <c r="AH14" s="253">
        <v>277.64038132826488</v>
      </c>
      <c r="AI14" s="253">
        <v>1072.3305633544921</v>
      </c>
      <c r="AJ14" s="253">
        <v>1494.8095359802246</v>
      </c>
      <c r="AK14" s="253">
        <v>687.23345022201534</v>
      </c>
      <c r="AL14" s="253">
        <v>1892.4239748636878</v>
      </c>
      <c r="AM14" s="253">
        <v>2050.6541853586832</v>
      </c>
      <c r="AN14" s="253">
        <v>562.61960024833684</v>
      </c>
      <c r="AO14" s="253">
        <v>3000</v>
      </c>
      <c r="AP14" s="253">
        <v>149.50468136469524</v>
      </c>
      <c r="AQ14" s="253">
        <v>734.07297941843672</v>
      </c>
    </row>
    <row r="15" spans="1:47">
      <c r="A15" s="232">
        <f t="shared" si="0"/>
        <v>40551</v>
      </c>
      <c r="B15" s="243"/>
      <c r="C15" s="244"/>
      <c r="D15" s="244"/>
      <c r="E15" s="244"/>
      <c r="F15" s="244"/>
      <c r="G15" s="244"/>
      <c r="H15" s="245"/>
      <c r="I15" s="243">
        <v>170.7421495119732</v>
      </c>
      <c r="J15" s="244">
        <v>592.69576317469182</v>
      </c>
      <c r="K15" s="244">
        <v>6.7644649694363386</v>
      </c>
      <c r="L15" s="244">
        <v>0</v>
      </c>
      <c r="M15" s="244">
        <v>0</v>
      </c>
      <c r="N15" s="245">
        <v>86.037434074282629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212.28780138227532</v>
      </c>
      <c r="V15" s="246">
        <v>0</v>
      </c>
      <c r="W15" s="246">
        <v>22.01813122332096</v>
      </c>
      <c r="X15" s="246">
        <v>0</v>
      </c>
      <c r="Y15" s="250">
        <v>172.18887472152704</v>
      </c>
      <c r="Z15" s="250">
        <v>0</v>
      </c>
      <c r="AA15" s="251">
        <v>0</v>
      </c>
      <c r="AB15" s="252">
        <v>0</v>
      </c>
      <c r="AC15" s="253">
        <v>0</v>
      </c>
      <c r="AD15" s="253">
        <v>8.5559068262577362</v>
      </c>
      <c r="AE15" s="252">
        <v>8.5002722504031674</v>
      </c>
      <c r="AF15" s="252">
        <v>0</v>
      </c>
      <c r="AG15" s="252">
        <v>1</v>
      </c>
      <c r="AH15" s="253">
        <v>270.56706865628558</v>
      </c>
      <c r="AI15" s="253">
        <v>1034.8104577064514</v>
      </c>
      <c r="AJ15" s="253">
        <v>1415.9678120930989</v>
      </c>
      <c r="AK15" s="253">
        <v>659.48021456400556</v>
      </c>
      <c r="AL15" s="253">
        <v>1762.5410098393759</v>
      </c>
      <c r="AM15" s="253">
        <v>1903.1612177530926</v>
      </c>
      <c r="AN15" s="253">
        <v>516.72488247553497</v>
      </c>
      <c r="AO15" s="253">
        <v>3000</v>
      </c>
      <c r="AP15" s="253">
        <v>118.64754720926285</v>
      </c>
      <c r="AQ15" s="253">
        <v>639.05897083282468</v>
      </c>
    </row>
    <row r="16" spans="1:47">
      <c r="A16" s="232">
        <f t="shared" si="0"/>
        <v>40552</v>
      </c>
      <c r="B16" s="243"/>
      <c r="C16" s="244"/>
      <c r="D16" s="244"/>
      <c r="E16" s="244"/>
      <c r="F16" s="244"/>
      <c r="G16" s="244"/>
      <c r="H16" s="245"/>
      <c r="I16" s="243">
        <v>127.44136881828325</v>
      </c>
      <c r="J16" s="244">
        <v>458.67296023964946</v>
      </c>
      <c r="K16" s="244">
        <v>5.308894837896033</v>
      </c>
      <c r="L16" s="244">
        <v>0</v>
      </c>
      <c r="M16" s="244">
        <v>0</v>
      </c>
      <c r="N16" s="245">
        <v>84.958877941469339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163.20499030749022</v>
      </c>
      <c r="V16" s="246">
        <v>0</v>
      </c>
      <c r="W16" s="246">
        <v>16.990891027450541</v>
      </c>
      <c r="X16" s="246">
        <v>0</v>
      </c>
      <c r="Y16" s="250">
        <v>123.67607069810239</v>
      </c>
      <c r="Z16" s="250">
        <v>0</v>
      </c>
      <c r="AA16" s="251">
        <v>0</v>
      </c>
      <c r="AB16" s="252">
        <v>0</v>
      </c>
      <c r="AC16" s="253">
        <v>0</v>
      </c>
      <c r="AD16" s="253">
        <v>6.6199829432699628</v>
      </c>
      <c r="AE16" s="252">
        <v>6.2276382247126323</v>
      </c>
      <c r="AF16" s="252">
        <v>0</v>
      </c>
      <c r="AG16" s="252">
        <v>1</v>
      </c>
      <c r="AH16" s="253">
        <v>314.44682761828108</v>
      </c>
      <c r="AI16" s="253">
        <v>921.98556804656982</v>
      </c>
      <c r="AJ16" s="253">
        <v>1374.2114783604939</v>
      </c>
      <c r="AK16" s="253">
        <v>689.17492017745963</v>
      </c>
      <c r="AL16" s="253">
        <v>1849.0807718912761</v>
      </c>
      <c r="AM16" s="253">
        <v>1962.579060236613</v>
      </c>
      <c r="AN16" s="253">
        <v>612.76632982889794</v>
      </c>
      <c r="AO16" s="253">
        <v>3000</v>
      </c>
      <c r="AP16" s="253">
        <v>237.41030007600784</v>
      </c>
      <c r="AQ16" s="253">
        <v>688.53597965240488</v>
      </c>
    </row>
    <row r="17" spans="1:43">
      <c r="A17" s="232">
        <f t="shared" si="0"/>
        <v>40553</v>
      </c>
      <c r="B17" s="233"/>
      <c r="C17" s="234"/>
      <c r="D17" s="234"/>
      <c r="E17" s="234"/>
      <c r="F17" s="234"/>
      <c r="G17" s="234"/>
      <c r="H17" s="235"/>
      <c r="I17" s="233"/>
      <c r="J17" s="234"/>
      <c r="K17" s="234"/>
      <c r="L17" s="244"/>
      <c r="M17" s="234"/>
      <c r="N17" s="235"/>
      <c r="O17" s="233"/>
      <c r="P17" s="234"/>
      <c r="Q17" s="234"/>
      <c r="R17" s="254"/>
      <c r="S17" s="234"/>
      <c r="T17" s="236"/>
      <c r="U17" s="255"/>
      <c r="V17" s="250"/>
      <c r="W17" s="246"/>
      <c r="X17" s="246"/>
      <c r="Y17" s="250"/>
      <c r="Z17" s="250"/>
      <c r="AA17" s="251"/>
      <c r="AB17" s="252"/>
      <c r="AC17" s="253"/>
      <c r="AD17" s="253"/>
      <c r="AE17" s="252"/>
      <c r="AF17" s="252"/>
      <c r="AG17" s="252"/>
      <c r="AH17" s="253">
        <v>321.48067600727074</v>
      </c>
      <c r="AI17" s="253">
        <v>979.33795703252144</v>
      </c>
      <c r="AJ17" s="253">
        <v>1419.3076725006101</v>
      </c>
      <c r="AK17" s="253">
        <v>682.75616900126136</v>
      </c>
      <c r="AL17" s="253">
        <v>1934.3961748758954</v>
      </c>
      <c r="AM17" s="253">
        <v>1986.2699400583906</v>
      </c>
      <c r="AN17" s="253">
        <v>838.18276367187491</v>
      </c>
      <c r="AO17" s="253">
        <v>300</v>
      </c>
      <c r="AP17" s="253">
        <v>1004.7811404863993</v>
      </c>
      <c r="AQ17" s="253">
        <v>687.88031387329102</v>
      </c>
    </row>
    <row r="18" spans="1:43">
      <c r="A18" s="232">
        <f t="shared" si="0"/>
        <v>40554</v>
      </c>
      <c r="B18" s="243"/>
      <c r="C18" s="244"/>
      <c r="D18" s="244"/>
      <c r="E18" s="244"/>
      <c r="F18" s="244"/>
      <c r="G18" s="244"/>
      <c r="H18" s="245"/>
      <c r="I18" s="243"/>
      <c r="J18" s="244"/>
      <c r="K18" s="244"/>
      <c r="L18" s="244"/>
      <c r="M18" s="244"/>
      <c r="N18" s="245"/>
      <c r="O18" s="243"/>
      <c r="P18" s="244"/>
      <c r="Q18" s="244"/>
      <c r="R18" s="247"/>
      <c r="S18" s="244"/>
      <c r="T18" s="248"/>
      <c r="U18" s="249"/>
      <c r="V18" s="246"/>
      <c r="W18" s="246"/>
      <c r="X18" s="246"/>
      <c r="Y18" s="250"/>
      <c r="Z18" s="250"/>
      <c r="AA18" s="251"/>
      <c r="AB18" s="252"/>
      <c r="AC18" s="253"/>
      <c r="AD18" s="253"/>
      <c r="AE18" s="252"/>
      <c r="AF18" s="252"/>
      <c r="AG18" s="252"/>
      <c r="AH18" s="253">
        <v>313.01251682440437</v>
      </c>
      <c r="AI18" s="253">
        <v>998.44917764663705</v>
      </c>
      <c r="AJ18" s="253">
        <v>1461.7873220443728</v>
      </c>
      <c r="AK18" s="253">
        <v>706.15005375544217</v>
      </c>
      <c r="AL18" s="253">
        <v>1790.2080374399823</v>
      </c>
      <c r="AM18" s="253">
        <v>2263.6861199696859</v>
      </c>
      <c r="AN18" s="253">
        <v>1017.3679341316222</v>
      </c>
      <c r="AO18" s="253">
        <v>300</v>
      </c>
      <c r="AP18" s="253">
        <v>1250.2876281102499</v>
      </c>
      <c r="AQ18" s="253">
        <v>785.71648314793902</v>
      </c>
    </row>
    <row r="19" spans="1:43">
      <c r="A19" s="232">
        <f t="shared" si="0"/>
        <v>40555</v>
      </c>
      <c r="B19" s="243"/>
      <c r="C19" s="244"/>
      <c r="D19" s="244"/>
      <c r="E19" s="244"/>
      <c r="F19" s="244"/>
      <c r="G19" s="244"/>
      <c r="H19" s="245"/>
      <c r="I19" s="243"/>
      <c r="J19" s="244"/>
      <c r="K19" s="244"/>
      <c r="L19" s="244"/>
      <c r="M19" s="244"/>
      <c r="N19" s="245"/>
      <c r="O19" s="243"/>
      <c r="P19" s="244"/>
      <c r="Q19" s="244"/>
      <c r="R19" s="247"/>
      <c r="S19" s="244"/>
      <c r="T19" s="248"/>
      <c r="U19" s="249"/>
      <c r="V19" s="246"/>
      <c r="W19" s="246"/>
      <c r="X19" s="246"/>
      <c r="Y19" s="250"/>
      <c r="Z19" s="250"/>
      <c r="AA19" s="251"/>
      <c r="AB19" s="252"/>
      <c r="AC19" s="253"/>
      <c r="AD19" s="253"/>
      <c r="AE19" s="252"/>
      <c r="AF19" s="252"/>
      <c r="AG19" s="252"/>
      <c r="AH19" s="253">
        <v>325.83674095471707</v>
      </c>
      <c r="AI19" s="253">
        <v>984.08454297383651</v>
      </c>
      <c r="AJ19" s="253">
        <v>1486.8351694107059</v>
      </c>
      <c r="AK19" s="253">
        <v>700.57851832707729</v>
      </c>
      <c r="AL19" s="253">
        <v>1728.8470064163207</v>
      </c>
      <c r="AM19" s="253">
        <v>2355.9713406880692</v>
      </c>
      <c r="AN19" s="253">
        <v>920.29879570007324</v>
      </c>
      <c r="AO19" s="253">
        <v>300</v>
      </c>
      <c r="AP19" s="253">
        <v>1241.1496375401814</v>
      </c>
      <c r="AQ19" s="253">
        <v>796.88030414581294</v>
      </c>
    </row>
    <row r="20" spans="1:43">
      <c r="A20" s="232">
        <f t="shared" si="0"/>
        <v>40556</v>
      </c>
      <c r="B20" s="243"/>
      <c r="C20" s="244"/>
      <c r="D20" s="244"/>
      <c r="E20" s="244"/>
      <c r="F20" s="244"/>
      <c r="G20" s="244"/>
      <c r="H20" s="245"/>
      <c r="I20" s="243"/>
      <c r="J20" s="244"/>
      <c r="K20" s="244"/>
      <c r="L20" s="244"/>
      <c r="M20" s="244"/>
      <c r="N20" s="245"/>
      <c r="O20" s="243"/>
      <c r="P20" s="244"/>
      <c r="Q20" s="244"/>
      <c r="R20" s="247"/>
      <c r="S20" s="244"/>
      <c r="T20" s="248"/>
      <c r="U20" s="249"/>
      <c r="V20" s="246"/>
      <c r="W20" s="246"/>
      <c r="X20" s="246"/>
      <c r="Y20" s="250"/>
      <c r="Z20" s="250"/>
      <c r="AA20" s="251"/>
      <c r="AB20" s="252"/>
      <c r="AC20" s="253"/>
      <c r="AD20" s="253"/>
      <c r="AE20" s="252"/>
      <c r="AF20" s="252"/>
      <c r="AG20" s="252"/>
      <c r="AH20" s="253">
        <v>307.75697415669765</v>
      </c>
      <c r="AI20" s="253">
        <v>798.34166103998803</v>
      </c>
      <c r="AJ20" s="253">
        <v>1448.4300465901692</v>
      </c>
      <c r="AK20" s="253">
        <v>651.24649527867643</v>
      </c>
      <c r="AL20" s="253">
        <v>1566.4055869420367</v>
      </c>
      <c r="AM20" s="253">
        <v>2293.903132247925</v>
      </c>
      <c r="AN20" s="253">
        <v>501.44939942359929</v>
      </c>
      <c r="AO20" s="253">
        <v>300</v>
      </c>
      <c r="AP20" s="253">
        <v>1184.5847995122276</v>
      </c>
      <c r="AQ20" s="253">
        <v>786.60056756337474</v>
      </c>
    </row>
    <row r="21" spans="1:43">
      <c r="A21" s="232">
        <f t="shared" si="0"/>
        <v>40557</v>
      </c>
      <c r="B21" s="243"/>
      <c r="C21" s="244"/>
      <c r="D21" s="244"/>
      <c r="E21" s="244"/>
      <c r="F21" s="244"/>
      <c r="G21" s="244"/>
      <c r="H21" s="245"/>
      <c r="I21" s="243"/>
      <c r="J21" s="244"/>
      <c r="K21" s="244"/>
      <c r="L21" s="244"/>
      <c r="M21" s="244"/>
      <c r="N21" s="245"/>
      <c r="O21" s="243"/>
      <c r="P21" s="244"/>
      <c r="Q21" s="244"/>
      <c r="R21" s="247"/>
      <c r="S21" s="244"/>
      <c r="T21" s="248"/>
      <c r="U21" s="249"/>
      <c r="V21" s="246"/>
      <c r="W21" s="246"/>
      <c r="X21" s="246"/>
      <c r="Y21" s="250"/>
      <c r="Z21" s="250"/>
      <c r="AA21" s="251"/>
      <c r="AB21" s="252"/>
      <c r="AC21" s="253"/>
      <c r="AD21" s="253"/>
      <c r="AE21" s="252"/>
      <c r="AF21" s="252"/>
      <c r="AG21" s="252"/>
      <c r="AH21" s="253">
        <v>289.41312473615011</v>
      </c>
      <c r="AI21" s="253">
        <v>558.09298639297492</v>
      </c>
      <c r="AJ21" s="253">
        <v>1337.0353260676065</v>
      </c>
      <c r="AK21" s="253">
        <v>640.66014836629233</v>
      </c>
      <c r="AL21" s="253">
        <v>1504.832457478841</v>
      </c>
      <c r="AM21" s="253">
        <v>2196.6113917032876</v>
      </c>
      <c r="AN21" s="253">
        <v>640.73410409291603</v>
      </c>
      <c r="AO21" s="253">
        <v>300</v>
      </c>
      <c r="AP21" s="253">
        <v>1191.077651532491</v>
      </c>
      <c r="AQ21" s="253">
        <v>784.62063894271841</v>
      </c>
    </row>
    <row r="22" spans="1:43">
      <c r="A22" s="232">
        <f t="shared" si="0"/>
        <v>40558</v>
      </c>
      <c r="B22" s="243"/>
      <c r="C22" s="244"/>
      <c r="D22" s="244"/>
      <c r="E22" s="244"/>
      <c r="F22" s="244"/>
      <c r="G22" s="244"/>
      <c r="H22" s="245"/>
      <c r="I22" s="243"/>
      <c r="J22" s="244"/>
      <c r="K22" s="244"/>
      <c r="L22" s="244"/>
      <c r="M22" s="244"/>
      <c r="N22" s="245"/>
      <c r="O22" s="243"/>
      <c r="P22" s="244"/>
      <c r="Q22" s="244"/>
      <c r="R22" s="247"/>
      <c r="S22" s="244"/>
      <c r="T22" s="248"/>
      <c r="U22" s="249"/>
      <c r="V22" s="246"/>
      <c r="W22" s="246"/>
      <c r="X22" s="246"/>
      <c r="Y22" s="250"/>
      <c r="Z22" s="250"/>
      <c r="AA22" s="251"/>
      <c r="AB22" s="252"/>
      <c r="AC22" s="253"/>
      <c r="AD22" s="253"/>
      <c r="AE22" s="252"/>
      <c r="AF22" s="252"/>
      <c r="AG22" s="252"/>
      <c r="AH22" s="253">
        <v>290.37559445699054</v>
      </c>
      <c r="AI22" s="253">
        <v>551.54213520685835</v>
      </c>
      <c r="AJ22" s="253">
        <v>1344.3828581492107</v>
      </c>
      <c r="AK22" s="253">
        <v>625.34616177876796</v>
      </c>
      <c r="AL22" s="253">
        <v>1519.9077498753866</v>
      </c>
      <c r="AM22" s="253">
        <v>2081.0708906809491</v>
      </c>
      <c r="AN22" s="253">
        <v>507.63825788497934</v>
      </c>
      <c r="AO22" s="253">
        <v>300</v>
      </c>
      <c r="AP22" s="253">
        <v>1186.0701629638672</v>
      </c>
      <c r="AQ22" s="253">
        <v>755.7574771563211</v>
      </c>
    </row>
    <row r="23" spans="1:43">
      <c r="A23" s="232">
        <f t="shared" si="0"/>
        <v>40559</v>
      </c>
      <c r="B23" s="243"/>
      <c r="C23" s="244"/>
      <c r="D23" s="244"/>
      <c r="E23" s="244"/>
      <c r="F23" s="244"/>
      <c r="G23" s="244"/>
      <c r="H23" s="245"/>
      <c r="I23" s="243"/>
      <c r="J23" s="244"/>
      <c r="K23" s="244"/>
      <c r="L23" s="244"/>
      <c r="M23" s="244"/>
      <c r="N23" s="245"/>
      <c r="O23" s="243"/>
      <c r="P23" s="244"/>
      <c r="Q23" s="244"/>
      <c r="R23" s="247"/>
      <c r="S23" s="244"/>
      <c r="T23" s="248"/>
      <c r="U23" s="249"/>
      <c r="V23" s="246"/>
      <c r="W23" s="246"/>
      <c r="X23" s="246"/>
      <c r="Y23" s="250"/>
      <c r="Z23" s="250"/>
      <c r="AA23" s="251"/>
      <c r="AB23" s="252"/>
      <c r="AC23" s="253"/>
      <c r="AD23" s="253"/>
      <c r="AE23" s="252"/>
      <c r="AF23" s="252"/>
      <c r="AG23" s="252"/>
      <c r="AH23" s="253">
        <v>291.74019314448037</v>
      </c>
      <c r="AI23" s="253">
        <v>550.79700396855662</v>
      </c>
      <c r="AJ23" s="253">
        <v>1348.8634096145629</v>
      </c>
      <c r="AK23" s="253">
        <v>626.40613514582321</v>
      </c>
      <c r="AL23" s="253">
        <v>1514.9028472900391</v>
      </c>
      <c r="AM23" s="253">
        <v>2098.6375324249266</v>
      </c>
      <c r="AN23" s="253">
        <v>510.27571539878841</v>
      </c>
      <c r="AO23" s="253">
        <v>300</v>
      </c>
      <c r="AP23" s="253">
        <v>1189.4578152974445</v>
      </c>
      <c r="AQ23" s="253">
        <v>719.5110723813375</v>
      </c>
    </row>
    <row r="24" spans="1:43">
      <c r="A24" s="232">
        <f t="shared" si="0"/>
        <v>40560</v>
      </c>
      <c r="B24" s="243"/>
      <c r="C24" s="244"/>
      <c r="D24" s="244"/>
      <c r="E24" s="244"/>
      <c r="F24" s="244"/>
      <c r="G24" s="244"/>
      <c r="H24" s="245"/>
      <c r="I24" s="243"/>
      <c r="J24" s="244"/>
      <c r="K24" s="244"/>
      <c r="L24" s="244"/>
      <c r="M24" s="244"/>
      <c r="N24" s="245"/>
      <c r="O24" s="243"/>
      <c r="P24" s="244"/>
      <c r="Q24" s="244"/>
      <c r="R24" s="247"/>
      <c r="S24" s="244"/>
      <c r="T24" s="248"/>
      <c r="U24" s="249"/>
      <c r="V24" s="246"/>
      <c r="W24" s="246"/>
      <c r="X24" s="246"/>
      <c r="Y24" s="250"/>
      <c r="Z24" s="250"/>
      <c r="AA24" s="251"/>
      <c r="AB24" s="252"/>
      <c r="AC24" s="253"/>
      <c r="AD24" s="253"/>
      <c r="AE24" s="252"/>
      <c r="AF24" s="252"/>
      <c r="AG24" s="252"/>
      <c r="AH24" s="253">
        <v>275.31209952036545</v>
      </c>
      <c r="AI24" s="253">
        <v>498.37477617263789</v>
      </c>
      <c r="AJ24" s="253">
        <v>1406.7589995702106</v>
      </c>
      <c r="AK24" s="253">
        <v>623.21487830479941</v>
      </c>
      <c r="AL24" s="253">
        <v>1514.6638498942059</v>
      </c>
      <c r="AM24" s="253">
        <v>1945.4777662913007</v>
      </c>
      <c r="AN24" s="253">
        <v>488.72697054545091</v>
      </c>
      <c r="AO24" s="253">
        <v>300</v>
      </c>
      <c r="AP24" s="253">
        <v>1199.3708744684855</v>
      </c>
      <c r="AQ24" s="253">
        <v>730.41449645360308</v>
      </c>
    </row>
    <row r="25" spans="1:43">
      <c r="A25" s="232">
        <f t="shared" si="0"/>
        <v>40561</v>
      </c>
      <c r="B25" s="243"/>
      <c r="C25" s="244"/>
      <c r="D25" s="244"/>
      <c r="E25" s="244"/>
      <c r="F25" s="244"/>
      <c r="G25" s="244"/>
      <c r="H25" s="245"/>
      <c r="I25" s="243"/>
      <c r="J25" s="244"/>
      <c r="K25" s="244"/>
      <c r="L25" s="244"/>
      <c r="M25" s="244"/>
      <c r="N25" s="245"/>
      <c r="O25" s="243"/>
      <c r="P25" s="244"/>
      <c r="Q25" s="244"/>
      <c r="R25" s="247"/>
      <c r="S25" s="244"/>
      <c r="T25" s="248"/>
      <c r="U25" s="249"/>
      <c r="V25" s="246"/>
      <c r="W25" s="246"/>
      <c r="X25" s="246"/>
      <c r="Y25" s="250"/>
      <c r="Z25" s="250"/>
      <c r="AA25" s="251"/>
      <c r="AB25" s="252"/>
      <c r="AC25" s="253"/>
      <c r="AD25" s="253"/>
      <c r="AE25" s="252"/>
      <c r="AF25" s="252"/>
      <c r="AG25" s="252"/>
      <c r="AH25" s="253">
        <v>279.29452773729957</v>
      </c>
      <c r="AI25" s="253">
        <v>488.1580917835235</v>
      </c>
      <c r="AJ25" s="253">
        <v>1466.877811431885</v>
      </c>
      <c r="AK25" s="253">
        <v>322.7831847349803</v>
      </c>
      <c r="AL25" s="253">
        <v>1547.1183677037559</v>
      </c>
      <c r="AM25" s="253">
        <v>1958.4727600097654</v>
      </c>
      <c r="AN25" s="253">
        <v>908.8594326019288</v>
      </c>
      <c r="AO25" s="253">
        <v>300</v>
      </c>
      <c r="AP25" s="253">
        <v>440.71308972835533</v>
      </c>
      <c r="AQ25" s="253">
        <v>764.60313053131097</v>
      </c>
    </row>
    <row r="26" spans="1:43">
      <c r="A26" s="232">
        <f t="shared" si="0"/>
        <v>40562</v>
      </c>
      <c r="B26" s="243"/>
      <c r="C26" s="244"/>
      <c r="D26" s="244"/>
      <c r="E26" s="244"/>
      <c r="F26" s="244"/>
      <c r="G26" s="244"/>
      <c r="H26" s="245"/>
      <c r="I26" s="243"/>
      <c r="J26" s="244"/>
      <c r="K26" s="244"/>
      <c r="L26" s="244"/>
      <c r="M26" s="244"/>
      <c r="N26" s="245"/>
      <c r="O26" s="243"/>
      <c r="P26" s="244"/>
      <c r="Q26" s="244"/>
      <c r="R26" s="247"/>
      <c r="S26" s="244"/>
      <c r="T26" s="248"/>
      <c r="U26" s="249"/>
      <c r="V26" s="246"/>
      <c r="W26" s="246"/>
      <c r="X26" s="246"/>
      <c r="Y26" s="250"/>
      <c r="Z26" s="250"/>
      <c r="AA26" s="251"/>
      <c r="AB26" s="252"/>
      <c r="AC26" s="253"/>
      <c r="AD26" s="253"/>
      <c r="AE26" s="252"/>
      <c r="AF26" s="252"/>
      <c r="AG26" s="252"/>
      <c r="AH26" s="253">
        <v>274.00815876324975</v>
      </c>
      <c r="AI26" s="253">
        <v>546.68107364972434</v>
      </c>
      <c r="AJ26" s="253">
        <v>1300.54044602712</v>
      </c>
      <c r="AK26" s="253">
        <v>240.20178964138029</v>
      </c>
      <c r="AL26" s="253">
        <v>1688.6970925649007</v>
      </c>
      <c r="AM26" s="253">
        <v>2003.3127087910971</v>
      </c>
      <c r="AN26" s="253">
        <v>894.52541354497282</v>
      </c>
      <c r="AO26" s="253">
        <v>300</v>
      </c>
      <c r="AP26" s="253">
        <v>147.60471664468449</v>
      </c>
      <c r="AQ26" s="253">
        <v>763.06073935826601</v>
      </c>
    </row>
    <row r="27" spans="1:43">
      <c r="A27" s="232">
        <f t="shared" si="0"/>
        <v>40563</v>
      </c>
      <c r="B27" s="243"/>
      <c r="C27" s="244"/>
      <c r="D27" s="244"/>
      <c r="E27" s="244"/>
      <c r="F27" s="244"/>
      <c r="G27" s="244"/>
      <c r="H27" s="245"/>
      <c r="I27" s="243"/>
      <c r="J27" s="244"/>
      <c r="K27" s="244"/>
      <c r="L27" s="244"/>
      <c r="M27" s="244"/>
      <c r="N27" s="245"/>
      <c r="O27" s="243"/>
      <c r="P27" s="244"/>
      <c r="Q27" s="244"/>
      <c r="R27" s="247"/>
      <c r="S27" s="244"/>
      <c r="T27" s="248"/>
      <c r="U27" s="249"/>
      <c r="V27" s="246"/>
      <c r="W27" s="246"/>
      <c r="X27" s="246"/>
      <c r="Y27" s="246"/>
      <c r="Z27" s="246"/>
      <c r="AA27" s="256"/>
      <c r="AB27" s="253"/>
      <c r="AC27" s="253"/>
      <c r="AD27" s="253"/>
      <c r="AE27" s="253"/>
      <c r="AF27" s="253"/>
      <c r="AG27" s="253"/>
      <c r="AH27" s="253">
        <v>280.33808859189355</v>
      </c>
      <c r="AI27" s="253">
        <v>583.48815746307378</v>
      </c>
      <c r="AJ27" s="253">
        <v>1329.5385499954225</v>
      </c>
      <c r="AK27" s="253">
        <v>260.16128745873772</v>
      </c>
      <c r="AL27" s="253">
        <v>1689.9916472752889</v>
      </c>
      <c r="AM27" s="253">
        <v>2072.3267654418946</v>
      </c>
      <c r="AN27" s="253">
        <v>932.32419281005843</v>
      </c>
      <c r="AO27" s="253">
        <v>300</v>
      </c>
      <c r="AP27" s="253">
        <v>169.46174860199289</v>
      </c>
      <c r="AQ27" s="253">
        <v>739.97466452916478</v>
      </c>
    </row>
    <row r="28" spans="1:43">
      <c r="A28" s="232">
        <f t="shared" si="0"/>
        <v>40564</v>
      </c>
      <c r="B28" s="243"/>
      <c r="C28" s="244"/>
      <c r="D28" s="244"/>
      <c r="E28" s="244"/>
      <c r="F28" s="244"/>
      <c r="G28" s="244"/>
      <c r="H28" s="245"/>
      <c r="I28" s="243"/>
      <c r="J28" s="244"/>
      <c r="K28" s="244"/>
      <c r="L28" s="244"/>
      <c r="M28" s="244"/>
      <c r="N28" s="245"/>
      <c r="O28" s="243"/>
      <c r="P28" s="244"/>
      <c r="Q28" s="244"/>
      <c r="R28" s="247"/>
      <c r="S28" s="244"/>
      <c r="T28" s="248"/>
      <c r="U28" s="249"/>
      <c r="V28" s="246"/>
      <c r="W28" s="246"/>
      <c r="X28" s="246"/>
      <c r="Y28" s="250"/>
      <c r="Z28" s="250"/>
      <c r="AA28" s="251"/>
      <c r="AB28" s="252"/>
      <c r="AC28" s="253"/>
      <c r="AD28" s="253"/>
      <c r="AE28" s="252"/>
      <c r="AF28" s="252"/>
      <c r="AG28" s="252"/>
      <c r="AH28" s="253">
        <v>285.39608102639522</v>
      </c>
      <c r="AI28" s="253">
        <v>533.96223251024901</v>
      </c>
      <c r="AJ28" s="253">
        <v>1359.2795985539753</v>
      </c>
      <c r="AK28" s="253">
        <v>248.30424067974087</v>
      </c>
      <c r="AL28" s="253">
        <v>1595.2988379160563</v>
      </c>
      <c r="AM28" s="253">
        <v>1991.7152380625409</v>
      </c>
      <c r="AN28" s="253">
        <v>482.69253287315371</v>
      </c>
      <c r="AO28" s="253">
        <v>300</v>
      </c>
      <c r="AP28" s="253">
        <v>169.29779785076778</v>
      </c>
      <c r="AQ28" s="253">
        <v>754.0757628440856</v>
      </c>
    </row>
    <row r="29" spans="1:43">
      <c r="A29" s="232">
        <f t="shared" si="0"/>
        <v>40565</v>
      </c>
      <c r="B29" s="243"/>
      <c r="C29" s="244"/>
      <c r="D29" s="244"/>
      <c r="E29" s="244"/>
      <c r="F29" s="244"/>
      <c r="G29" s="244"/>
      <c r="H29" s="245"/>
      <c r="I29" s="243"/>
      <c r="J29" s="244"/>
      <c r="K29" s="244"/>
      <c r="L29" s="244"/>
      <c r="M29" s="244"/>
      <c r="N29" s="245"/>
      <c r="O29" s="243"/>
      <c r="P29" s="244"/>
      <c r="Q29" s="244"/>
      <c r="R29" s="247"/>
      <c r="S29" s="244"/>
      <c r="T29" s="248"/>
      <c r="U29" s="249"/>
      <c r="V29" s="246"/>
      <c r="W29" s="246"/>
      <c r="X29" s="246"/>
      <c r="Y29" s="250"/>
      <c r="Z29" s="250"/>
      <c r="AA29" s="251"/>
      <c r="AB29" s="252"/>
      <c r="AC29" s="253"/>
      <c r="AD29" s="253"/>
      <c r="AE29" s="252"/>
      <c r="AF29" s="252"/>
      <c r="AG29" s="252"/>
      <c r="AH29" s="253">
        <v>261.24188900788624</v>
      </c>
      <c r="AI29" s="253">
        <v>498.87192848523455</v>
      </c>
      <c r="AJ29" s="253">
        <v>1239.3104037602745</v>
      </c>
      <c r="AK29" s="253">
        <v>256.76653985182446</v>
      </c>
      <c r="AL29" s="253">
        <v>1516.645083808899</v>
      </c>
      <c r="AM29" s="253">
        <v>1862.2613077799479</v>
      </c>
      <c r="AN29" s="253">
        <v>433.18264904022215</v>
      </c>
      <c r="AO29" s="253">
        <v>300</v>
      </c>
      <c r="AP29" s="253">
        <v>141.5164440115293</v>
      </c>
      <c r="AQ29" s="253">
        <v>691.59684136708574</v>
      </c>
    </row>
    <row r="30" spans="1:43">
      <c r="A30" s="232">
        <f t="shared" si="0"/>
        <v>40566</v>
      </c>
      <c r="B30" s="243"/>
      <c r="C30" s="244"/>
      <c r="D30" s="244"/>
      <c r="E30" s="244"/>
      <c r="F30" s="244"/>
      <c r="G30" s="244"/>
      <c r="H30" s="245"/>
      <c r="I30" s="243"/>
      <c r="J30" s="244"/>
      <c r="K30" s="244"/>
      <c r="L30" s="244"/>
      <c r="M30" s="244"/>
      <c r="N30" s="245"/>
      <c r="O30" s="243"/>
      <c r="P30" s="244"/>
      <c r="Q30" s="244"/>
      <c r="R30" s="247"/>
      <c r="S30" s="244"/>
      <c r="T30" s="248"/>
      <c r="U30" s="249"/>
      <c r="V30" s="246"/>
      <c r="W30" s="246"/>
      <c r="X30" s="246"/>
      <c r="Y30" s="250"/>
      <c r="Z30" s="250"/>
      <c r="AA30" s="251"/>
      <c r="AB30" s="252"/>
      <c r="AC30" s="253"/>
      <c r="AD30" s="253"/>
      <c r="AE30" s="252"/>
      <c r="AF30" s="252"/>
      <c r="AG30" s="252"/>
      <c r="AH30" s="253">
        <v>257.60863684813182</v>
      </c>
      <c r="AI30" s="253">
        <v>507.22127542495718</v>
      </c>
      <c r="AJ30" s="253">
        <v>1136.5859097798666</v>
      </c>
      <c r="AK30" s="253">
        <v>264.47148320674893</v>
      </c>
      <c r="AL30" s="253">
        <v>1526.0316598892214</v>
      </c>
      <c r="AM30" s="253">
        <v>1715.9915158589679</v>
      </c>
      <c r="AN30" s="253">
        <v>427.34794624646509</v>
      </c>
      <c r="AO30" s="253">
        <v>300</v>
      </c>
      <c r="AP30" s="253">
        <v>125.1872691531976</v>
      </c>
      <c r="AQ30" s="253">
        <v>715.90404790242519</v>
      </c>
    </row>
    <row r="31" spans="1:43">
      <c r="A31" s="232">
        <f t="shared" si="0"/>
        <v>40567</v>
      </c>
      <c r="B31" s="243"/>
      <c r="C31" s="244"/>
      <c r="D31" s="244"/>
      <c r="E31" s="244"/>
      <c r="F31" s="244"/>
      <c r="G31" s="244"/>
      <c r="H31" s="245"/>
      <c r="I31" s="243"/>
      <c r="J31" s="244"/>
      <c r="K31" s="244"/>
      <c r="L31" s="244"/>
      <c r="M31" s="244"/>
      <c r="N31" s="245"/>
      <c r="O31" s="243"/>
      <c r="P31" s="244"/>
      <c r="Q31" s="244"/>
      <c r="R31" s="247"/>
      <c r="S31" s="244"/>
      <c r="T31" s="248"/>
      <c r="U31" s="249"/>
      <c r="V31" s="246"/>
      <c r="W31" s="246"/>
      <c r="X31" s="246"/>
      <c r="Y31" s="250"/>
      <c r="Z31" s="250"/>
      <c r="AA31" s="251"/>
      <c r="AB31" s="252"/>
      <c r="AC31" s="253"/>
      <c r="AD31" s="253"/>
      <c r="AE31" s="252"/>
      <c r="AF31" s="252"/>
      <c r="AG31" s="252"/>
      <c r="AH31" s="253">
        <v>246.46575968265532</v>
      </c>
      <c r="AI31" s="253">
        <v>502.21272021929428</v>
      </c>
      <c r="AJ31" s="253">
        <v>1162.4662599563601</v>
      </c>
      <c r="AK31" s="253">
        <v>425.17801654338837</v>
      </c>
      <c r="AL31" s="253">
        <v>1581.700691795349</v>
      </c>
      <c r="AM31" s="253">
        <v>1939.3405468622848</v>
      </c>
      <c r="AN31" s="253">
        <v>427.68478883107502</v>
      </c>
      <c r="AO31" s="253">
        <v>300</v>
      </c>
      <c r="AP31" s="253">
        <v>140.71448955138527</v>
      </c>
      <c r="AQ31" s="253">
        <v>782.66030254364011</v>
      </c>
    </row>
    <row r="32" spans="1:43">
      <c r="A32" s="232">
        <f t="shared" si="0"/>
        <v>40568</v>
      </c>
      <c r="B32" s="243"/>
      <c r="C32" s="244"/>
      <c r="D32" s="244"/>
      <c r="E32" s="244"/>
      <c r="F32" s="244"/>
      <c r="G32" s="244"/>
      <c r="H32" s="245"/>
      <c r="I32" s="243"/>
      <c r="J32" s="244"/>
      <c r="K32" s="244"/>
      <c r="L32" s="244"/>
      <c r="M32" s="244"/>
      <c r="N32" s="245"/>
      <c r="O32" s="243"/>
      <c r="P32" s="244"/>
      <c r="Q32" s="244"/>
      <c r="R32" s="247"/>
      <c r="S32" s="244"/>
      <c r="T32" s="248"/>
      <c r="U32" s="249"/>
      <c r="V32" s="246"/>
      <c r="W32" s="246"/>
      <c r="X32" s="246"/>
      <c r="Y32" s="250"/>
      <c r="Z32" s="250"/>
      <c r="AA32" s="251"/>
      <c r="AB32" s="252"/>
      <c r="AC32" s="253"/>
      <c r="AD32" s="253"/>
      <c r="AE32" s="252"/>
      <c r="AF32" s="252"/>
      <c r="AG32" s="252"/>
      <c r="AH32" s="253">
        <v>239.44563260873161</v>
      </c>
      <c r="AI32" s="253">
        <v>495.59807462692265</v>
      </c>
      <c r="AJ32" s="253">
        <v>1315.7893121083575</v>
      </c>
      <c r="AK32" s="253">
        <v>431.83245956897736</v>
      </c>
      <c r="AL32" s="253">
        <v>1581.5956138610841</v>
      </c>
      <c r="AM32" s="253">
        <v>2203.3306847254435</v>
      </c>
      <c r="AN32" s="253">
        <v>429.35739558537813</v>
      </c>
      <c r="AO32" s="253">
        <v>300</v>
      </c>
      <c r="AP32" s="253">
        <v>141.08980947335559</v>
      </c>
      <c r="AQ32" s="253">
        <v>787.63943462371844</v>
      </c>
    </row>
    <row r="33" spans="1:43">
      <c r="A33" s="232">
        <f t="shared" si="0"/>
        <v>40569</v>
      </c>
      <c r="B33" s="243"/>
      <c r="C33" s="244"/>
      <c r="D33" s="244"/>
      <c r="E33" s="244"/>
      <c r="F33" s="244"/>
      <c r="G33" s="244"/>
      <c r="H33" s="245"/>
      <c r="I33" s="243"/>
      <c r="J33" s="244"/>
      <c r="K33" s="244"/>
      <c r="L33" s="244"/>
      <c r="M33" s="244"/>
      <c r="N33" s="245"/>
      <c r="O33" s="243"/>
      <c r="P33" s="244"/>
      <c r="Q33" s="244"/>
      <c r="R33" s="247"/>
      <c r="S33" s="244"/>
      <c r="T33" s="248"/>
      <c r="U33" s="249"/>
      <c r="V33" s="246"/>
      <c r="W33" s="246"/>
      <c r="X33" s="246"/>
      <c r="Y33" s="250"/>
      <c r="Z33" s="250"/>
      <c r="AA33" s="251"/>
      <c r="AB33" s="252"/>
      <c r="AC33" s="253"/>
      <c r="AD33" s="253"/>
      <c r="AE33" s="252"/>
      <c r="AF33" s="252"/>
      <c r="AG33" s="252"/>
      <c r="AH33" s="253">
        <v>233.69815703233084</v>
      </c>
      <c r="AI33" s="253">
        <v>495.29875946044922</v>
      </c>
      <c r="AJ33" s="253">
        <v>1411.1691321055093</v>
      </c>
      <c r="AK33" s="253">
        <v>329.91487132708232</v>
      </c>
      <c r="AL33" s="253">
        <v>1625.7534867604572</v>
      </c>
      <c r="AM33" s="253">
        <v>2348.4387419382724</v>
      </c>
      <c r="AN33" s="253">
        <v>419.84351812998455</v>
      </c>
      <c r="AO33" s="253">
        <v>300</v>
      </c>
      <c r="AP33" s="253">
        <v>1265.1246476809183</v>
      </c>
      <c r="AQ33" s="253">
        <v>750.93565231959019</v>
      </c>
    </row>
    <row r="34" spans="1:43">
      <c r="A34" s="232">
        <f t="shared" si="0"/>
        <v>40570</v>
      </c>
      <c r="B34" s="243"/>
      <c r="C34" s="244"/>
      <c r="D34" s="244"/>
      <c r="E34" s="244"/>
      <c r="F34" s="244"/>
      <c r="G34" s="244"/>
      <c r="H34" s="245"/>
      <c r="I34" s="243"/>
      <c r="J34" s="244"/>
      <c r="K34" s="244"/>
      <c r="L34" s="244"/>
      <c r="M34" s="244"/>
      <c r="N34" s="245"/>
      <c r="O34" s="243"/>
      <c r="P34" s="244"/>
      <c r="Q34" s="244"/>
      <c r="R34" s="247"/>
      <c r="S34" s="244"/>
      <c r="T34" s="248"/>
      <c r="U34" s="249"/>
      <c r="V34" s="246"/>
      <c r="W34" s="246"/>
      <c r="X34" s="246"/>
      <c r="Y34" s="250"/>
      <c r="Z34" s="250"/>
      <c r="AA34" s="251"/>
      <c r="AB34" s="252"/>
      <c r="AC34" s="253"/>
      <c r="AD34" s="253"/>
      <c r="AE34" s="252"/>
      <c r="AF34" s="252"/>
      <c r="AG34" s="252"/>
      <c r="AH34" s="253">
        <v>218.04455378850301</v>
      </c>
      <c r="AI34" s="253">
        <v>484.72219804128008</v>
      </c>
      <c r="AJ34" s="253">
        <v>1283.9770940780641</v>
      </c>
      <c r="AK34" s="253">
        <v>208.13576935132346</v>
      </c>
      <c r="AL34" s="253">
        <v>1720.1956990559895</v>
      </c>
      <c r="AM34" s="253">
        <v>1955.2604347229001</v>
      </c>
      <c r="AN34" s="253">
        <v>405.9851330121358</v>
      </c>
      <c r="AO34" s="253">
        <v>300</v>
      </c>
      <c r="AP34" s="253">
        <v>1876.6066467285154</v>
      </c>
      <c r="AQ34" s="253">
        <v>766.61016505559292</v>
      </c>
    </row>
    <row r="35" spans="1:43">
      <c r="A35" s="232">
        <f t="shared" si="0"/>
        <v>40571</v>
      </c>
      <c r="B35" s="243"/>
      <c r="C35" s="244"/>
      <c r="D35" s="244"/>
      <c r="E35" s="244"/>
      <c r="F35" s="244"/>
      <c r="G35" s="244"/>
      <c r="H35" s="245"/>
      <c r="I35" s="243"/>
      <c r="J35" s="244"/>
      <c r="K35" s="244"/>
      <c r="L35" s="244"/>
      <c r="M35" s="244"/>
      <c r="N35" s="245"/>
      <c r="O35" s="243"/>
      <c r="P35" s="244"/>
      <c r="Q35" s="244"/>
      <c r="R35" s="247"/>
      <c r="S35" s="244"/>
      <c r="T35" s="248"/>
      <c r="U35" s="249"/>
      <c r="V35" s="246"/>
      <c r="W35" s="246"/>
      <c r="X35" s="246"/>
      <c r="Y35" s="250"/>
      <c r="Z35" s="250"/>
      <c r="AA35" s="251"/>
      <c r="AB35" s="252"/>
      <c r="AC35" s="253"/>
      <c r="AD35" s="253"/>
      <c r="AE35" s="252"/>
      <c r="AF35" s="252"/>
      <c r="AG35" s="252"/>
      <c r="AH35" s="253">
        <v>192.36807913780211</v>
      </c>
      <c r="AI35" s="253">
        <v>432.94339553515118</v>
      </c>
      <c r="AJ35" s="253">
        <v>1237.7622882207236</v>
      </c>
      <c r="AK35" s="253">
        <v>179.57800476551057</v>
      </c>
      <c r="AL35" s="253">
        <v>1759.6377775828046</v>
      </c>
      <c r="AM35" s="253">
        <v>1798.608622296651</v>
      </c>
      <c r="AN35" s="253">
        <v>484.25775666236876</v>
      </c>
      <c r="AO35" s="253">
        <v>300</v>
      </c>
      <c r="AP35" s="253">
        <v>1866.9763101895649</v>
      </c>
      <c r="AQ35" s="253">
        <v>814.55321315129584</v>
      </c>
    </row>
    <row r="36" spans="1:43">
      <c r="A36" s="232">
        <f t="shared" si="0"/>
        <v>40572</v>
      </c>
      <c r="B36" s="243"/>
      <c r="C36" s="244"/>
      <c r="D36" s="244"/>
      <c r="E36" s="244"/>
      <c r="F36" s="244"/>
      <c r="G36" s="244"/>
      <c r="H36" s="245"/>
      <c r="I36" s="243"/>
      <c r="J36" s="244"/>
      <c r="K36" s="244"/>
      <c r="L36" s="244"/>
      <c r="M36" s="244"/>
      <c r="N36" s="245"/>
      <c r="O36" s="243"/>
      <c r="P36" s="244"/>
      <c r="Q36" s="244"/>
      <c r="R36" s="247"/>
      <c r="S36" s="244"/>
      <c r="T36" s="248"/>
      <c r="U36" s="249"/>
      <c r="V36" s="246"/>
      <c r="W36" s="246"/>
      <c r="X36" s="246"/>
      <c r="Y36" s="250"/>
      <c r="Z36" s="250"/>
      <c r="AA36" s="251"/>
      <c r="AB36" s="252"/>
      <c r="AC36" s="253"/>
      <c r="AD36" s="253"/>
      <c r="AE36" s="252"/>
      <c r="AF36" s="252"/>
      <c r="AG36" s="252"/>
      <c r="AH36" s="253">
        <v>202.96432474454247</v>
      </c>
      <c r="AI36" s="253">
        <v>412.98053026199341</v>
      </c>
      <c r="AJ36" s="253">
        <v>1180.2385742823283</v>
      </c>
      <c r="AK36" s="253">
        <v>179.87749243577321</v>
      </c>
      <c r="AL36" s="253">
        <v>1635.7392818450926</v>
      </c>
      <c r="AM36" s="253">
        <v>1812.5219346364343</v>
      </c>
      <c r="AN36" s="253">
        <v>825.06120586395264</v>
      </c>
      <c r="AO36" s="253">
        <v>300</v>
      </c>
      <c r="AP36" s="253">
        <v>1879.3054089864095</v>
      </c>
      <c r="AQ36" s="253">
        <v>660.77727530797313</v>
      </c>
    </row>
    <row r="37" spans="1:43">
      <c r="A37" s="232">
        <f t="shared" si="0"/>
        <v>40573</v>
      </c>
      <c r="B37" s="243"/>
      <c r="C37" s="244"/>
      <c r="D37" s="244"/>
      <c r="E37" s="244"/>
      <c r="F37" s="244"/>
      <c r="G37" s="244"/>
      <c r="H37" s="245"/>
      <c r="I37" s="243"/>
      <c r="J37" s="244"/>
      <c r="K37" s="244"/>
      <c r="L37" s="244"/>
      <c r="M37" s="244"/>
      <c r="N37" s="245"/>
      <c r="O37" s="243"/>
      <c r="P37" s="244"/>
      <c r="Q37" s="244"/>
      <c r="R37" s="247"/>
      <c r="S37" s="244"/>
      <c r="T37" s="248"/>
      <c r="U37" s="249"/>
      <c r="V37" s="246"/>
      <c r="W37" s="246"/>
      <c r="X37" s="246"/>
      <c r="Y37" s="250"/>
      <c r="Z37" s="250"/>
      <c r="AA37" s="251"/>
      <c r="AB37" s="252"/>
      <c r="AC37" s="253"/>
      <c r="AD37" s="253"/>
      <c r="AE37" s="252"/>
      <c r="AF37" s="252"/>
      <c r="AG37" s="252"/>
      <c r="AH37" s="253">
        <v>230.0816518386205</v>
      </c>
      <c r="AI37" s="253">
        <v>457.65508643786114</v>
      </c>
      <c r="AJ37" s="253">
        <v>1130.5629430770875</v>
      </c>
      <c r="AK37" s="253">
        <v>198.86358735561376</v>
      </c>
      <c r="AL37" s="253">
        <v>1699.1742341995239</v>
      </c>
      <c r="AM37" s="253">
        <v>1815.0365496317545</v>
      </c>
      <c r="AN37" s="253">
        <v>615.66156673431385</v>
      </c>
      <c r="AO37" s="253">
        <v>300</v>
      </c>
      <c r="AP37" s="253">
        <v>1869.1886159261069</v>
      </c>
      <c r="AQ37" s="253">
        <v>665.55499617258738</v>
      </c>
    </row>
    <row r="38" spans="1:43" ht="15.75" thickBot="1">
      <c r="A38" s="232">
        <f t="shared" si="0"/>
        <v>40574</v>
      </c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>
        <v>324.10675200621296</v>
      </c>
      <c r="AI38" s="268">
        <v>1018.4345572471619</v>
      </c>
      <c r="AJ38" s="268">
        <v>1182.0322970708212</v>
      </c>
      <c r="AK38" s="268">
        <v>459.76773012479146</v>
      </c>
      <c r="AL38" s="268">
        <v>1951.1957499821981</v>
      </c>
      <c r="AM38" s="268">
        <v>1923.7296091715493</v>
      </c>
      <c r="AN38" s="268">
        <v>935.70703390439337</v>
      </c>
      <c r="AO38" s="268">
        <v>300</v>
      </c>
      <c r="AP38" s="268">
        <v>1912.1308745066328</v>
      </c>
      <c r="AQ38" s="268">
        <v>757.82161432902024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338.89775005579037</v>
      </c>
      <c r="D39" s="272">
        <f t="shared" si="1"/>
        <v>2346.38635673523</v>
      </c>
      <c r="E39" s="272">
        <f t="shared" si="1"/>
        <v>28.325512732068674</v>
      </c>
      <c r="F39" s="272">
        <f t="shared" si="1"/>
        <v>13.17323693782091</v>
      </c>
      <c r="G39" s="272">
        <f t="shared" si="1"/>
        <v>13309.494760958365</v>
      </c>
      <c r="H39" s="273">
        <f t="shared" si="1"/>
        <v>107.50567883253105</v>
      </c>
      <c r="I39" s="271">
        <f t="shared" si="1"/>
        <v>1298.1996391614275</v>
      </c>
      <c r="J39" s="272">
        <f t="shared" si="1"/>
        <v>4664.7262097954754</v>
      </c>
      <c r="K39" s="272">
        <f t="shared" si="1"/>
        <v>56.204273941119517</v>
      </c>
      <c r="L39" s="272">
        <f t="shared" si="1"/>
        <v>0</v>
      </c>
      <c r="M39" s="272">
        <f t="shared" si="1"/>
        <v>0</v>
      </c>
      <c r="N39" s="273">
        <f t="shared" si="1"/>
        <v>1166.0396546815834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1554.5361049155581</v>
      </c>
      <c r="V39" s="275">
        <f t="shared" si="1"/>
        <v>263.48723894421909</v>
      </c>
      <c r="W39" s="275">
        <f t="shared" si="1"/>
        <v>166.85710642009727</v>
      </c>
      <c r="X39" s="275">
        <f t="shared" si="1"/>
        <v>28.937674299182891</v>
      </c>
      <c r="Y39" s="275">
        <f t="shared" si="1"/>
        <v>1398.9857592040337</v>
      </c>
      <c r="Z39" s="275">
        <f t="shared" si="1"/>
        <v>249.8554675008823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8813.5503857215244</v>
      </c>
      <c r="AI39" s="278">
        <f t="shared" si="2"/>
        <v>24115.938325675328</v>
      </c>
      <c r="AJ39" s="278">
        <f t="shared" si="2"/>
        <v>52106.419522603348</v>
      </c>
      <c r="AK39" s="278">
        <f t="shared" si="2"/>
        <v>15548.940155045193</v>
      </c>
      <c r="AL39" s="278">
        <f t="shared" si="2"/>
        <v>66431.762521807352</v>
      </c>
      <c r="AM39" s="278">
        <f t="shared" si="2"/>
        <v>63865.858552996309</v>
      </c>
      <c r="AN39" s="278">
        <f t="shared" si="2"/>
        <v>19505.424384562175</v>
      </c>
      <c r="AO39" s="278">
        <f t="shared" si="2"/>
        <v>33600</v>
      </c>
      <c r="AP39" s="278">
        <f t="shared" si="2"/>
        <v>24534.243078968928</v>
      </c>
      <c r="AQ39" s="278">
        <f t="shared" si="2"/>
        <v>22975.888177871708</v>
      </c>
    </row>
    <row r="40" spans="1:43" ht="15.75" thickBot="1">
      <c r="A40" s="280" t="s">
        <v>182</v>
      </c>
      <c r="B40" s="281">
        <f>Projection!$AA$30</f>
        <v>0.91139353199999984</v>
      </c>
      <c r="C40" s="282">
        <f>Projection!$AA$28</f>
        <v>1.3599037199999999</v>
      </c>
      <c r="D40" s="282">
        <f>Projection!$AA$31</f>
        <v>2.0549759999999999</v>
      </c>
      <c r="E40" s="282">
        <f>Projection!$AA$26</f>
        <v>3.1224959999999999</v>
      </c>
      <c r="F40" s="282">
        <f>Projection!$AA$23</f>
        <v>5.8379999999999994E-2</v>
      </c>
      <c r="G40" s="282">
        <f>Projection!$AA$24</f>
        <v>4.9500000000000002E-2</v>
      </c>
      <c r="H40" s="283">
        <f>Projection!$AA$29</f>
        <v>3.6371774160000006</v>
      </c>
      <c r="I40" s="281">
        <f>Projection!$AA$30</f>
        <v>0.91139353199999984</v>
      </c>
      <c r="J40" s="282">
        <f>Projection!$AA$28</f>
        <v>1.3599037199999999</v>
      </c>
      <c r="K40" s="282">
        <f>Projection!$AA$26</f>
        <v>3.1224959999999999</v>
      </c>
      <c r="L40" s="282">
        <f>Projection!$AA$25</f>
        <v>0.37613399999999997</v>
      </c>
      <c r="M40" s="282">
        <f>Projection!$AA$23</f>
        <v>5.8379999999999994E-2</v>
      </c>
      <c r="N40" s="283">
        <f>Projection!$AA$23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Projection!$AA$28</f>
        <v>1.3599037199999999</v>
      </c>
      <c r="T40" s="346">
        <f>Projection!$AA$28</f>
        <v>1.3599037199999999</v>
      </c>
      <c r="U40" s="344">
        <f>Projection!$AA$27</f>
        <v>0.29249999999999998</v>
      </c>
      <c r="V40" s="345">
        <f>Projection!$AA$27</f>
        <v>0.29249999999999998</v>
      </c>
      <c r="W40" s="345">
        <f>Projection!$AA$22</f>
        <v>1.02</v>
      </c>
      <c r="X40" s="345">
        <f>Projection!$AA$22</f>
        <v>1.02</v>
      </c>
      <c r="Y40" s="345">
        <f>Projection!$AA$31</f>
        <v>2.0549759999999999</v>
      </c>
      <c r="Z40" s="345">
        <f>Projection!$AA$31</f>
        <v>2.0549759999999999</v>
      </c>
      <c r="AA40" s="347">
        <v>0</v>
      </c>
      <c r="AB40" s="348">
        <f>Projection!$AA$27</f>
        <v>0.29249999999999998</v>
      </c>
      <c r="AC40" s="348">
        <f>Projection!$AA$30</f>
        <v>0.91139353199999984</v>
      </c>
      <c r="AD40" s="289">
        <f>SUM(AD8:AD38)</f>
        <v>74.075316959950769</v>
      </c>
      <c r="AE40" s="289">
        <f>SUM(AE8:AE38)</f>
        <v>62.611141110844471</v>
      </c>
      <c r="AF40" s="289">
        <f>SUM(AF8:AF38)</f>
        <v>10.733371658696216</v>
      </c>
      <c r="AG40" s="289">
        <f>IF(SUM(AE40:AF40)&gt;0, AE40/(AE40+AF40), "")</f>
        <v>0.85365815037285675</v>
      </c>
      <c r="AH40" s="290">
        <v>7.2999999999999995E-2</v>
      </c>
      <c r="AI40" s="290">
        <f t="shared" ref="AI40:AQ40" si="3">$AH$40</f>
        <v>7.2999999999999995E-2</v>
      </c>
      <c r="AJ40" s="290">
        <f t="shared" si="3"/>
        <v>7.2999999999999995E-2</v>
      </c>
      <c r="AK40" s="290">
        <f t="shared" si="3"/>
        <v>7.2999999999999995E-2</v>
      </c>
      <c r="AL40" s="290">
        <f t="shared" si="3"/>
        <v>7.2999999999999995E-2</v>
      </c>
      <c r="AM40" s="290">
        <f t="shared" si="3"/>
        <v>7.2999999999999995E-2</v>
      </c>
      <c r="AN40" s="290">
        <f t="shared" si="3"/>
        <v>7.2999999999999995E-2</v>
      </c>
      <c r="AO40" s="290">
        <f t="shared" si="3"/>
        <v>7.2999999999999995E-2</v>
      </c>
      <c r="AP40" s="290">
        <f t="shared" si="3"/>
        <v>7.2999999999999995E-2</v>
      </c>
      <c r="AQ40" s="290">
        <f t="shared" si="3"/>
        <v>7.2999999999999995E-2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460.86831100049949</v>
      </c>
      <c r="D41" s="293">
        <f t="shared" si="4"/>
        <v>4821.7676498183355</v>
      </c>
      <c r="E41" s="293">
        <f t="shared" si="4"/>
        <v>88.446300203833502</v>
      </c>
      <c r="F41" s="293">
        <f t="shared" si="4"/>
        <v>0.76905357242998462</v>
      </c>
      <c r="G41" s="293">
        <f t="shared" si="4"/>
        <v>658.81999066743913</v>
      </c>
      <c r="H41" s="294">
        <f t="shared" si="4"/>
        <v>391.01722714143125</v>
      </c>
      <c r="I41" s="292">
        <f t="shared" si="4"/>
        <v>1183.1707543764587</v>
      </c>
      <c r="J41" s="293">
        <f t="shared" si="4"/>
        <v>6343.5785254823668</v>
      </c>
      <c r="K41" s="293">
        <f t="shared" si="4"/>
        <v>175.49762056404992</v>
      </c>
      <c r="L41" s="293">
        <f t="shared" si="4"/>
        <v>0</v>
      </c>
      <c r="M41" s="293">
        <f t="shared" si="4"/>
        <v>0</v>
      </c>
      <c r="N41" s="294">
        <f t="shared" si="4"/>
        <v>68.073395040310828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454.70181068780073</v>
      </c>
      <c r="V41" s="296">
        <f t="shared" si="4"/>
        <v>77.070017391184081</v>
      </c>
      <c r="W41" s="296">
        <f t="shared" si="4"/>
        <v>170.19424854849922</v>
      </c>
      <c r="X41" s="296">
        <f t="shared" si="4"/>
        <v>29.516427785166549</v>
      </c>
      <c r="Y41" s="296">
        <f t="shared" si="4"/>
        <v>2874.8821595060681</v>
      </c>
      <c r="Z41" s="296">
        <f t="shared" si="4"/>
        <v>513.44698918309302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643.38917815767127</v>
      </c>
      <c r="AI41" s="300">
        <f t="shared" si="5"/>
        <v>1760.4634977742987</v>
      </c>
      <c r="AJ41" s="300">
        <f t="shared" si="5"/>
        <v>3803.768625150044</v>
      </c>
      <c r="AK41" s="300">
        <f t="shared" si="5"/>
        <v>1135.072631318299</v>
      </c>
      <c r="AL41" s="300">
        <f t="shared" si="5"/>
        <v>4849.5186640919364</v>
      </c>
      <c r="AM41" s="300">
        <f t="shared" si="5"/>
        <v>4662.2076743687303</v>
      </c>
      <c r="AN41" s="300">
        <f t="shared" si="5"/>
        <v>1423.8959800730386</v>
      </c>
      <c r="AO41" s="300">
        <f t="shared" si="5"/>
        <v>2452.7999999999997</v>
      </c>
      <c r="AP41" s="300">
        <f t="shared" si="5"/>
        <v>1790.9997447647315</v>
      </c>
      <c r="AQ41" s="300">
        <f t="shared" si="5"/>
        <v>1677.2398369846346</v>
      </c>
    </row>
    <row r="42" spans="1:43" ht="49.5" customHeight="1" thickTop="1" thickBot="1">
      <c r="A42" s="544" t="s">
        <v>52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1622.39</v>
      </c>
      <c r="AI42" s="300" t="s">
        <v>207</v>
      </c>
      <c r="AJ42" s="300">
        <v>1330.89</v>
      </c>
      <c r="AK42" s="300">
        <v>916.33</v>
      </c>
      <c r="AL42" s="300">
        <v>4892.45</v>
      </c>
      <c r="AM42" s="300">
        <v>7369.17</v>
      </c>
      <c r="AN42" s="300">
        <v>3053.96</v>
      </c>
      <c r="AO42" s="300" t="s">
        <v>207</v>
      </c>
      <c r="AP42" s="300">
        <v>424.93</v>
      </c>
      <c r="AQ42" s="300">
        <v>963.28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18311.820480968967</v>
      </c>
      <c r="C44" s="309"/>
      <c r="D44" s="307" t="s">
        <v>143</v>
      </c>
      <c r="E44" s="308">
        <f>SUM(B41:H41)+P41+R41+T41+V41+X41+Z41</f>
        <v>7041.7219667634117</v>
      </c>
      <c r="F44" s="309"/>
      <c r="G44" s="307" t="s">
        <v>143</v>
      </c>
      <c r="H44" s="308">
        <f>SUM(I41:N41)+O41+Q41+S41+U41+W41+Y41</f>
        <v>11270.098514205554</v>
      </c>
      <c r="I44" s="309"/>
      <c r="J44" s="307" t="s">
        <v>208</v>
      </c>
      <c r="K44" s="308">
        <v>119742.77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24199.355832683385</v>
      </c>
      <c r="C45" s="309"/>
      <c r="D45" s="314" t="s">
        <v>193</v>
      </c>
      <c r="E45" s="315">
        <f>AH41*(1-$AG$40)+AI41+AJ41*0.5+AL41+AM41*(1-$AG$40)+AN41*(1-$AG$40)+AO41*(1-$AG$40)+AP41*0.5+AQ41*0.5</f>
        <v>11589.739982256604</v>
      </c>
      <c r="F45" s="316"/>
      <c r="G45" s="314" t="s">
        <v>193</v>
      </c>
      <c r="H45" s="315">
        <f>AH41*AG40+AJ41*0.5+AK41+AM41*AG40+AN41*AG40+AO41*AG40+AP41*0.5+AQ41*0.5</f>
        <v>12609.615850426784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195.79478071928017</v>
      </c>
      <c r="U45" s="321">
        <f>(T45*8.34*0.895)/27000</f>
        <v>5.4128554878626778E-2</v>
      </c>
    </row>
    <row r="46" spans="1:43" ht="32.25" thickBot="1">
      <c r="A46" s="322" t="s">
        <v>194</v>
      </c>
      <c r="B46" s="323">
        <f>SUM(AH42:AQ42)</f>
        <v>20573.399999999998</v>
      </c>
      <c r="C46" s="309"/>
      <c r="D46" s="322" t="s">
        <v>194</v>
      </c>
      <c r="E46" s="323">
        <f>AH42*(1-$AG$40)+AJ42*0.5+AL42+AM42*(1-$AG$40)+AN42*(1-$AG$40)+AP42*0.5+AQ42*0.5</f>
        <v>8014.7636765207471</v>
      </c>
      <c r="F46" s="324"/>
      <c r="G46" s="322" t="s">
        <v>194</v>
      </c>
      <c r="H46" s="323">
        <f>AH42*AG40+AJ42*0.5+AK42+AM42*AG40+AN42*AG40+AP42*0.5+AQ42*0.5</f>
        <v>12558.636323479253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1179.2128916194044</v>
      </c>
      <c r="U46" s="325">
        <f>(((T46*8.34)*0.005)/(8.34*1.055))/400</f>
        <v>1.3971716725348393E-2</v>
      </c>
    </row>
    <row r="47" spans="1:43" ht="24.75" thickTop="1" thickBot="1">
      <c r="A47" s="322" t="s">
        <v>195</v>
      </c>
      <c r="B47" s="323">
        <f>K44</f>
        <v>119742.77</v>
      </c>
      <c r="C47" s="309"/>
      <c r="D47" s="322" t="s">
        <v>197</v>
      </c>
      <c r="E47" s="323">
        <f>K44*0.5</f>
        <v>59871.385000000002</v>
      </c>
      <c r="F47" s="316"/>
      <c r="G47" s="322" t="s">
        <v>195</v>
      </c>
      <c r="H47" s="323">
        <f>K44*0.5</f>
        <v>59871.385000000002</v>
      </c>
      <c r="I47" s="309"/>
      <c r="J47" s="307" t="s">
        <v>208</v>
      </c>
      <c r="K47" s="308">
        <v>17265.53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13309.494760958365</v>
      </c>
      <c r="U47" s="321">
        <f>T47/40000</f>
        <v>0.33273736902395912</v>
      </c>
    </row>
    <row r="48" spans="1:43" ht="24" thickBot="1">
      <c r="A48" s="322" t="s">
        <v>196</v>
      </c>
      <c r="B48" s="323">
        <f>K47</f>
        <v>17265.53</v>
      </c>
      <c r="C48" s="309"/>
      <c r="D48" s="322" t="s">
        <v>196</v>
      </c>
      <c r="E48" s="323">
        <f>K47*0.5</f>
        <v>8632.7649999999994</v>
      </c>
      <c r="F48" s="324"/>
      <c r="G48" s="322" t="s">
        <v>196</v>
      </c>
      <c r="H48" s="323">
        <f>K47*0.5</f>
        <v>8632.7649999999994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74.075316959950769</v>
      </c>
      <c r="C49" s="309"/>
      <c r="D49" s="327" t="s">
        <v>205</v>
      </c>
      <c r="E49" s="328">
        <f>AF40</f>
        <v>10.733371658696216</v>
      </c>
      <c r="F49" s="324"/>
      <c r="G49" s="327" t="s">
        <v>206</v>
      </c>
      <c r="H49" s="328">
        <f>AE40</f>
        <v>62.611141110844471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84.529786673188198</v>
      </c>
      <c r="U49" s="321">
        <f>(T49*8.34*1.04)/45000</f>
        <v>1.6292834615301451E-2</v>
      </c>
    </row>
    <row r="50" spans="1:25" ht="48" thickTop="1" thickBot="1">
      <c r="A50" s="327" t="s">
        <v>200</v>
      </c>
      <c r="B50" s="329">
        <f>(SUM(B44:B48)/AD40)</f>
        <v>2701.2085067666153</v>
      </c>
      <c r="C50" s="309"/>
      <c r="D50" s="327" t="s">
        <v>198</v>
      </c>
      <c r="E50" s="329">
        <f>SUM(E44:E48)/AF40</f>
        <v>8864.9101746560318</v>
      </c>
      <c r="F50" s="324"/>
      <c r="G50" s="327" t="s">
        <v>199</v>
      </c>
      <c r="H50" s="329">
        <f>SUM(H44:H48)/AE40</f>
        <v>1676.099474090805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1818.0233438597772</v>
      </c>
      <c r="U50" s="321">
        <f>T50/2000/8</f>
        <v>0.11362645899123608</v>
      </c>
    </row>
    <row r="51" spans="1:25" ht="47.25" customHeight="1" thickTop="1" thickBot="1">
      <c r="A51" s="330" t="s">
        <v>201</v>
      </c>
      <c r="B51" s="331">
        <f>B50/1000</f>
        <v>2.7012085067666152</v>
      </c>
      <c r="C51" s="309"/>
      <c r="D51" s="330" t="s">
        <v>202</v>
      </c>
      <c r="E51" s="331">
        <f>E50/1000</f>
        <v>8.8649101746560319</v>
      </c>
      <c r="F51" s="309"/>
      <c r="G51" s="330" t="s">
        <v>203</v>
      </c>
      <c r="H51" s="331">
        <f>H50/1000</f>
        <v>1.6760994740908051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5003.6239598512657</v>
      </c>
      <c r="U51" s="321">
        <f>(T51*8.34*1.4)/45000</f>
        <v>1.2982736301160749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107.50567883253105</v>
      </c>
      <c r="U52" s="321">
        <f>(T52*8.34*1.135)/45000</f>
        <v>2.2614177894685679E-2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1298.1996391614275</v>
      </c>
      <c r="U53" s="321">
        <f>(T53*8.34*1.029*0.03)/3300</f>
        <v>0.10128152323030806</v>
      </c>
    </row>
    <row r="54" spans="1:25" ht="57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3995.2275834401457</v>
      </c>
      <c r="U54" s="350">
        <f>(T54*1.54*8.34)/45000</f>
        <v>1.1402912220149302</v>
      </c>
    </row>
    <row r="55" spans="1:25" ht="15.75" thickTop="1">
      <c r="A55" s="351"/>
      <c r="B55" s="351"/>
      <c r="C55" s="351"/>
      <c r="D55" s="351"/>
      <c r="E55" s="351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537"/>
      <c r="S55" s="537"/>
      <c r="T55" s="352"/>
      <c r="U55" s="353"/>
    </row>
    <row r="56" spans="1:25">
      <c r="A56" s="354"/>
      <c r="B56" s="355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356"/>
      <c r="B57" s="355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355"/>
      <c r="B58" s="355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356"/>
      <c r="B59" s="355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355"/>
      <c r="B60" s="355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</sheetData>
  <sheetProtection password="A25B" sheet="1" objects="1" scenarios="1"/>
  <mergeCells count="31"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4:E54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zoomScaleNormal="100" workbookViewId="0">
      <selection activeCell="A3" sqref="A3"/>
    </sheetView>
  </sheetViews>
  <sheetFormatPr defaultRowHeight="15"/>
  <cols>
    <col min="1" max="1" width="35.140625" style="208" bestFit="1" customWidth="1"/>
    <col min="2" max="2" width="19.28515625" style="208" bestFit="1" customWidth="1"/>
    <col min="3" max="3" width="27.7109375" style="208" bestFit="1" customWidth="1"/>
    <col min="4" max="4" width="29.5703125" style="208" customWidth="1"/>
    <col min="5" max="5" width="22.28515625" style="208" bestFit="1" customWidth="1"/>
    <col min="6" max="6" width="15" style="208" bestFit="1" customWidth="1"/>
    <col min="7" max="7" width="35.5703125" style="208" customWidth="1"/>
    <col min="8" max="8" width="17.42578125" style="208" bestFit="1" customWidth="1"/>
    <col min="9" max="9" width="15" style="208" bestFit="1" customWidth="1"/>
    <col min="10" max="10" width="16.42578125" style="208" bestFit="1" customWidth="1"/>
    <col min="11" max="11" width="19.140625" style="208" bestFit="1" customWidth="1"/>
    <col min="12" max="12" width="17" style="208" bestFit="1" customWidth="1"/>
    <col min="13" max="13" width="16.140625" style="208" bestFit="1" customWidth="1"/>
    <col min="14" max="14" width="15.140625" style="208" bestFit="1" customWidth="1"/>
    <col min="15" max="16" width="16.28515625" style="208" bestFit="1" customWidth="1"/>
    <col min="17" max="17" width="24.140625" style="208" bestFit="1" customWidth="1"/>
    <col min="18" max="18" width="24.5703125" style="208" bestFit="1" customWidth="1"/>
    <col min="19" max="19" width="26.140625" style="208" bestFit="1" customWidth="1"/>
    <col min="20" max="20" width="26" style="208" bestFit="1" customWidth="1"/>
    <col min="21" max="22" width="14.5703125" style="208" bestFit="1" customWidth="1"/>
    <col min="23" max="23" width="20.42578125" style="208" bestFit="1" customWidth="1"/>
    <col min="24" max="24" width="20.140625" style="208" bestFit="1" customWidth="1"/>
    <col min="25" max="25" width="22.7109375" style="208" bestFit="1" customWidth="1"/>
    <col min="26" max="26" width="22.42578125" style="208" bestFit="1" customWidth="1"/>
    <col min="27" max="27" width="21.42578125" style="208" bestFit="1" customWidth="1"/>
    <col min="28" max="28" width="33" style="208" bestFit="1" customWidth="1"/>
    <col min="29" max="29" width="36.7109375" style="208" customWidth="1"/>
    <col min="30" max="30" width="33.28515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  <c r="AU5" s="342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40575</v>
      </c>
      <c r="B8" s="233"/>
      <c r="C8" s="234"/>
      <c r="D8" s="234"/>
      <c r="E8" s="234"/>
      <c r="F8" s="234"/>
      <c r="G8" s="234"/>
      <c r="H8" s="235"/>
      <c r="I8" s="233"/>
      <c r="J8" s="234"/>
      <c r="K8" s="234"/>
      <c r="L8" s="234"/>
      <c r="M8" s="234"/>
      <c r="N8" s="235"/>
      <c r="O8" s="233"/>
      <c r="P8" s="234"/>
      <c r="Q8" s="234"/>
      <c r="R8" s="234"/>
      <c r="S8" s="234"/>
      <c r="T8" s="236"/>
      <c r="U8" s="237"/>
      <c r="V8" s="238"/>
      <c r="W8" s="238"/>
      <c r="X8" s="238"/>
      <c r="Y8" s="238"/>
      <c r="Z8" s="238"/>
      <c r="AA8" s="239"/>
      <c r="AB8" s="240"/>
      <c r="AC8" s="241"/>
      <c r="AD8" s="241"/>
      <c r="AE8" s="242"/>
      <c r="AF8" s="242"/>
      <c r="AG8" s="242"/>
      <c r="AH8" s="241">
        <v>460.38310941060388</v>
      </c>
      <c r="AI8" s="241">
        <v>1433.4343827565513</v>
      </c>
      <c r="AJ8" s="241">
        <v>1299.8739456176759</v>
      </c>
      <c r="AK8" s="241">
        <v>581.35908075968428</v>
      </c>
      <c r="AL8" s="241">
        <v>2096.5087014516184</v>
      </c>
      <c r="AM8" s="241">
        <v>2042.5052937825521</v>
      </c>
      <c r="AN8" s="241">
        <v>1021.7110825856525</v>
      </c>
      <c r="AO8" s="241">
        <v>445.67189119656882</v>
      </c>
      <c r="AP8" s="241">
        <v>2062.2986442565916</v>
      </c>
      <c r="AQ8" s="241">
        <v>717.34833933512391</v>
      </c>
    </row>
    <row r="9" spans="1:47">
      <c r="A9" s="232">
        <f>A8+1</f>
        <v>40576</v>
      </c>
      <c r="B9" s="243"/>
      <c r="C9" s="244"/>
      <c r="D9" s="244"/>
      <c r="E9" s="244"/>
      <c r="F9" s="244"/>
      <c r="G9" s="244"/>
      <c r="H9" s="245"/>
      <c r="I9" s="243"/>
      <c r="J9" s="244"/>
      <c r="K9" s="244"/>
      <c r="L9" s="244"/>
      <c r="M9" s="244"/>
      <c r="N9" s="245"/>
      <c r="O9" s="243"/>
      <c r="P9" s="244"/>
      <c r="Q9" s="246"/>
      <c r="R9" s="247"/>
      <c r="S9" s="244"/>
      <c r="T9" s="248"/>
      <c r="U9" s="249"/>
      <c r="V9" s="246"/>
      <c r="W9" s="246"/>
      <c r="X9" s="246"/>
      <c r="Y9" s="250"/>
      <c r="Z9" s="250"/>
      <c r="AA9" s="251"/>
      <c r="AB9" s="252"/>
      <c r="AC9" s="253"/>
      <c r="AD9" s="253"/>
      <c r="AE9" s="252"/>
      <c r="AF9" s="252"/>
      <c r="AG9" s="252"/>
      <c r="AH9" s="253">
        <v>395.04208849271134</v>
      </c>
      <c r="AI9" s="253">
        <v>1371.7160320281982</v>
      </c>
      <c r="AJ9" s="253">
        <v>1235.678227615356</v>
      </c>
      <c r="AK9" s="253">
        <v>443.90458434422817</v>
      </c>
      <c r="AL9" s="253">
        <v>2015.1542275110876</v>
      </c>
      <c r="AM9" s="253">
        <v>2112.5537628173829</v>
      </c>
      <c r="AN9" s="253">
        <v>1063.644708029429</v>
      </c>
      <c r="AO9" s="253">
        <v>431.11610539754236</v>
      </c>
      <c r="AP9" s="253">
        <v>2044.6004926045737</v>
      </c>
      <c r="AQ9" s="253">
        <v>782.59357767105098</v>
      </c>
    </row>
    <row r="10" spans="1:47">
      <c r="A10" s="232">
        <f t="shared" ref="A10:A35" si="0">A9+1</f>
        <v>40577</v>
      </c>
      <c r="B10" s="243"/>
      <c r="C10" s="244"/>
      <c r="D10" s="244"/>
      <c r="E10" s="244"/>
      <c r="F10" s="244"/>
      <c r="G10" s="244"/>
      <c r="H10" s="245"/>
      <c r="I10" s="243"/>
      <c r="J10" s="244"/>
      <c r="K10" s="244"/>
      <c r="L10" s="244"/>
      <c r="M10" s="244"/>
      <c r="N10" s="245"/>
      <c r="O10" s="243"/>
      <c r="P10" s="244"/>
      <c r="Q10" s="244"/>
      <c r="R10" s="247"/>
      <c r="S10" s="244"/>
      <c r="T10" s="248"/>
      <c r="U10" s="249"/>
      <c r="V10" s="246"/>
      <c r="W10" s="246"/>
      <c r="X10" s="246"/>
      <c r="Y10" s="250"/>
      <c r="Z10" s="250"/>
      <c r="AA10" s="251"/>
      <c r="AB10" s="252"/>
      <c r="AC10" s="253"/>
      <c r="AD10" s="253"/>
      <c r="AE10" s="252"/>
      <c r="AF10" s="252"/>
      <c r="AG10" s="252"/>
      <c r="AH10" s="253">
        <v>370.86604995727538</v>
      </c>
      <c r="AI10" s="253">
        <v>1237.5414786020913</v>
      </c>
      <c r="AJ10" s="253">
        <v>1138.4855215708415</v>
      </c>
      <c r="AK10" s="253">
        <v>361.1399401903152</v>
      </c>
      <c r="AL10" s="253">
        <v>2082.1234528223677</v>
      </c>
      <c r="AM10" s="253">
        <v>2129.5767114003497</v>
      </c>
      <c r="AN10" s="253">
        <v>1263.2971975008647</v>
      </c>
      <c r="AO10" s="253">
        <v>458.19828850428263</v>
      </c>
      <c r="AP10" s="253">
        <v>1970.7678124745685</v>
      </c>
      <c r="AQ10" s="253">
        <v>731.70374905268341</v>
      </c>
    </row>
    <row r="11" spans="1:47">
      <c r="A11" s="232">
        <f t="shared" si="0"/>
        <v>40578</v>
      </c>
      <c r="B11" s="243"/>
      <c r="C11" s="244"/>
      <c r="D11" s="244"/>
      <c r="E11" s="244"/>
      <c r="F11" s="244"/>
      <c r="G11" s="244"/>
      <c r="H11" s="245"/>
      <c r="I11" s="243"/>
      <c r="J11" s="244"/>
      <c r="K11" s="244"/>
      <c r="L11" s="244"/>
      <c r="M11" s="244"/>
      <c r="N11" s="245"/>
      <c r="O11" s="243"/>
      <c r="P11" s="244"/>
      <c r="Q11" s="244"/>
      <c r="R11" s="247"/>
      <c r="S11" s="244"/>
      <c r="T11" s="248"/>
      <c r="U11" s="249"/>
      <c r="V11" s="246"/>
      <c r="W11" s="246"/>
      <c r="X11" s="246"/>
      <c r="Y11" s="250"/>
      <c r="Z11" s="250"/>
      <c r="AA11" s="251"/>
      <c r="AB11" s="252"/>
      <c r="AC11" s="253"/>
      <c r="AD11" s="253"/>
      <c r="AE11" s="252"/>
      <c r="AF11" s="252"/>
      <c r="AG11" s="252"/>
      <c r="AH11" s="253">
        <v>278.6491056442261</v>
      </c>
      <c r="AI11" s="253">
        <v>1079.3400049209592</v>
      </c>
      <c r="AJ11" s="253">
        <v>1092.0302795410157</v>
      </c>
      <c r="AK11" s="253">
        <v>318.59232083956408</v>
      </c>
      <c r="AL11" s="253">
        <v>1761.1117476781208</v>
      </c>
      <c r="AM11" s="253">
        <v>2124.9829074859622</v>
      </c>
      <c r="AN11" s="253">
        <v>1032.5752188682554</v>
      </c>
      <c r="AO11" s="253">
        <v>465.11778259277344</v>
      </c>
      <c r="AP11" s="253">
        <v>1873.1877656300862</v>
      </c>
      <c r="AQ11" s="253">
        <v>713.71854899724326</v>
      </c>
    </row>
    <row r="12" spans="1:47">
      <c r="A12" s="232">
        <f t="shared" si="0"/>
        <v>40579</v>
      </c>
      <c r="B12" s="243"/>
      <c r="C12" s="244"/>
      <c r="D12" s="244"/>
      <c r="E12" s="244"/>
      <c r="F12" s="244"/>
      <c r="G12" s="244"/>
      <c r="H12" s="245"/>
      <c r="I12" s="243"/>
      <c r="J12" s="244"/>
      <c r="K12" s="244"/>
      <c r="L12" s="244"/>
      <c r="M12" s="244"/>
      <c r="N12" s="245"/>
      <c r="O12" s="243"/>
      <c r="P12" s="244"/>
      <c r="Q12" s="244"/>
      <c r="R12" s="247"/>
      <c r="S12" s="244"/>
      <c r="T12" s="248"/>
      <c r="U12" s="249"/>
      <c r="V12" s="246"/>
      <c r="W12" s="246"/>
      <c r="X12" s="246"/>
      <c r="Y12" s="250"/>
      <c r="Z12" s="250"/>
      <c r="AA12" s="251"/>
      <c r="AB12" s="252"/>
      <c r="AC12" s="253"/>
      <c r="AD12" s="253"/>
      <c r="AE12" s="252"/>
      <c r="AF12" s="252"/>
      <c r="AG12" s="252"/>
      <c r="AH12" s="253">
        <v>243.34467631975815</v>
      </c>
      <c r="AI12" s="253">
        <v>1033.6767333348591</v>
      </c>
      <c r="AJ12" s="253">
        <v>1004.7767564137777</v>
      </c>
      <c r="AK12" s="253">
        <v>302.25005567073828</v>
      </c>
      <c r="AL12" s="253">
        <v>1736.0684533437095</v>
      </c>
      <c r="AM12" s="253">
        <v>1928.5265337626142</v>
      </c>
      <c r="AN12" s="253">
        <v>785.62744388580313</v>
      </c>
      <c r="AO12" s="253">
        <v>465.11778259277344</v>
      </c>
      <c r="AP12" s="253">
        <v>1854.4574701944987</v>
      </c>
      <c r="AQ12" s="253">
        <v>626.15162734985347</v>
      </c>
    </row>
    <row r="13" spans="1:47">
      <c r="A13" s="232">
        <f t="shared" si="0"/>
        <v>40580</v>
      </c>
      <c r="B13" s="243"/>
      <c r="C13" s="244"/>
      <c r="D13" s="244"/>
      <c r="E13" s="244"/>
      <c r="F13" s="244"/>
      <c r="G13" s="244"/>
      <c r="H13" s="245"/>
      <c r="I13" s="243"/>
      <c r="J13" s="244"/>
      <c r="K13" s="244"/>
      <c r="L13" s="244"/>
      <c r="M13" s="244"/>
      <c r="N13" s="245"/>
      <c r="O13" s="243"/>
      <c r="P13" s="244"/>
      <c r="Q13" s="244"/>
      <c r="R13" s="247"/>
      <c r="S13" s="244"/>
      <c r="T13" s="248"/>
      <c r="U13" s="249"/>
      <c r="V13" s="246"/>
      <c r="W13" s="246"/>
      <c r="X13" s="246"/>
      <c r="Y13" s="250"/>
      <c r="Z13" s="250"/>
      <c r="AA13" s="251"/>
      <c r="AB13" s="252"/>
      <c r="AC13" s="253"/>
      <c r="AD13" s="253"/>
      <c r="AE13" s="252"/>
      <c r="AF13" s="252"/>
      <c r="AG13" s="252"/>
      <c r="AH13" s="253">
        <v>270.32207648754121</v>
      </c>
      <c r="AI13" s="253">
        <v>1072.3995974858601</v>
      </c>
      <c r="AJ13" s="253">
        <v>1023.624278577169</v>
      </c>
      <c r="AK13" s="253">
        <v>326.77537045478829</v>
      </c>
      <c r="AL13" s="253">
        <v>1826.6700901667277</v>
      </c>
      <c r="AM13" s="253">
        <v>1852.1880035400388</v>
      </c>
      <c r="AN13" s="253">
        <v>540.73303543726593</v>
      </c>
      <c r="AO13" s="253">
        <v>465.11778259277344</v>
      </c>
      <c r="AP13" s="253">
        <v>1892.6168561299644</v>
      </c>
      <c r="AQ13" s="253">
        <v>650.58554293314614</v>
      </c>
    </row>
    <row r="14" spans="1:47">
      <c r="A14" s="232">
        <f t="shared" si="0"/>
        <v>40581</v>
      </c>
      <c r="B14" s="243"/>
      <c r="C14" s="244"/>
      <c r="D14" s="244"/>
      <c r="E14" s="244"/>
      <c r="F14" s="244"/>
      <c r="G14" s="244"/>
      <c r="H14" s="245"/>
      <c r="I14" s="243"/>
      <c r="J14" s="244"/>
      <c r="K14" s="244"/>
      <c r="L14" s="244"/>
      <c r="M14" s="244"/>
      <c r="N14" s="245"/>
      <c r="O14" s="243"/>
      <c r="P14" s="244"/>
      <c r="Q14" s="244"/>
      <c r="R14" s="247"/>
      <c r="S14" s="244"/>
      <c r="T14" s="248"/>
      <c r="U14" s="249"/>
      <c r="V14" s="246"/>
      <c r="W14" s="246"/>
      <c r="X14" s="246"/>
      <c r="Y14" s="250"/>
      <c r="Z14" s="250"/>
      <c r="AA14" s="251"/>
      <c r="AB14" s="252"/>
      <c r="AC14" s="253"/>
      <c r="AD14" s="253"/>
      <c r="AE14" s="252"/>
      <c r="AF14" s="252"/>
      <c r="AG14" s="252"/>
      <c r="AH14" s="253">
        <v>297.44996860027322</v>
      </c>
      <c r="AI14" s="253">
        <v>1101.006648381551</v>
      </c>
      <c r="AJ14" s="253">
        <v>1058.7411214192707</v>
      </c>
      <c r="AK14" s="253">
        <v>333.34088840484617</v>
      </c>
      <c r="AL14" s="253">
        <v>1798.1634005864466</v>
      </c>
      <c r="AM14" s="253">
        <v>1937.2311672210694</v>
      </c>
      <c r="AN14" s="253">
        <v>860.53824507395439</v>
      </c>
      <c r="AO14" s="253">
        <v>458.88725223541257</v>
      </c>
      <c r="AP14" s="253">
        <v>1885.4705408732098</v>
      </c>
      <c r="AQ14" s="253">
        <v>761.28315985997529</v>
      </c>
    </row>
    <row r="15" spans="1:47">
      <c r="A15" s="232">
        <f t="shared" si="0"/>
        <v>40582</v>
      </c>
      <c r="B15" s="243"/>
      <c r="C15" s="244"/>
      <c r="D15" s="244"/>
      <c r="E15" s="244"/>
      <c r="F15" s="244"/>
      <c r="G15" s="244"/>
      <c r="H15" s="245"/>
      <c r="I15" s="243"/>
      <c r="J15" s="244"/>
      <c r="K15" s="244"/>
      <c r="L15" s="244"/>
      <c r="M15" s="244"/>
      <c r="N15" s="245"/>
      <c r="O15" s="243"/>
      <c r="P15" s="244"/>
      <c r="Q15" s="244"/>
      <c r="R15" s="247"/>
      <c r="S15" s="244"/>
      <c r="T15" s="248"/>
      <c r="U15" s="249"/>
      <c r="V15" s="246"/>
      <c r="W15" s="246"/>
      <c r="X15" s="246"/>
      <c r="Y15" s="250"/>
      <c r="Z15" s="250"/>
      <c r="AA15" s="251"/>
      <c r="AB15" s="252"/>
      <c r="AC15" s="253"/>
      <c r="AD15" s="253"/>
      <c r="AE15" s="252"/>
      <c r="AF15" s="252"/>
      <c r="AG15" s="252"/>
      <c r="AH15" s="253">
        <v>382.8027918974559</v>
      </c>
      <c r="AI15" s="253">
        <v>1330.0792805353799</v>
      </c>
      <c r="AJ15" s="253">
        <v>1106.8968839645383</v>
      </c>
      <c r="AK15" s="253">
        <v>373.58329811890923</v>
      </c>
      <c r="AL15" s="253">
        <v>2012.1737307230633</v>
      </c>
      <c r="AM15" s="253">
        <v>2145.5773626963301</v>
      </c>
      <c r="AN15" s="253">
        <v>1027.8533423423769</v>
      </c>
      <c r="AO15" s="253">
        <v>449.10365670522054</v>
      </c>
      <c r="AP15" s="253">
        <v>1935.5722888946534</v>
      </c>
      <c r="AQ15" s="253">
        <v>787.59494813283288</v>
      </c>
    </row>
    <row r="16" spans="1:47">
      <c r="A16" s="232">
        <f t="shared" si="0"/>
        <v>40583</v>
      </c>
      <c r="B16" s="243"/>
      <c r="C16" s="244"/>
      <c r="D16" s="244"/>
      <c r="E16" s="244"/>
      <c r="F16" s="244"/>
      <c r="G16" s="244"/>
      <c r="H16" s="245"/>
      <c r="I16" s="243"/>
      <c r="J16" s="244"/>
      <c r="K16" s="244"/>
      <c r="L16" s="244"/>
      <c r="M16" s="244"/>
      <c r="N16" s="245"/>
      <c r="O16" s="243"/>
      <c r="P16" s="244"/>
      <c r="Q16" s="244"/>
      <c r="R16" s="247"/>
      <c r="S16" s="244"/>
      <c r="T16" s="248"/>
      <c r="U16" s="249"/>
      <c r="V16" s="246"/>
      <c r="W16" s="246"/>
      <c r="X16" s="246"/>
      <c r="Y16" s="250"/>
      <c r="Z16" s="250"/>
      <c r="AA16" s="251"/>
      <c r="AB16" s="252"/>
      <c r="AC16" s="253"/>
      <c r="AD16" s="253"/>
      <c r="AE16" s="252"/>
      <c r="AF16" s="252"/>
      <c r="AG16" s="252"/>
      <c r="AH16" s="253">
        <v>409.25697693030048</v>
      </c>
      <c r="AI16" s="253">
        <v>1418.3845176696777</v>
      </c>
      <c r="AJ16" s="253">
        <v>1130.0512816747028</v>
      </c>
      <c r="AK16" s="253">
        <v>376.73512320518495</v>
      </c>
      <c r="AL16" s="253">
        <v>2024.9319076538084</v>
      </c>
      <c r="AM16" s="253">
        <v>2235.6364912668864</v>
      </c>
      <c r="AN16" s="253">
        <v>726.13970632553094</v>
      </c>
      <c r="AO16" s="253">
        <v>448.15567016601562</v>
      </c>
      <c r="AP16" s="253">
        <v>1933.4523050944008</v>
      </c>
      <c r="AQ16" s="253">
        <v>731.37922623952238</v>
      </c>
    </row>
    <row r="17" spans="1:43">
      <c r="A17" s="232">
        <f t="shared" si="0"/>
        <v>40584</v>
      </c>
      <c r="B17" s="233"/>
      <c r="C17" s="234"/>
      <c r="D17" s="234"/>
      <c r="E17" s="234"/>
      <c r="F17" s="234"/>
      <c r="G17" s="234"/>
      <c r="H17" s="235"/>
      <c r="I17" s="233"/>
      <c r="J17" s="234"/>
      <c r="K17" s="234"/>
      <c r="L17" s="244"/>
      <c r="M17" s="234"/>
      <c r="N17" s="235"/>
      <c r="O17" s="233"/>
      <c r="P17" s="234"/>
      <c r="Q17" s="234"/>
      <c r="R17" s="254"/>
      <c r="S17" s="234"/>
      <c r="T17" s="236"/>
      <c r="U17" s="255"/>
      <c r="V17" s="250"/>
      <c r="W17" s="246"/>
      <c r="X17" s="246"/>
      <c r="Y17" s="250"/>
      <c r="Z17" s="250"/>
      <c r="AA17" s="251"/>
      <c r="AB17" s="252"/>
      <c r="AC17" s="253"/>
      <c r="AD17" s="253"/>
      <c r="AE17" s="252"/>
      <c r="AF17" s="252"/>
      <c r="AG17" s="252"/>
      <c r="AH17" s="253">
        <v>360.87630782127383</v>
      </c>
      <c r="AI17" s="253">
        <v>1108.7488771438598</v>
      </c>
      <c r="AJ17" s="253">
        <v>1022.8219977696737</v>
      </c>
      <c r="AK17" s="253">
        <v>340.66240565776826</v>
      </c>
      <c r="AL17" s="253">
        <v>1912.1518081029255</v>
      </c>
      <c r="AM17" s="253">
        <v>2166.9116556803388</v>
      </c>
      <c r="AN17" s="253">
        <v>564.81342053413402</v>
      </c>
      <c r="AO17" s="253">
        <v>448.15567016601562</v>
      </c>
      <c r="AP17" s="253">
        <v>887.144156253338</v>
      </c>
      <c r="AQ17" s="253">
        <v>689.34555851618438</v>
      </c>
    </row>
    <row r="18" spans="1:43">
      <c r="A18" s="232">
        <f t="shared" si="0"/>
        <v>40585</v>
      </c>
      <c r="B18" s="243"/>
      <c r="C18" s="244"/>
      <c r="D18" s="244"/>
      <c r="E18" s="244"/>
      <c r="F18" s="244"/>
      <c r="G18" s="244"/>
      <c r="H18" s="245"/>
      <c r="I18" s="243"/>
      <c r="J18" s="244"/>
      <c r="K18" s="244"/>
      <c r="L18" s="244"/>
      <c r="M18" s="244"/>
      <c r="N18" s="245"/>
      <c r="O18" s="243"/>
      <c r="P18" s="244"/>
      <c r="Q18" s="244"/>
      <c r="R18" s="247"/>
      <c r="S18" s="244"/>
      <c r="T18" s="248"/>
      <c r="U18" s="249"/>
      <c r="V18" s="246"/>
      <c r="W18" s="246"/>
      <c r="X18" s="246"/>
      <c r="Y18" s="250"/>
      <c r="Z18" s="250"/>
      <c r="AA18" s="251"/>
      <c r="AB18" s="252"/>
      <c r="AC18" s="253"/>
      <c r="AD18" s="253"/>
      <c r="AE18" s="252"/>
      <c r="AF18" s="252"/>
      <c r="AG18" s="252"/>
      <c r="AH18" s="253">
        <v>313.11482826868695</v>
      </c>
      <c r="AI18" s="253">
        <v>646.01886561711649</v>
      </c>
      <c r="AJ18" s="253">
        <v>1094.9848677317302</v>
      </c>
      <c r="AK18" s="253">
        <v>348.84214615027105</v>
      </c>
      <c r="AL18" s="253">
        <v>1689.9312758127851</v>
      </c>
      <c r="AM18" s="253">
        <v>2136.8754514058437</v>
      </c>
      <c r="AN18" s="253">
        <v>566.7221210479737</v>
      </c>
      <c r="AO18" s="253">
        <v>440.13106218973797</v>
      </c>
      <c r="AP18" s="253">
        <v>108.14016462365787</v>
      </c>
      <c r="AQ18" s="253">
        <v>687.84728425343849</v>
      </c>
    </row>
    <row r="19" spans="1:43">
      <c r="A19" s="232">
        <f t="shared" si="0"/>
        <v>40586</v>
      </c>
      <c r="B19" s="243"/>
      <c r="C19" s="244"/>
      <c r="D19" s="244"/>
      <c r="E19" s="244"/>
      <c r="F19" s="244"/>
      <c r="G19" s="244"/>
      <c r="H19" s="245"/>
      <c r="I19" s="243"/>
      <c r="J19" s="244"/>
      <c r="K19" s="244"/>
      <c r="L19" s="244"/>
      <c r="M19" s="244"/>
      <c r="N19" s="245"/>
      <c r="O19" s="243"/>
      <c r="P19" s="244"/>
      <c r="Q19" s="244"/>
      <c r="R19" s="247"/>
      <c r="S19" s="244"/>
      <c r="T19" s="248"/>
      <c r="U19" s="249"/>
      <c r="V19" s="246"/>
      <c r="W19" s="246"/>
      <c r="X19" s="246"/>
      <c r="Y19" s="250"/>
      <c r="Z19" s="250"/>
      <c r="AA19" s="251"/>
      <c r="AB19" s="252"/>
      <c r="AC19" s="253"/>
      <c r="AD19" s="253"/>
      <c r="AE19" s="252"/>
      <c r="AF19" s="252"/>
      <c r="AG19" s="252"/>
      <c r="AH19" s="253">
        <v>275.51232252120974</v>
      </c>
      <c r="AI19" s="253">
        <v>542.36713066101061</v>
      </c>
      <c r="AJ19" s="253">
        <v>1010.8626809438068</v>
      </c>
      <c r="AK19" s="253">
        <v>350.10136528015141</v>
      </c>
      <c r="AL19" s="253">
        <v>1483.6464425404865</v>
      </c>
      <c r="AM19" s="253">
        <v>2006.0681795756022</v>
      </c>
      <c r="AN19" s="253">
        <v>541.14170732498178</v>
      </c>
      <c r="AO19" s="253">
        <v>418.25166320800781</v>
      </c>
      <c r="AP19" s="253">
        <v>84.39016348123549</v>
      </c>
      <c r="AQ19" s="253">
        <v>608.62502024968455</v>
      </c>
    </row>
    <row r="20" spans="1:43">
      <c r="A20" s="232">
        <f t="shared" si="0"/>
        <v>40587</v>
      </c>
      <c r="B20" s="243"/>
      <c r="C20" s="244"/>
      <c r="D20" s="244"/>
      <c r="E20" s="244"/>
      <c r="F20" s="244"/>
      <c r="G20" s="244"/>
      <c r="H20" s="245"/>
      <c r="I20" s="243"/>
      <c r="J20" s="244"/>
      <c r="K20" s="244"/>
      <c r="L20" s="244"/>
      <c r="M20" s="244"/>
      <c r="N20" s="245"/>
      <c r="O20" s="243"/>
      <c r="P20" s="244"/>
      <c r="Q20" s="244"/>
      <c r="R20" s="247"/>
      <c r="S20" s="244"/>
      <c r="T20" s="248"/>
      <c r="U20" s="249"/>
      <c r="V20" s="246"/>
      <c r="W20" s="246"/>
      <c r="X20" s="246"/>
      <c r="Y20" s="250"/>
      <c r="Z20" s="250"/>
      <c r="AA20" s="251"/>
      <c r="AB20" s="252"/>
      <c r="AC20" s="253"/>
      <c r="AD20" s="253"/>
      <c r="AE20" s="252"/>
      <c r="AF20" s="252"/>
      <c r="AG20" s="252"/>
      <c r="AH20" s="253">
        <v>248.65891509056092</v>
      </c>
      <c r="AI20" s="253">
        <v>491.90548791885379</v>
      </c>
      <c r="AJ20" s="253">
        <v>1042.3427559534709</v>
      </c>
      <c r="AK20" s="253">
        <v>382.83395273685454</v>
      </c>
      <c r="AL20" s="253">
        <v>1398.2322167078657</v>
      </c>
      <c r="AM20" s="253">
        <v>1976.4931674957274</v>
      </c>
      <c r="AN20" s="253">
        <v>598.75444897015893</v>
      </c>
      <c r="AO20" s="253">
        <v>418.25166320800781</v>
      </c>
      <c r="AP20" s="253">
        <v>83.790966073671981</v>
      </c>
      <c r="AQ20" s="253">
        <v>632.33666559855158</v>
      </c>
    </row>
    <row r="21" spans="1:43">
      <c r="A21" s="232">
        <f t="shared" si="0"/>
        <v>40588</v>
      </c>
      <c r="B21" s="243"/>
      <c r="C21" s="244"/>
      <c r="D21" s="244"/>
      <c r="E21" s="244"/>
      <c r="F21" s="244"/>
      <c r="G21" s="244"/>
      <c r="H21" s="245"/>
      <c r="I21" s="243"/>
      <c r="J21" s="244"/>
      <c r="K21" s="244"/>
      <c r="L21" s="244"/>
      <c r="M21" s="244"/>
      <c r="N21" s="245"/>
      <c r="O21" s="243"/>
      <c r="P21" s="244"/>
      <c r="Q21" s="244"/>
      <c r="R21" s="247"/>
      <c r="S21" s="244"/>
      <c r="T21" s="248"/>
      <c r="U21" s="249"/>
      <c r="V21" s="246"/>
      <c r="W21" s="246"/>
      <c r="X21" s="246"/>
      <c r="Y21" s="250"/>
      <c r="Z21" s="250"/>
      <c r="AA21" s="251"/>
      <c r="AB21" s="252"/>
      <c r="AC21" s="253"/>
      <c r="AD21" s="253"/>
      <c r="AE21" s="252"/>
      <c r="AF21" s="252"/>
      <c r="AG21" s="252"/>
      <c r="AH21" s="253">
        <v>238.85105165640516</v>
      </c>
      <c r="AI21" s="253">
        <v>479.98624469439193</v>
      </c>
      <c r="AJ21" s="253">
        <v>900.78393634160352</v>
      </c>
      <c r="AK21" s="253">
        <v>365.55324893792476</v>
      </c>
      <c r="AL21" s="253">
        <v>1516.4402802149455</v>
      </c>
      <c r="AM21" s="253">
        <v>2058.8931112925211</v>
      </c>
      <c r="AN21" s="253">
        <v>601.08524848620095</v>
      </c>
      <c r="AO21" s="253">
        <v>367.63622188568115</v>
      </c>
      <c r="AP21" s="253">
        <v>75.302920987208694</v>
      </c>
      <c r="AQ21" s="253">
        <v>685.72094916502647</v>
      </c>
    </row>
    <row r="22" spans="1:43">
      <c r="A22" s="232">
        <f t="shared" si="0"/>
        <v>40589</v>
      </c>
      <c r="B22" s="243"/>
      <c r="C22" s="244"/>
      <c r="D22" s="244"/>
      <c r="E22" s="244"/>
      <c r="F22" s="244"/>
      <c r="G22" s="244"/>
      <c r="H22" s="245"/>
      <c r="I22" s="243"/>
      <c r="J22" s="244"/>
      <c r="K22" s="244"/>
      <c r="L22" s="244"/>
      <c r="M22" s="244"/>
      <c r="N22" s="245"/>
      <c r="O22" s="243"/>
      <c r="P22" s="244"/>
      <c r="Q22" s="244"/>
      <c r="R22" s="247"/>
      <c r="S22" s="244"/>
      <c r="T22" s="248"/>
      <c r="U22" s="249"/>
      <c r="V22" s="246"/>
      <c r="W22" s="246"/>
      <c r="X22" s="246"/>
      <c r="Y22" s="250"/>
      <c r="Z22" s="250"/>
      <c r="AA22" s="251"/>
      <c r="AB22" s="252"/>
      <c r="AC22" s="253"/>
      <c r="AD22" s="253"/>
      <c r="AE22" s="252"/>
      <c r="AF22" s="252"/>
      <c r="AG22" s="252"/>
      <c r="AH22" s="253">
        <v>227.53394922415416</v>
      </c>
      <c r="AI22" s="253">
        <v>483.1748251914978</v>
      </c>
      <c r="AJ22" s="253">
        <v>903.39386529922467</v>
      </c>
      <c r="AK22" s="253">
        <v>341.71759177049006</v>
      </c>
      <c r="AL22" s="253">
        <v>1395.584342384338</v>
      </c>
      <c r="AM22" s="253">
        <v>2108.6955875396734</v>
      </c>
      <c r="AN22" s="253">
        <v>983.7523202896117</v>
      </c>
      <c r="AO22" s="253">
        <v>381.37426136334739</v>
      </c>
      <c r="AP22" s="253">
        <v>91.883665357033408</v>
      </c>
      <c r="AQ22" s="253">
        <v>667.71280428568514</v>
      </c>
    </row>
    <row r="23" spans="1:43">
      <c r="A23" s="232">
        <f t="shared" si="0"/>
        <v>40590</v>
      </c>
      <c r="B23" s="243"/>
      <c r="C23" s="244"/>
      <c r="D23" s="244"/>
      <c r="E23" s="244"/>
      <c r="F23" s="244"/>
      <c r="G23" s="244"/>
      <c r="H23" s="245"/>
      <c r="I23" s="243"/>
      <c r="J23" s="244"/>
      <c r="K23" s="244"/>
      <c r="L23" s="244"/>
      <c r="M23" s="244"/>
      <c r="N23" s="245"/>
      <c r="O23" s="243"/>
      <c r="P23" s="244"/>
      <c r="Q23" s="244"/>
      <c r="R23" s="247"/>
      <c r="S23" s="244"/>
      <c r="T23" s="248"/>
      <c r="U23" s="249"/>
      <c r="V23" s="246"/>
      <c r="W23" s="246"/>
      <c r="X23" s="246"/>
      <c r="Y23" s="250"/>
      <c r="Z23" s="250"/>
      <c r="AA23" s="251"/>
      <c r="AB23" s="252"/>
      <c r="AC23" s="253"/>
      <c r="AD23" s="253"/>
      <c r="AE23" s="252"/>
      <c r="AF23" s="252"/>
      <c r="AG23" s="252"/>
      <c r="AH23" s="253">
        <v>218.31598338286082</v>
      </c>
      <c r="AI23" s="253">
        <v>455.97034468650821</v>
      </c>
      <c r="AJ23" s="253">
        <v>1011.5121804555256</v>
      </c>
      <c r="AK23" s="253">
        <v>225.8232239484787</v>
      </c>
      <c r="AL23" s="253">
        <v>1394.7852111816405</v>
      </c>
      <c r="AM23" s="253">
        <v>2027.3147331237794</v>
      </c>
      <c r="AN23" s="253">
        <v>1029.905661424001</v>
      </c>
      <c r="AO23" s="253">
        <v>311.17858219146729</v>
      </c>
      <c r="AP23" s="253">
        <v>104.00651284058888</v>
      </c>
      <c r="AQ23" s="253">
        <v>696.77553488413503</v>
      </c>
    </row>
    <row r="24" spans="1:43">
      <c r="A24" s="232">
        <f t="shared" si="0"/>
        <v>40591</v>
      </c>
      <c r="B24" s="243"/>
      <c r="C24" s="244"/>
      <c r="D24" s="244"/>
      <c r="E24" s="244"/>
      <c r="F24" s="244"/>
      <c r="G24" s="244"/>
      <c r="H24" s="245"/>
      <c r="I24" s="243"/>
      <c r="J24" s="244"/>
      <c r="K24" s="244"/>
      <c r="L24" s="244"/>
      <c r="M24" s="244"/>
      <c r="N24" s="245"/>
      <c r="O24" s="243"/>
      <c r="P24" s="244"/>
      <c r="Q24" s="244"/>
      <c r="R24" s="247"/>
      <c r="S24" s="244"/>
      <c r="T24" s="248"/>
      <c r="U24" s="249"/>
      <c r="V24" s="246"/>
      <c r="W24" s="246"/>
      <c r="X24" s="246"/>
      <c r="Y24" s="250"/>
      <c r="Z24" s="250"/>
      <c r="AA24" s="251"/>
      <c r="AB24" s="252"/>
      <c r="AC24" s="253"/>
      <c r="AD24" s="253"/>
      <c r="AE24" s="252"/>
      <c r="AF24" s="252"/>
      <c r="AG24" s="252"/>
      <c r="AH24" s="253">
        <v>217.37408576011657</v>
      </c>
      <c r="AI24" s="253">
        <v>458.69000250498459</v>
      </c>
      <c r="AJ24" s="253">
        <v>1056.0443899154664</v>
      </c>
      <c r="AK24" s="253">
        <v>307.32438884576158</v>
      </c>
      <c r="AL24" s="253">
        <v>1652.0115463256836</v>
      </c>
      <c r="AM24" s="253">
        <v>1952.3217796325685</v>
      </c>
      <c r="AN24" s="253">
        <v>1048.1770714759825</v>
      </c>
      <c r="AO24" s="253">
        <v>360.06372486750286</v>
      </c>
      <c r="AP24" s="253">
        <v>105.15279006958008</v>
      </c>
      <c r="AQ24" s="253">
        <v>666.83204129536944</v>
      </c>
    </row>
    <row r="25" spans="1:43">
      <c r="A25" s="232">
        <f t="shared" si="0"/>
        <v>40592</v>
      </c>
      <c r="B25" s="243"/>
      <c r="C25" s="244"/>
      <c r="D25" s="244"/>
      <c r="E25" s="244"/>
      <c r="F25" s="244"/>
      <c r="G25" s="244"/>
      <c r="H25" s="245"/>
      <c r="I25" s="243"/>
      <c r="J25" s="244"/>
      <c r="K25" s="244"/>
      <c r="L25" s="244"/>
      <c r="M25" s="244"/>
      <c r="N25" s="245"/>
      <c r="O25" s="243"/>
      <c r="P25" s="244"/>
      <c r="Q25" s="244"/>
      <c r="R25" s="247"/>
      <c r="S25" s="244"/>
      <c r="T25" s="248"/>
      <c r="U25" s="249"/>
      <c r="V25" s="246"/>
      <c r="W25" s="246"/>
      <c r="X25" s="246"/>
      <c r="Y25" s="250"/>
      <c r="Z25" s="250"/>
      <c r="AA25" s="251"/>
      <c r="AB25" s="252"/>
      <c r="AC25" s="253"/>
      <c r="AD25" s="253"/>
      <c r="AE25" s="252"/>
      <c r="AF25" s="252"/>
      <c r="AG25" s="252"/>
      <c r="AH25" s="253">
        <v>230.42729080518083</v>
      </c>
      <c r="AI25" s="253">
        <v>493.6537971496582</v>
      </c>
      <c r="AJ25" s="253">
        <v>1056.9483488082885</v>
      </c>
      <c r="AK25" s="253">
        <v>309.89361618359885</v>
      </c>
      <c r="AL25" s="253">
        <v>1516.6919699986779</v>
      </c>
      <c r="AM25" s="253">
        <v>1992.0144083658852</v>
      </c>
      <c r="AN25" s="253">
        <v>1003.3968719800316</v>
      </c>
      <c r="AO25" s="253">
        <v>445.90645575523376</v>
      </c>
      <c r="AP25" s="253">
        <v>104.12238743702571</v>
      </c>
      <c r="AQ25" s="253">
        <v>673.55681454340618</v>
      </c>
    </row>
    <row r="26" spans="1:43">
      <c r="A26" s="232">
        <f t="shared" si="0"/>
        <v>40593</v>
      </c>
      <c r="B26" s="243"/>
      <c r="C26" s="244"/>
      <c r="D26" s="244"/>
      <c r="E26" s="244"/>
      <c r="F26" s="244"/>
      <c r="G26" s="244"/>
      <c r="H26" s="245"/>
      <c r="I26" s="243"/>
      <c r="J26" s="244"/>
      <c r="K26" s="244"/>
      <c r="L26" s="244"/>
      <c r="M26" s="244"/>
      <c r="N26" s="245"/>
      <c r="O26" s="243"/>
      <c r="P26" s="244"/>
      <c r="Q26" s="244"/>
      <c r="R26" s="247"/>
      <c r="S26" s="244"/>
      <c r="T26" s="248"/>
      <c r="U26" s="249"/>
      <c r="V26" s="246"/>
      <c r="W26" s="246"/>
      <c r="X26" s="246"/>
      <c r="Y26" s="250"/>
      <c r="Z26" s="250"/>
      <c r="AA26" s="251"/>
      <c r="AB26" s="252"/>
      <c r="AC26" s="253"/>
      <c r="AD26" s="253"/>
      <c r="AE26" s="252"/>
      <c r="AF26" s="252"/>
      <c r="AG26" s="252"/>
      <c r="AH26" s="253">
        <v>198.64507590929668</v>
      </c>
      <c r="AI26" s="253">
        <v>440.40175010363259</v>
      </c>
      <c r="AJ26" s="253">
        <v>845.82582168579097</v>
      </c>
      <c r="AK26" s="253">
        <v>277.63182911078144</v>
      </c>
      <c r="AL26" s="253">
        <v>1490.8291110356652</v>
      </c>
      <c r="AM26" s="253">
        <v>1825.7923937479654</v>
      </c>
      <c r="AN26" s="253">
        <v>1001.3346669514971</v>
      </c>
      <c r="AO26" s="253">
        <v>472.50814819335937</v>
      </c>
      <c r="AP26" s="253">
        <v>85.002016828457499</v>
      </c>
      <c r="AQ26" s="253">
        <v>636.33483991622938</v>
      </c>
    </row>
    <row r="27" spans="1:43">
      <c r="A27" s="232">
        <f t="shared" si="0"/>
        <v>40594</v>
      </c>
      <c r="B27" s="243"/>
      <c r="C27" s="244"/>
      <c r="D27" s="244"/>
      <c r="E27" s="244"/>
      <c r="F27" s="244"/>
      <c r="G27" s="244"/>
      <c r="H27" s="245"/>
      <c r="I27" s="243"/>
      <c r="J27" s="244"/>
      <c r="K27" s="244"/>
      <c r="L27" s="244"/>
      <c r="M27" s="244"/>
      <c r="N27" s="245"/>
      <c r="O27" s="243"/>
      <c r="P27" s="244"/>
      <c r="Q27" s="244"/>
      <c r="R27" s="247"/>
      <c r="S27" s="244"/>
      <c r="T27" s="248"/>
      <c r="U27" s="249"/>
      <c r="V27" s="246"/>
      <c r="W27" s="246"/>
      <c r="X27" s="246"/>
      <c r="Y27" s="246"/>
      <c r="Z27" s="246"/>
      <c r="AA27" s="256"/>
      <c r="AB27" s="253"/>
      <c r="AC27" s="253"/>
      <c r="AD27" s="253"/>
      <c r="AE27" s="253"/>
      <c r="AF27" s="253"/>
      <c r="AG27" s="253"/>
      <c r="AH27" s="253">
        <v>200.57958858807885</v>
      </c>
      <c r="AI27" s="253">
        <v>444.7852495829265</v>
      </c>
      <c r="AJ27" s="253">
        <v>853.24957071940105</v>
      </c>
      <c r="AK27" s="253">
        <v>280.3827959140142</v>
      </c>
      <c r="AL27" s="253">
        <v>1541.9341302235921</v>
      </c>
      <c r="AM27" s="253">
        <v>1840.9295805613203</v>
      </c>
      <c r="AN27" s="253">
        <v>987.39393027623476</v>
      </c>
      <c r="AO27" s="253">
        <v>448.49202283223474</v>
      </c>
      <c r="AP27" s="253">
        <v>77.496323194106409</v>
      </c>
      <c r="AQ27" s="253">
        <v>582.96187931696568</v>
      </c>
    </row>
    <row r="28" spans="1:43">
      <c r="A28" s="232">
        <f t="shared" si="0"/>
        <v>40595</v>
      </c>
      <c r="B28" s="243"/>
      <c r="C28" s="244"/>
      <c r="D28" s="244"/>
      <c r="E28" s="244"/>
      <c r="F28" s="244"/>
      <c r="G28" s="244"/>
      <c r="H28" s="245"/>
      <c r="I28" s="243"/>
      <c r="J28" s="244"/>
      <c r="K28" s="244"/>
      <c r="L28" s="244"/>
      <c r="M28" s="244"/>
      <c r="N28" s="245"/>
      <c r="O28" s="243"/>
      <c r="P28" s="244"/>
      <c r="Q28" s="244"/>
      <c r="R28" s="247"/>
      <c r="S28" s="244"/>
      <c r="T28" s="248"/>
      <c r="U28" s="249"/>
      <c r="V28" s="246"/>
      <c r="W28" s="246"/>
      <c r="X28" s="246"/>
      <c r="Y28" s="250"/>
      <c r="Z28" s="250"/>
      <c r="AA28" s="251"/>
      <c r="AB28" s="252"/>
      <c r="AC28" s="253"/>
      <c r="AD28" s="253"/>
      <c r="AE28" s="252"/>
      <c r="AF28" s="252"/>
      <c r="AG28" s="252"/>
      <c r="AH28" s="253">
        <v>216.5782370487849</v>
      </c>
      <c r="AI28" s="253">
        <v>491.53315273920697</v>
      </c>
      <c r="AJ28" s="253">
        <v>849.46175568898525</v>
      </c>
      <c r="AK28" s="253">
        <v>299.03189643224079</v>
      </c>
      <c r="AL28" s="253">
        <v>1625.8186934789021</v>
      </c>
      <c r="AM28" s="253">
        <v>1874.2889311472577</v>
      </c>
      <c r="AN28" s="253">
        <v>1008.2495117187501</v>
      </c>
      <c r="AO28" s="253">
        <v>427.8843800226847</v>
      </c>
      <c r="AP28" s="253">
        <v>82.351866408189125</v>
      </c>
      <c r="AQ28" s="253">
        <v>653.89131669998164</v>
      </c>
    </row>
    <row r="29" spans="1:43">
      <c r="A29" s="232">
        <f t="shared" si="0"/>
        <v>40596</v>
      </c>
      <c r="B29" s="243"/>
      <c r="C29" s="244"/>
      <c r="D29" s="244"/>
      <c r="E29" s="244"/>
      <c r="F29" s="244"/>
      <c r="G29" s="244"/>
      <c r="H29" s="245"/>
      <c r="I29" s="243"/>
      <c r="J29" s="244"/>
      <c r="K29" s="244"/>
      <c r="L29" s="244"/>
      <c r="M29" s="244"/>
      <c r="N29" s="245"/>
      <c r="O29" s="243"/>
      <c r="P29" s="244"/>
      <c r="Q29" s="244"/>
      <c r="R29" s="247"/>
      <c r="S29" s="244"/>
      <c r="T29" s="248"/>
      <c r="U29" s="249"/>
      <c r="V29" s="246"/>
      <c r="W29" s="246"/>
      <c r="X29" s="246"/>
      <c r="Y29" s="250"/>
      <c r="Z29" s="250"/>
      <c r="AA29" s="251"/>
      <c r="AB29" s="252"/>
      <c r="AC29" s="253"/>
      <c r="AD29" s="253"/>
      <c r="AE29" s="252"/>
      <c r="AF29" s="252"/>
      <c r="AG29" s="252"/>
      <c r="AH29" s="253">
        <v>218.33127818902335</v>
      </c>
      <c r="AI29" s="253">
        <v>493.58521847724916</v>
      </c>
      <c r="AJ29" s="253">
        <v>888.38446496327754</v>
      </c>
      <c r="AK29" s="253">
        <v>280.42844680945075</v>
      </c>
      <c r="AL29" s="253">
        <v>1694.2182490666705</v>
      </c>
      <c r="AM29" s="253">
        <v>1873.7458934783933</v>
      </c>
      <c r="AN29" s="253">
        <v>599.35583314895621</v>
      </c>
      <c r="AO29" s="253">
        <v>420.64157878557842</v>
      </c>
      <c r="AP29" s="253">
        <v>84.98054374059042</v>
      </c>
      <c r="AQ29" s="253">
        <v>672.3201158523558</v>
      </c>
    </row>
    <row r="30" spans="1:43">
      <c r="A30" s="232">
        <f t="shared" si="0"/>
        <v>40597</v>
      </c>
      <c r="B30" s="243"/>
      <c r="C30" s="244"/>
      <c r="D30" s="244"/>
      <c r="E30" s="244"/>
      <c r="F30" s="244"/>
      <c r="G30" s="244"/>
      <c r="H30" s="245"/>
      <c r="I30" s="243"/>
      <c r="J30" s="244"/>
      <c r="K30" s="244"/>
      <c r="L30" s="244"/>
      <c r="M30" s="244"/>
      <c r="N30" s="245"/>
      <c r="O30" s="243"/>
      <c r="P30" s="244"/>
      <c r="Q30" s="244"/>
      <c r="R30" s="247"/>
      <c r="S30" s="244"/>
      <c r="T30" s="248"/>
      <c r="U30" s="249"/>
      <c r="V30" s="246"/>
      <c r="W30" s="246"/>
      <c r="X30" s="246"/>
      <c r="Y30" s="250"/>
      <c r="Z30" s="250"/>
      <c r="AA30" s="251"/>
      <c r="AB30" s="252"/>
      <c r="AC30" s="253"/>
      <c r="AD30" s="253"/>
      <c r="AE30" s="252"/>
      <c r="AF30" s="252"/>
      <c r="AG30" s="252"/>
      <c r="AH30" s="253">
        <v>228.2544982671738</v>
      </c>
      <c r="AI30" s="253">
        <v>486.17095135053</v>
      </c>
      <c r="AJ30" s="253">
        <v>906.57574644088754</v>
      </c>
      <c r="AK30" s="253">
        <v>284.96050022443131</v>
      </c>
      <c r="AL30" s="253">
        <v>1558.4610383351644</v>
      </c>
      <c r="AM30" s="253">
        <v>1873.7380589803063</v>
      </c>
      <c r="AN30" s="253">
        <v>555.88911434809359</v>
      </c>
      <c r="AO30" s="253">
        <v>437.12814331054687</v>
      </c>
      <c r="AP30" s="253">
        <v>100.11713684002558</v>
      </c>
      <c r="AQ30" s="253">
        <v>694.62712936401374</v>
      </c>
    </row>
    <row r="31" spans="1:43">
      <c r="A31" s="232">
        <f t="shared" si="0"/>
        <v>40598</v>
      </c>
      <c r="B31" s="243"/>
      <c r="C31" s="244"/>
      <c r="D31" s="244"/>
      <c r="E31" s="244"/>
      <c r="F31" s="244"/>
      <c r="G31" s="244"/>
      <c r="H31" s="245"/>
      <c r="I31" s="243"/>
      <c r="J31" s="244"/>
      <c r="K31" s="244"/>
      <c r="L31" s="244"/>
      <c r="M31" s="244"/>
      <c r="N31" s="245"/>
      <c r="O31" s="243"/>
      <c r="P31" s="244"/>
      <c r="Q31" s="244"/>
      <c r="R31" s="247"/>
      <c r="S31" s="244"/>
      <c r="T31" s="248"/>
      <c r="U31" s="249"/>
      <c r="V31" s="246"/>
      <c r="W31" s="246"/>
      <c r="X31" s="246"/>
      <c r="Y31" s="250"/>
      <c r="Z31" s="250"/>
      <c r="AA31" s="251"/>
      <c r="AB31" s="252"/>
      <c r="AC31" s="253"/>
      <c r="AD31" s="253"/>
      <c r="AE31" s="252"/>
      <c r="AF31" s="252"/>
      <c r="AG31" s="252"/>
      <c r="AH31" s="253">
        <v>233.5582013686498</v>
      </c>
      <c r="AI31" s="253">
        <v>483.94768271446213</v>
      </c>
      <c r="AJ31" s="253">
        <v>858.88376188278198</v>
      </c>
      <c r="AK31" s="253">
        <v>294.37092393239334</v>
      </c>
      <c r="AL31" s="253">
        <v>1594.9876759847004</v>
      </c>
      <c r="AM31" s="253">
        <v>1937.4713840484617</v>
      </c>
      <c r="AN31" s="253">
        <v>634.07452311515817</v>
      </c>
      <c r="AO31" s="253">
        <v>363.65039539337158</v>
      </c>
      <c r="AP31" s="253">
        <v>107.01010045409203</v>
      </c>
      <c r="AQ31" s="253">
        <v>633.93559160232519</v>
      </c>
    </row>
    <row r="32" spans="1:43">
      <c r="A32" s="232">
        <f t="shared" si="0"/>
        <v>40599</v>
      </c>
      <c r="B32" s="243"/>
      <c r="C32" s="244"/>
      <c r="D32" s="244"/>
      <c r="E32" s="244"/>
      <c r="F32" s="244"/>
      <c r="G32" s="244"/>
      <c r="H32" s="245"/>
      <c r="I32" s="243"/>
      <c r="J32" s="244"/>
      <c r="K32" s="244"/>
      <c r="L32" s="244"/>
      <c r="M32" s="244"/>
      <c r="N32" s="245"/>
      <c r="O32" s="243"/>
      <c r="P32" s="244"/>
      <c r="Q32" s="244"/>
      <c r="R32" s="247"/>
      <c r="S32" s="244"/>
      <c r="T32" s="248"/>
      <c r="U32" s="249"/>
      <c r="V32" s="246"/>
      <c r="W32" s="246"/>
      <c r="X32" s="246"/>
      <c r="Y32" s="250"/>
      <c r="Z32" s="250"/>
      <c r="AA32" s="251"/>
      <c r="AB32" s="252"/>
      <c r="AC32" s="253"/>
      <c r="AD32" s="253"/>
      <c r="AE32" s="252"/>
      <c r="AF32" s="252"/>
      <c r="AG32" s="252"/>
      <c r="AH32" s="253">
        <v>271.12237031459807</v>
      </c>
      <c r="AI32" s="253">
        <v>547.96398011843371</v>
      </c>
      <c r="AJ32" s="253">
        <v>851.15194346110036</v>
      </c>
      <c r="AK32" s="253">
        <v>325.73678218921026</v>
      </c>
      <c r="AL32" s="253">
        <v>1719.8329327901204</v>
      </c>
      <c r="AM32" s="253">
        <v>1931.9272688547774</v>
      </c>
      <c r="AN32" s="253">
        <v>855.08996388117487</v>
      </c>
      <c r="AO32" s="253">
        <v>367.51860682169598</v>
      </c>
      <c r="AP32" s="253">
        <v>143.83616086045905</v>
      </c>
      <c r="AQ32" s="253">
        <v>671.74040533701577</v>
      </c>
    </row>
    <row r="33" spans="1:43">
      <c r="A33" s="232">
        <f t="shared" si="0"/>
        <v>40600</v>
      </c>
      <c r="B33" s="243"/>
      <c r="C33" s="244"/>
      <c r="D33" s="244"/>
      <c r="E33" s="244"/>
      <c r="F33" s="244"/>
      <c r="G33" s="244"/>
      <c r="H33" s="245"/>
      <c r="I33" s="243"/>
      <c r="J33" s="244"/>
      <c r="K33" s="244"/>
      <c r="L33" s="244"/>
      <c r="M33" s="244"/>
      <c r="N33" s="245"/>
      <c r="O33" s="243"/>
      <c r="P33" s="244"/>
      <c r="Q33" s="244"/>
      <c r="R33" s="247"/>
      <c r="S33" s="244"/>
      <c r="T33" s="248"/>
      <c r="U33" s="249"/>
      <c r="V33" s="246"/>
      <c r="W33" s="246"/>
      <c r="X33" s="246"/>
      <c r="Y33" s="250"/>
      <c r="Z33" s="250"/>
      <c r="AA33" s="251"/>
      <c r="AB33" s="252"/>
      <c r="AC33" s="253"/>
      <c r="AD33" s="253"/>
      <c r="AE33" s="252"/>
      <c r="AF33" s="252"/>
      <c r="AG33" s="252"/>
      <c r="AH33" s="253">
        <v>242.49709911346432</v>
      </c>
      <c r="AI33" s="253">
        <v>506.17682216962174</v>
      </c>
      <c r="AJ33" s="253">
        <v>840.78954168955477</v>
      </c>
      <c r="AK33" s="253">
        <v>291.36418000062298</v>
      </c>
      <c r="AL33" s="253">
        <v>1551.2853584289549</v>
      </c>
      <c r="AM33" s="253">
        <v>1909.090100097656</v>
      </c>
      <c r="AN33" s="253">
        <v>839.98031479517624</v>
      </c>
      <c r="AO33" s="253">
        <v>397.52846527099609</v>
      </c>
      <c r="AP33" s="253">
        <v>109.60422316789627</v>
      </c>
      <c r="AQ33" s="253">
        <v>633.87467956542957</v>
      </c>
    </row>
    <row r="34" spans="1:43">
      <c r="A34" s="232">
        <f t="shared" si="0"/>
        <v>40601</v>
      </c>
      <c r="B34" s="243"/>
      <c r="C34" s="244"/>
      <c r="D34" s="244"/>
      <c r="E34" s="244"/>
      <c r="F34" s="244"/>
      <c r="G34" s="244"/>
      <c r="H34" s="245"/>
      <c r="I34" s="243"/>
      <c r="J34" s="244"/>
      <c r="K34" s="244"/>
      <c r="L34" s="244"/>
      <c r="M34" s="244"/>
      <c r="N34" s="245"/>
      <c r="O34" s="243"/>
      <c r="P34" s="244"/>
      <c r="Q34" s="244"/>
      <c r="R34" s="247"/>
      <c r="S34" s="244"/>
      <c r="T34" s="248"/>
      <c r="U34" s="249"/>
      <c r="V34" s="246"/>
      <c r="W34" s="246"/>
      <c r="X34" s="246"/>
      <c r="Y34" s="250"/>
      <c r="Z34" s="250"/>
      <c r="AA34" s="251"/>
      <c r="AB34" s="252"/>
      <c r="AC34" s="253"/>
      <c r="AD34" s="253"/>
      <c r="AE34" s="252"/>
      <c r="AF34" s="252"/>
      <c r="AG34" s="252"/>
      <c r="AH34" s="253">
        <v>227.24266989231111</v>
      </c>
      <c r="AI34" s="253">
        <v>469.93085308074956</v>
      </c>
      <c r="AJ34" s="253">
        <v>819.23602762222299</v>
      </c>
      <c r="AK34" s="253">
        <v>281.30442601839695</v>
      </c>
      <c r="AL34" s="253">
        <v>1538.0232134501139</v>
      </c>
      <c r="AM34" s="253">
        <v>1903.0906792958579</v>
      </c>
      <c r="AN34" s="253">
        <v>846.7927796363831</v>
      </c>
      <c r="AO34" s="253">
        <v>328.53603417078659</v>
      </c>
      <c r="AP34" s="253">
        <v>93.159188560644779</v>
      </c>
      <c r="AQ34" s="253">
        <v>618.17054897944138</v>
      </c>
    </row>
    <row r="35" spans="1:43">
      <c r="A35" s="232">
        <f t="shared" si="0"/>
        <v>40602</v>
      </c>
      <c r="B35" s="243"/>
      <c r="C35" s="244"/>
      <c r="D35" s="244"/>
      <c r="E35" s="244"/>
      <c r="F35" s="244"/>
      <c r="G35" s="244"/>
      <c r="H35" s="245"/>
      <c r="I35" s="243"/>
      <c r="J35" s="244"/>
      <c r="K35" s="244"/>
      <c r="L35" s="244"/>
      <c r="M35" s="244"/>
      <c r="N35" s="245"/>
      <c r="O35" s="243"/>
      <c r="P35" s="244"/>
      <c r="Q35" s="244"/>
      <c r="R35" s="247"/>
      <c r="S35" s="244"/>
      <c r="T35" s="248"/>
      <c r="U35" s="249"/>
      <c r="V35" s="246"/>
      <c r="W35" s="246"/>
      <c r="X35" s="246"/>
      <c r="Y35" s="250"/>
      <c r="Z35" s="250"/>
      <c r="AA35" s="251"/>
      <c r="AB35" s="252"/>
      <c r="AC35" s="253"/>
      <c r="AD35" s="253"/>
      <c r="AE35" s="252"/>
      <c r="AF35" s="252"/>
      <c r="AG35" s="252"/>
      <c r="AH35" s="253">
        <v>224.23884703318274</v>
      </c>
      <c r="AI35" s="253">
        <v>470.03735644022629</v>
      </c>
      <c r="AJ35" s="253">
        <v>948.01320826212566</v>
      </c>
      <c r="AK35" s="253">
        <v>250.76958017349241</v>
      </c>
      <c r="AL35" s="253">
        <v>1557.8714586257936</v>
      </c>
      <c r="AM35" s="253">
        <v>1934.8149089813232</v>
      </c>
      <c r="AN35" s="253">
        <v>846.50953187942491</v>
      </c>
      <c r="AO35" s="253">
        <v>292.48104000091553</v>
      </c>
      <c r="AP35" s="253">
        <v>89.257448883851367</v>
      </c>
      <c r="AQ35" s="253">
        <v>691.0599420547486</v>
      </c>
    </row>
    <row r="36" spans="1:43">
      <c r="A36" s="232"/>
      <c r="B36" s="243"/>
      <c r="C36" s="244"/>
      <c r="D36" s="244"/>
      <c r="E36" s="244"/>
      <c r="F36" s="244"/>
      <c r="G36" s="244"/>
      <c r="H36" s="245"/>
      <c r="I36" s="243"/>
      <c r="J36" s="244"/>
      <c r="K36" s="244"/>
      <c r="L36" s="244"/>
      <c r="M36" s="244"/>
      <c r="N36" s="245"/>
      <c r="O36" s="243"/>
      <c r="P36" s="244"/>
      <c r="Q36" s="244"/>
      <c r="R36" s="247"/>
      <c r="S36" s="244"/>
      <c r="T36" s="248"/>
      <c r="U36" s="249"/>
      <c r="V36" s="246"/>
      <c r="W36" s="246"/>
      <c r="X36" s="246"/>
      <c r="Y36" s="250"/>
      <c r="Z36" s="250"/>
      <c r="AA36" s="251"/>
      <c r="AB36" s="252"/>
      <c r="AC36" s="253"/>
      <c r="AD36" s="253"/>
      <c r="AE36" s="252"/>
      <c r="AF36" s="252"/>
      <c r="AG36" s="252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</row>
    <row r="37" spans="1:43">
      <c r="A37" s="232"/>
      <c r="B37" s="243"/>
      <c r="C37" s="244"/>
      <c r="D37" s="244"/>
      <c r="E37" s="244"/>
      <c r="F37" s="244"/>
      <c r="G37" s="244"/>
      <c r="H37" s="245"/>
      <c r="I37" s="243"/>
      <c r="J37" s="244"/>
      <c r="K37" s="244"/>
      <c r="L37" s="244"/>
      <c r="M37" s="244"/>
      <c r="N37" s="245"/>
      <c r="O37" s="243"/>
      <c r="P37" s="244"/>
      <c r="Q37" s="244"/>
      <c r="R37" s="247"/>
      <c r="S37" s="244"/>
      <c r="T37" s="248"/>
      <c r="U37" s="249"/>
      <c r="V37" s="246"/>
      <c r="W37" s="246"/>
      <c r="X37" s="246"/>
      <c r="Y37" s="250"/>
      <c r="Z37" s="250"/>
      <c r="AA37" s="251"/>
      <c r="AB37" s="252"/>
      <c r="AC37" s="253"/>
      <c r="AD37" s="253"/>
      <c r="AE37" s="252"/>
      <c r="AF37" s="252"/>
      <c r="AG37" s="252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</row>
    <row r="38" spans="1:43" ht="15.75" thickBot="1">
      <c r="A38" s="232"/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0</v>
      </c>
      <c r="D39" s="272">
        <f t="shared" si="1"/>
        <v>0</v>
      </c>
      <c r="E39" s="272">
        <f t="shared" si="1"/>
        <v>0</v>
      </c>
      <c r="F39" s="272">
        <f t="shared" si="1"/>
        <v>0</v>
      </c>
      <c r="G39" s="272">
        <f t="shared" si="1"/>
        <v>0</v>
      </c>
      <c r="H39" s="273">
        <f t="shared" si="1"/>
        <v>0</v>
      </c>
      <c r="I39" s="271">
        <f t="shared" si="1"/>
        <v>0</v>
      </c>
      <c r="J39" s="272">
        <f t="shared" si="1"/>
        <v>0</v>
      </c>
      <c r="K39" s="272">
        <f t="shared" si="1"/>
        <v>0</v>
      </c>
      <c r="L39" s="272">
        <f t="shared" si="1"/>
        <v>0</v>
      </c>
      <c r="M39" s="272">
        <f t="shared" si="1"/>
        <v>0</v>
      </c>
      <c r="N39" s="273">
        <f t="shared" si="1"/>
        <v>0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0</v>
      </c>
      <c r="V39" s="275">
        <f t="shared" si="1"/>
        <v>0</v>
      </c>
      <c r="W39" s="275">
        <f t="shared" si="1"/>
        <v>0</v>
      </c>
      <c r="X39" s="275">
        <f t="shared" si="1"/>
        <v>0</v>
      </c>
      <c r="Y39" s="275">
        <f t="shared" si="1"/>
        <v>0</v>
      </c>
      <c r="Z39" s="275">
        <f t="shared" si="1"/>
        <v>0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7699.829443995156</v>
      </c>
      <c r="AI39" s="278">
        <f t="shared" si="2"/>
        <v>21072.627268060045</v>
      </c>
      <c r="AJ39" s="278">
        <f t="shared" si="2"/>
        <v>27851.425162029267</v>
      </c>
      <c r="AK39" s="278">
        <f t="shared" si="2"/>
        <v>9256.4139623045921</v>
      </c>
      <c r="AL39" s="278">
        <f t="shared" si="2"/>
        <v>47185.642666625972</v>
      </c>
      <c r="AM39" s="278">
        <f t="shared" si="2"/>
        <v>55839.255507278453</v>
      </c>
      <c r="AN39" s="278">
        <f t="shared" si="2"/>
        <v>23434.539021333061</v>
      </c>
      <c r="AO39" s="278">
        <f t="shared" si="2"/>
        <v>11633.804331620535</v>
      </c>
      <c r="AP39" s="278">
        <f t="shared" si="2"/>
        <v>20069.172912214191</v>
      </c>
      <c r="AQ39" s="278">
        <f t="shared" si="2"/>
        <v>19000.027841051418</v>
      </c>
    </row>
    <row r="40" spans="1:43" ht="15.75" thickBot="1">
      <c r="A40" s="280" t="s">
        <v>182</v>
      </c>
      <c r="B40" s="281">
        <f>Projection!$AA$30</f>
        <v>0.91139353199999984</v>
      </c>
      <c r="C40" s="282">
        <f>Projection!$AA$28</f>
        <v>1.3599037199999999</v>
      </c>
      <c r="D40" s="282">
        <f>Projection!$AA$31</f>
        <v>2.0549759999999999</v>
      </c>
      <c r="E40" s="282">
        <f>Projection!$AA$26</f>
        <v>3.1224959999999999</v>
      </c>
      <c r="F40" s="282">
        <f>Projection!$AA$23</f>
        <v>5.8379999999999994E-2</v>
      </c>
      <c r="G40" s="282">
        <f>Projection!$AA$24</f>
        <v>4.9500000000000002E-2</v>
      </c>
      <c r="H40" s="283">
        <f>Projection!$AA$29</f>
        <v>3.6371774160000006</v>
      </c>
      <c r="I40" s="281">
        <f>Projection!$AA$30</f>
        <v>0.91139353199999984</v>
      </c>
      <c r="J40" s="282">
        <f>Projection!$AA$28</f>
        <v>1.3599037199999999</v>
      </c>
      <c r="K40" s="282">
        <f>Projection!$AA$26</f>
        <v>3.1224959999999999</v>
      </c>
      <c r="L40" s="282">
        <f>Projection!$AA$25</f>
        <v>0.37613399999999997</v>
      </c>
      <c r="M40" s="282">
        <f>Projection!$AA$23</f>
        <v>5.8379999999999994E-2</v>
      </c>
      <c r="N40" s="283">
        <f>Projection!$AA$23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Projection!$AA$28</f>
        <v>1.3599037199999999</v>
      </c>
      <c r="T40" s="346">
        <f>Projection!$AA$28</f>
        <v>1.3599037199999999</v>
      </c>
      <c r="U40" s="344">
        <f>Projection!$AA$27</f>
        <v>0.29249999999999998</v>
      </c>
      <c r="V40" s="345">
        <f>Projection!$AA$27</f>
        <v>0.29249999999999998</v>
      </c>
      <c r="W40" s="345">
        <f>Projection!$AA$22</f>
        <v>1.02</v>
      </c>
      <c r="X40" s="345">
        <f>Projection!$AA$22</f>
        <v>1.02</v>
      </c>
      <c r="Y40" s="345">
        <f>Projection!$AA$31</f>
        <v>2.0549759999999999</v>
      </c>
      <c r="Z40" s="345">
        <f>Projection!$AA$31</f>
        <v>2.0549759999999999</v>
      </c>
      <c r="AA40" s="347">
        <v>0</v>
      </c>
      <c r="AB40" s="348">
        <f>Projection!$AA$27</f>
        <v>0.29249999999999998</v>
      </c>
      <c r="AC40" s="348">
        <f>Projection!$AA$30</f>
        <v>0.91139353199999984</v>
      </c>
      <c r="AD40" s="289">
        <f>SUM(AD8:AD38)</f>
        <v>0</v>
      </c>
      <c r="AE40" s="289">
        <f>SUM(AE8:AE38)</f>
        <v>0</v>
      </c>
      <c r="AF40" s="289">
        <f>SUM(AF8:AF38)</f>
        <v>0</v>
      </c>
      <c r="AG40" s="289">
        <v>0.5</v>
      </c>
      <c r="AH40" s="290">
        <v>0.08</v>
      </c>
      <c r="AI40" s="290">
        <f t="shared" ref="AI40:AQ40" si="3">$AH$40</f>
        <v>0.08</v>
      </c>
      <c r="AJ40" s="290">
        <f t="shared" si="3"/>
        <v>0.08</v>
      </c>
      <c r="AK40" s="290">
        <f t="shared" si="3"/>
        <v>0.08</v>
      </c>
      <c r="AL40" s="290">
        <f t="shared" si="3"/>
        <v>0.08</v>
      </c>
      <c r="AM40" s="290">
        <f t="shared" si="3"/>
        <v>0.08</v>
      </c>
      <c r="AN40" s="290">
        <f t="shared" si="3"/>
        <v>0.08</v>
      </c>
      <c r="AO40" s="290">
        <f t="shared" si="3"/>
        <v>0.08</v>
      </c>
      <c r="AP40" s="290">
        <f t="shared" si="3"/>
        <v>0.08</v>
      </c>
      <c r="AQ40" s="290">
        <f t="shared" si="3"/>
        <v>0.08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0</v>
      </c>
      <c r="D41" s="293">
        <f t="shared" si="4"/>
        <v>0</v>
      </c>
      <c r="E41" s="293">
        <f t="shared" si="4"/>
        <v>0</v>
      </c>
      <c r="F41" s="293">
        <f t="shared" si="4"/>
        <v>0</v>
      </c>
      <c r="G41" s="293">
        <f t="shared" si="4"/>
        <v>0</v>
      </c>
      <c r="H41" s="294">
        <f t="shared" si="4"/>
        <v>0</v>
      </c>
      <c r="I41" s="292">
        <f t="shared" si="4"/>
        <v>0</v>
      </c>
      <c r="J41" s="293">
        <f t="shared" si="4"/>
        <v>0</v>
      </c>
      <c r="K41" s="293">
        <f t="shared" si="4"/>
        <v>0</v>
      </c>
      <c r="L41" s="293">
        <f t="shared" si="4"/>
        <v>0</v>
      </c>
      <c r="M41" s="293">
        <f t="shared" si="4"/>
        <v>0</v>
      </c>
      <c r="N41" s="294">
        <f t="shared" si="4"/>
        <v>0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0</v>
      </c>
      <c r="V41" s="296">
        <f t="shared" si="4"/>
        <v>0</v>
      </c>
      <c r="W41" s="296">
        <f t="shared" si="4"/>
        <v>0</v>
      </c>
      <c r="X41" s="296">
        <f t="shared" si="4"/>
        <v>0</v>
      </c>
      <c r="Y41" s="296">
        <f t="shared" si="4"/>
        <v>0</v>
      </c>
      <c r="Z41" s="296">
        <f t="shared" si="4"/>
        <v>0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615.98635551961252</v>
      </c>
      <c r="AI41" s="300">
        <f t="shared" si="5"/>
        <v>1685.8101814448037</v>
      </c>
      <c r="AJ41" s="300">
        <f t="shared" si="5"/>
        <v>2228.1140129623413</v>
      </c>
      <c r="AK41" s="300">
        <f t="shared" si="5"/>
        <v>740.51311698436734</v>
      </c>
      <c r="AL41" s="300">
        <f t="shared" si="5"/>
        <v>3774.8514133300778</v>
      </c>
      <c r="AM41" s="300">
        <f t="shared" si="5"/>
        <v>4467.1404405822759</v>
      </c>
      <c r="AN41" s="300">
        <f t="shared" si="5"/>
        <v>1874.7631217066448</v>
      </c>
      <c r="AO41" s="300">
        <f t="shared" si="5"/>
        <v>930.70434652964286</v>
      </c>
      <c r="AP41" s="300">
        <f t="shared" si="5"/>
        <v>1605.5338329771353</v>
      </c>
      <c r="AQ41" s="300">
        <f t="shared" si="5"/>
        <v>1520.0022272841136</v>
      </c>
    </row>
    <row r="42" spans="1:43" ht="49.5" customHeight="1" thickTop="1" thickBot="1">
      <c r="A42" s="544" t="s">
        <v>54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1845.69</v>
      </c>
      <c r="AI42" s="300" t="s">
        <v>207</v>
      </c>
      <c r="AJ42" s="300">
        <v>1443.86</v>
      </c>
      <c r="AK42" s="300">
        <v>1017.07</v>
      </c>
      <c r="AL42" s="300">
        <v>2802.06</v>
      </c>
      <c r="AM42" s="300">
        <v>7087.28</v>
      </c>
      <c r="AN42" s="300">
        <v>4342.58</v>
      </c>
      <c r="AO42" s="300" t="s">
        <v>207</v>
      </c>
      <c r="AP42" s="300">
        <v>457.81</v>
      </c>
      <c r="AQ42" s="300">
        <v>911.92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0</v>
      </c>
      <c r="C44" s="309"/>
      <c r="D44" s="307" t="s">
        <v>143</v>
      </c>
      <c r="E44" s="308">
        <f>SUM(B41:H41)+P41+R41+T41+V41+X41+Z41</f>
        <v>0</v>
      </c>
      <c r="F44" s="309"/>
      <c r="G44" s="307" t="s">
        <v>143</v>
      </c>
      <c r="H44" s="308">
        <f>SUM(I41:N41)+O41+Q41+S41+U41+W41+Y41</f>
        <v>0</v>
      </c>
      <c r="I44" s="309"/>
      <c r="J44" s="307" t="s">
        <v>208</v>
      </c>
      <c r="K44" s="308">
        <v>99569.920000000013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19443.419049321012</v>
      </c>
      <c r="C45" s="309"/>
      <c r="D45" s="314" t="s">
        <v>193</v>
      </c>
      <c r="E45" s="315">
        <f>AH41*(1-$AG$40)+AI41+AJ41*0.5+AL41+AM41*(1-$AG$40)+AN41*(1-$AG$40)+AO41*(1-$AG$40)+AP41*0.5+AQ41*0.5</f>
        <v>12081.783763555766</v>
      </c>
      <c r="F45" s="316"/>
      <c r="G45" s="314" t="s">
        <v>193</v>
      </c>
      <c r="H45" s="315">
        <f>AH41*AG40+AJ41*0.5+AK41+AM41*AG40+AN41*AG40+AO41*AG40+AP41*0.5+AQ41*0.5</f>
        <v>7361.63528576525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0</v>
      </c>
      <c r="U45" s="321">
        <f>(T45*8.34*0.895)/27000</f>
        <v>0</v>
      </c>
    </row>
    <row r="46" spans="1:43" ht="32.25" thickBot="1">
      <c r="A46" s="322" t="s">
        <v>194</v>
      </c>
      <c r="B46" s="323">
        <f>SUM(AH42:AQ42)</f>
        <v>19908.27</v>
      </c>
      <c r="C46" s="309"/>
      <c r="D46" s="322" t="s">
        <v>194</v>
      </c>
      <c r="E46" s="323">
        <f>AH42*(1-$AG$40)+AJ42*0.5+AL42+AM42*(1-$AG$40)+AN42*(1-$AG$40)+AP42*0.5+AQ42*0.5</f>
        <v>10846.63</v>
      </c>
      <c r="F46" s="324"/>
      <c r="G46" s="322" t="s">
        <v>194</v>
      </c>
      <c r="H46" s="323">
        <f>AH42*AG40+AJ42*0.5+AK42+AM42*AG40+AN42*AG40+AP42*0.5+AQ42*0.5</f>
        <v>9061.6400000000012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0</v>
      </c>
      <c r="U46" s="325">
        <f>(((T46*8.34)*0.005)/(8.34*1.055))/400</f>
        <v>0</v>
      </c>
    </row>
    <row r="47" spans="1:43" ht="24.75" thickTop="1" thickBot="1">
      <c r="A47" s="322" t="s">
        <v>195</v>
      </c>
      <c r="B47" s="323">
        <f>K44</f>
        <v>99569.920000000013</v>
      </c>
      <c r="C47" s="309"/>
      <c r="D47" s="322" t="s">
        <v>197</v>
      </c>
      <c r="E47" s="323">
        <f>K44*0.5</f>
        <v>49784.960000000006</v>
      </c>
      <c r="F47" s="316"/>
      <c r="G47" s="322" t="s">
        <v>195</v>
      </c>
      <c r="H47" s="323">
        <f>K44*0.5</f>
        <v>49784.960000000006</v>
      </c>
      <c r="I47" s="309"/>
      <c r="J47" s="307" t="s">
        <v>208</v>
      </c>
      <c r="K47" s="308">
        <v>24521.229999999996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0</v>
      </c>
      <c r="U47" s="321">
        <f>T47/40000</f>
        <v>0</v>
      </c>
    </row>
    <row r="48" spans="1:43" ht="24" thickBot="1">
      <c r="A48" s="322" t="s">
        <v>196</v>
      </c>
      <c r="B48" s="323">
        <f>K47</f>
        <v>24521.229999999996</v>
      </c>
      <c r="C48" s="309"/>
      <c r="D48" s="322" t="s">
        <v>196</v>
      </c>
      <c r="E48" s="323">
        <f>K47*0.5</f>
        <v>12260.614999999998</v>
      </c>
      <c r="F48" s="324"/>
      <c r="G48" s="322" t="s">
        <v>196</v>
      </c>
      <c r="H48" s="323">
        <f>K47*0.5</f>
        <v>12260.614999999998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0</v>
      </c>
      <c r="C49" s="309"/>
      <c r="D49" s="327" t="s">
        <v>205</v>
      </c>
      <c r="E49" s="328">
        <f>AF40</f>
        <v>0</v>
      </c>
      <c r="F49" s="324"/>
      <c r="G49" s="327" t="s">
        <v>206</v>
      </c>
      <c r="H49" s="328">
        <f>AE40</f>
        <v>0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0</v>
      </c>
      <c r="U49" s="321">
        <f>(T49*8.34*1.04)/45000</f>
        <v>0</v>
      </c>
    </row>
    <row r="50" spans="1:25" ht="48" thickTop="1" thickBot="1">
      <c r="A50" s="327" t="s">
        <v>200</v>
      </c>
      <c r="B50" s="329" t="e">
        <f>(SUM(B44:B48)/AD40)</f>
        <v>#DIV/0!</v>
      </c>
      <c r="C50" s="309"/>
      <c r="D50" s="327" t="s">
        <v>198</v>
      </c>
      <c r="E50" s="329" t="e">
        <f>SUM(E44:E48)/AF40</f>
        <v>#DIV/0!</v>
      </c>
      <c r="F50" s="324"/>
      <c r="G50" s="327" t="s">
        <v>199</v>
      </c>
      <c r="H50" s="329" t="e">
        <f>SUM(H44:H48)/AE40</f>
        <v>#DIV/0!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0</v>
      </c>
      <c r="U50" s="321">
        <f>T50/2000/8</f>
        <v>0</v>
      </c>
    </row>
    <row r="51" spans="1:25" ht="47.25" customHeight="1" thickTop="1" thickBot="1">
      <c r="A51" s="330" t="s">
        <v>201</v>
      </c>
      <c r="B51" s="331" t="e">
        <f>B50/1000</f>
        <v>#DIV/0!</v>
      </c>
      <c r="C51" s="309"/>
      <c r="D51" s="330" t="s">
        <v>202</v>
      </c>
      <c r="E51" s="331" t="e">
        <f>E50/1000</f>
        <v>#DIV/0!</v>
      </c>
      <c r="F51" s="309"/>
      <c r="G51" s="330" t="s">
        <v>203</v>
      </c>
      <c r="H51" s="331" t="e">
        <f>H50/1000</f>
        <v>#DIV/0!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0</v>
      </c>
      <c r="U51" s="321">
        <f>(T51*8.34*1.4)/45000</f>
        <v>0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0</v>
      </c>
      <c r="U52" s="321">
        <f>(T52*8.34*1.135)/45000</f>
        <v>0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0</v>
      </c>
      <c r="U53" s="321">
        <f>(T53*8.34*1.029*0.03)/3300</f>
        <v>0</v>
      </c>
    </row>
    <row r="54" spans="1:25" ht="42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0</v>
      </c>
      <c r="U54" s="350">
        <f>(T54*1.54*8.34)/45000</f>
        <v>0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  <row r="63" spans="1:25">
      <c r="A63" s="309"/>
      <c r="B63" s="309"/>
      <c r="C63" s="309"/>
    </row>
  </sheetData>
  <sheetProtection password="A25B" sheet="1" objects="1" scenarios="1"/>
  <mergeCells count="34">
    <mergeCell ref="A57:B58"/>
    <mergeCell ref="A59:B60"/>
    <mergeCell ref="A55:B55"/>
    <mergeCell ref="A56:B56"/>
    <mergeCell ref="AB4:AB5"/>
    <mergeCell ref="A53:E53"/>
    <mergeCell ref="A54:E54"/>
    <mergeCell ref="R54:S54"/>
    <mergeCell ref="U4:AA5"/>
    <mergeCell ref="AC4:AC5"/>
    <mergeCell ref="J43:K43"/>
    <mergeCell ref="J46:K46"/>
    <mergeCell ref="A42:K42"/>
    <mergeCell ref="AN4:AN5"/>
    <mergeCell ref="R43:U43"/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</mergeCells>
  <pageMargins left="0.33" right="0.19" top="0.75" bottom="0.75" header="0.3" footer="0.3"/>
  <pageSetup paperSize="17" scale="2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zoomScaleNormal="100" workbookViewId="0">
      <selection activeCell="A3" sqref="A3"/>
    </sheetView>
  </sheetViews>
  <sheetFormatPr defaultRowHeight="15"/>
  <cols>
    <col min="1" max="1" width="35.140625" style="208" bestFit="1" customWidth="1"/>
    <col min="2" max="2" width="19.28515625" style="208" bestFit="1" customWidth="1"/>
    <col min="3" max="3" width="27.7109375" style="208" bestFit="1" customWidth="1"/>
    <col min="4" max="4" width="29.5703125" style="208" customWidth="1"/>
    <col min="5" max="5" width="22.28515625" style="208" bestFit="1" customWidth="1"/>
    <col min="6" max="6" width="15" style="208" bestFit="1" customWidth="1"/>
    <col min="7" max="7" width="35.5703125" style="208" customWidth="1"/>
    <col min="8" max="8" width="17.28515625" style="208" bestFit="1" customWidth="1"/>
    <col min="9" max="9" width="15" style="208" bestFit="1" customWidth="1"/>
    <col min="10" max="10" width="16.42578125" style="208" bestFit="1" customWidth="1"/>
    <col min="11" max="11" width="19.140625" style="208" bestFit="1" customWidth="1"/>
    <col min="12" max="12" width="17" style="208" bestFit="1" customWidth="1"/>
    <col min="13" max="13" width="16" style="208" bestFit="1" customWidth="1"/>
    <col min="14" max="14" width="15" style="208" bestFit="1" customWidth="1"/>
    <col min="15" max="16" width="16.1406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5.75" customHeight="1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customHeight="1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40603</v>
      </c>
      <c r="B8" s="233"/>
      <c r="C8" s="234"/>
      <c r="D8" s="234"/>
      <c r="E8" s="234"/>
      <c r="F8" s="234"/>
      <c r="G8" s="234"/>
      <c r="H8" s="235"/>
      <c r="I8" s="233"/>
      <c r="J8" s="234"/>
      <c r="K8" s="234"/>
      <c r="L8" s="234"/>
      <c r="M8" s="234"/>
      <c r="N8" s="235"/>
      <c r="O8" s="233"/>
      <c r="P8" s="234"/>
      <c r="Q8" s="234"/>
      <c r="R8" s="234"/>
      <c r="S8" s="234"/>
      <c r="T8" s="236"/>
      <c r="U8" s="237"/>
      <c r="V8" s="238"/>
      <c r="W8" s="238"/>
      <c r="X8" s="238"/>
      <c r="Y8" s="238"/>
      <c r="Z8" s="238"/>
      <c r="AA8" s="239"/>
      <c r="AB8" s="240"/>
      <c r="AC8" s="241"/>
      <c r="AD8" s="241"/>
      <c r="AE8" s="242"/>
      <c r="AF8" s="242"/>
      <c r="AG8" s="242"/>
      <c r="AH8" s="241">
        <v>209.71385908921559</v>
      </c>
      <c r="AI8" s="241">
        <v>456.62607679367073</v>
      </c>
      <c r="AJ8" s="241">
        <v>915.91127192179363</v>
      </c>
      <c r="AK8" s="241">
        <v>222.58683954079947</v>
      </c>
      <c r="AL8" s="241">
        <v>1304.2668644587202</v>
      </c>
      <c r="AM8" s="241">
        <v>1881.3932557423909</v>
      </c>
      <c r="AN8" s="241">
        <v>824.00889135996499</v>
      </c>
      <c r="AO8" s="241">
        <v>292.74472045898437</v>
      </c>
      <c r="AP8" s="241">
        <v>92.339968995253258</v>
      </c>
      <c r="AQ8" s="241">
        <v>662.68146238327029</v>
      </c>
    </row>
    <row r="9" spans="1:47">
      <c r="A9" s="232">
        <f>A8+1</f>
        <v>40604</v>
      </c>
      <c r="B9" s="243"/>
      <c r="C9" s="244"/>
      <c r="D9" s="244"/>
      <c r="E9" s="244"/>
      <c r="F9" s="244"/>
      <c r="G9" s="244"/>
      <c r="H9" s="245"/>
      <c r="I9" s="243"/>
      <c r="J9" s="244"/>
      <c r="K9" s="244"/>
      <c r="L9" s="244"/>
      <c r="M9" s="244"/>
      <c r="N9" s="245"/>
      <c r="O9" s="243"/>
      <c r="P9" s="244"/>
      <c r="Q9" s="246"/>
      <c r="R9" s="247"/>
      <c r="S9" s="244"/>
      <c r="T9" s="248"/>
      <c r="U9" s="249"/>
      <c r="V9" s="246"/>
      <c r="W9" s="246"/>
      <c r="X9" s="246"/>
      <c r="Y9" s="250"/>
      <c r="Z9" s="250"/>
      <c r="AA9" s="251"/>
      <c r="AB9" s="252"/>
      <c r="AC9" s="253"/>
      <c r="AD9" s="253"/>
      <c r="AE9" s="252"/>
      <c r="AF9" s="252"/>
      <c r="AG9" s="252"/>
      <c r="AH9" s="253">
        <v>212.65993899504346</v>
      </c>
      <c r="AI9" s="253">
        <v>459.31887664794914</v>
      </c>
      <c r="AJ9" s="253">
        <v>903.57427647908514</v>
      </c>
      <c r="AK9" s="253">
        <v>226.63465135097499</v>
      </c>
      <c r="AL9" s="253">
        <v>1220.8896596272784</v>
      </c>
      <c r="AM9" s="253">
        <v>1950.1777750651049</v>
      </c>
      <c r="AN9" s="253">
        <v>835.68307374318454</v>
      </c>
      <c r="AO9" s="253">
        <v>301.09598754247031</v>
      </c>
      <c r="AP9" s="253">
        <v>99.208546098073327</v>
      </c>
      <c r="AQ9" s="253">
        <v>649.34829645156856</v>
      </c>
    </row>
    <row r="10" spans="1:47">
      <c r="A10" s="232">
        <f t="shared" ref="A10:A38" si="0">A9+1</f>
        <v>40605</v>
      </c>
      <c r="B10" s="243"/>
      <c r="C10" s="244"/>
      <c r="D10" s="244"/>
      <c r="E10" s="244"/>
      <c r="F10" s="244"/>
      <c r="G10" s="244"/>
      <c r="H10" s="245"/>
      <c r="I10" s="243"/>
      <c r="J10" s="244"/>
      <c r="K10" s="244"/>
      <c r="L10" s="244"/>
      <c r="M10" s="244"/>
      <c r="N10" s="245"/>
      <c r="O10" s="243"/>
      <c r="P10" s="244"/>
      <c r="Q10" s="244"/>
      <c r="R10" s="247"/>
      <c r="S10" s="244"/>
      <c r="T10" s="248"/>
      <c r="U10" s="249"/>
      <c r="V10" s="246"/>
      <c r="W10" s="246"/>
      <c r="X10" s="246"/>
      <c r="Y10" s="250"/>
      <c r="Z10" s="250"/>
      <c r="AA10" s="251"/>
      <c r="AB10" s="252"/>
      <c r="AC10" s="253"/>
      <c r="AD10" s="253"/>
      <c r="AE10" s="252"/>
      <c r="AF10" s="252"/>
      <c r="AG10" s="252"/>
      <c r="AH10" s="253">
        <v>207.50351565678918</v>
      </c>
      <c r="AI10" s="253">
        <v>430.91038475036623</v>
      </c>
      <c r="AJ10" s="253">
        <v>941.79440148671461</v>
      </c>
      <c r="AK10" s="253">
        <v>217.07210540771482</v>
      </c>
      <c r="AL10" s="253">
        <v>1198.7270026206968</v>
      </c>
      <c r="AM10" s="253">
        <v>1969.8523546854653</v>
      </c>
      <c r="AN10" s="253">
        <v>850.13568995793651</v>
      </c>
      <c r="AO10" s="253">
        <v>295.14994812011719</v>
      </c>
      <c r="AP10" s="253">
        <v>85.678604410092035</v>
      </c>
      <c r="AQ10" s="253">
        <v>643.12374591827381</v>
      </c>
    </row>
    <row r="11" spans="1:47">
      <c r="A11" s="232">
        <f t="shared" si="0"/>
        <v>40606</v>
      </c>
      <c r="B11" s="243"/>
      <c r="C11" s="244"/>
      <c r="D11" s="244"/>
      <c r="E11" s="244"/>
      <c r="F11" s="244"/>
      <c r="G11" s="244"/>
      <c r="H11" s="245"/>
      <c r="I11" s="243"/>
      <c r="J11" s="244"/>
      <c r="K11" s="244"/>
      <c r="L11" s="244"/>
      <c r="M11" s="244"/>
      <c r="N11" s="245"/>
      <c r="O11" s="243"/>
      <c r="P11" s="244"/>
      <c r="Q11" s="244"/>
      <c r="R11" s="247"/>
      <c r="S11" s="244"/>
      <c r="T11" s="248"/>
      <c r="U11" s="249"/>
      <c r="V11" s="246"/>
      <c r="W11" s="246"/>
      <c r="X11" s="246"/>
      <c r="Y11" s="250"/>
      <c r="Z11" s="250"/>
      <c r="AA11" s="251"/>
      <c r="AB11" s="252"/>
      <c r="AC11" s="253"/>
      <c r="AD11" s="253"/>
      <c r="AE11" s="252"/>
      <c r="AF11" s="252"/>
      <c r="AG11" s="252"/>
      <c r="AH11" s="253">
        <v>217.4378925005596</v>
      </c>
      <c r="AI11" s="253">
        <v>449.55655059814444</v>
      </c>
      <c r="AJ11" s="253">
        <v>944.58861331939693</v>
      </c>
      <c r="AK11" s="253">
        <v>239.64791618982952</v>
      </c>
      <c r="AL11" s="253">
        <v>1271.3684226989747</v>
      </c>
      <c r="AM11" s="253">
        <v>2008.1909809112549</v>
      </c>
      <c r="AN11" s="253">
        <v>857.0538845698037</v>
      </c>
      <c r="AO11" s="253">
        <v>329.43723297119141</v>
      </c>
      <c r="AP11" s="253">
        <v>97.930044533809038</v>
      </c>
      <c r="AQ11" s="253">
        <v>631.08334846496598</v>
      </c>
    </row>
    <row r="12" spans="1:47">
      <c r="A12" s="232">
        <f t="shared" si="0"/>
        <v>40607</v>
      </c>
      <c r="B12" s="243"/>
      <c r="C12" s="244"/>
      <c r="D12" s="244"/>
      <c r="E12" s="244"/>
      <c r="F12" s="244"/>
      <c r="G12" s="244"/>
      <c r="H12" s="245"/>
      <c r="I12" s="243"/>
      <c r="J12" s="244"/>
      <c r="K12" s="244"/>
      <c r="L12" s="244"/>
      <c r="M12" s="244"/>
      <c r="N12" s="245"/>
      <c r="O12" s="243"/>
      <c r="P12" s="244"/>
      <c r="Q12" s="244"/>
      <c r="R12" s="247"/>
      <c r="S12" s="244"/>
      <c r="T12" s="248"/>
      <c r="U12" s="249"/>
      <c r="V12" s="246"/>
      <c r="W12" s="246"/>
      <c r="X12" s="246"/>
      <c r="Y12" s="250"/>
      <c r="Z12" s="250"/>
      <c r="AA12" s="251"/>
      <c r="AB12" s="252"/>
      <c r="AC12" s="253"/>
      <c r="AD12" s="253"/>
      <c r="AE12" s="252"/>
      <c r="AF12" s="252"/>
      <c r="AG12" s="252"/>
      <c r="AH12" s="253">
        <v>226.14450514316559</v>
      </c>
      <c r="AI12" s="253">
        <v>471.59964728355413</v>
      </c>
      <c r="AJ12" s="253">
        <v>938.17411880493194</v>
      </c>
      <c r="AK12" s="253">
        <v>255.1453854163488</v>
      </c>
      <c r="AL12" s="253">
        <v>1261.4511142094934</v>
      </c>
      <c r="AM12" s="253">
        <v>1945.6176611582437</v>
      </c>
      <c r="AN12" s="253">
        <v>860.69447584152226</v>
      </c>
      <c r="AO12" s="253">
        <v>431.1752830028534</v>
      </c>
      <c r="AP12" s="253">
        <v>103.45481233199438</v>
      </c>
      <c r="AQ12" s="253">
        <v>581.94318850835157</v>
      </c>
    </row>
    <row r="13" spans="1:47">
      <c r="A13" s="232">
        <f t="shared" si="0"/>
        <v>40608</v>
      </c>
      <c r="B13" s="243"/>
      <c r="C13" s="244"/>
      <c r="D13" s="244"/>
      <c r="E13" s="244"/>
      <c r="F13" s="244"/>
      <c r="G13" s="244"/>
      <c r="H13" s="245"/>
      <c r="I13" s="243"/>
      <c r="J13" s="244"/>
      <c r="K13" s="244"/>
      <c r="L13" s="244"/>
      <c r="M13" s="244"/>
      <c r="N13" s="245"/>
      <c r="O13" s="243"/>
      <c r="P13" s="244"/>
      <c r="Q13" s="244"/>
      <c r="R13" s="247"/>
      <c r="S13" s="244"/>
      <c r="T13" s="248"/>
      <c r="U13" s="249"/>
      <c r="V13" s="246"/>
      <c r="W13" s="246"/>
      <c r="X13" s="246"/>
      <c r="Y13" s="250"/>
      <c r="Z13" s="250"/>
      <c r="AA13" s="251"/>
      <c r="AB13" s="252"/>
      <c r="AC13" s="253"/>
      <c r="AD13" s="253"/>
      <c r="AE13" s="252"/>
      <c r="AF13" s="252"/>
      <c r="AG13" s="252"/>
      <c r="AH13" s="253">
        <v>219.61539767583213</v>
      </c>
      <c r="AI13" s="253">
        <v>461.80548205375675</v>
      </c>
      <c r="AJ13" s="253">
        <v>935.3999317169189</v>
      </c>
      <c r="AK13" s="253">
        <v>246.34416555563612</v>
      </c>
      <c r="AL13" s="253">
        <v>1246.9508774121607</v>
      </c>
      <c r="AM13" s="253">
        <v>1893.3548656463624</v>
      </c>
      <c r="AN13" s="253">
        <v>859.80070508321137</v>
      </c>
      <c r="AO13" s="253">
        <v>387.53804402351381</v>
      </c>
      <c r="AP13" s="253">
        <v>95.501515303055456</v>
      </c>
      <c r="AQ13" s="253">
        <v>586.82262360254924</v>
      </c>
    </row>
    <row r="14" spans="1:47">
      <c r="A14" s="232">
        <f t="shared" si="0"/>
        <v>40609</v>
      </c>
      <c r="B14" s="243"/>
      <c r="C14" s="244"/>
      <c r="D14" s="244"/>
      <c r="E14" s="244"/>
      <c r="F14" s="244"/>
      <c r="G14" s="244"/>
      <c r="H14" s="245"/>
      <c r="I14" s="243"/>
      <c r="J14" s="244"/>
      <c r="K14" s="244"/>
      <c r="L14" s="244"/>
      <c r="M14" s="244"/>
      <c r="N14" s="245"/>
      <c r="O14" s="243"/>
      <c r="P14" s="244"/>
      <c r="Q14" s="244"/>
      <c r="R14" s="247"/>
      <c r="S14" s="244"/>
      <c r="T14" s="248"/>
      <c r="U14" s="249"/>
      <c r="V14" s="246"/>
      <c r="W14" s="246"/>
      <c r="X14" s="246"/>
      <c r="Y14" s="250"/>
      <c r="Z14" s="250"/>
      <c r="AA14" s="251"/>
      <c r="AB14" s="252"/>
      <c r="AC14" s="253"/>
      <c r="AD14" s="253"/>
      <c r="AE14" s="252"/>
      <c r="AF14" s="252"/>
      <c r="AG14" s="252"/>
      <c r="AH14" s="253">
        <v>229.95753867626192</v>
      </c>
      <c r="AI14" s="253">
        <v>483.75594555536912</v>
      </c>
      <c r="AJ14" s="253">
        <v>917.70452976226807</v>
      </c>
      <c r="AK14" s="253">
        <v>285.44880057175953</v>
      </c>
      <c r="AL14" s="253">
        <v>1715.1754745483399</v>
      </c>
      <c r="AM14" s="253">
        <v>1986.180517832438</v>
      </c>
      <c r="AN14" s="253">
        <v>880.53829959233587</v>
      </c>
      <c r="AO14" s="253">
        <v>370.64717783927915</v>
      </c>
      <c r="AP14" s="253">
        <v>423.04209065437317</v>
      </c>
      <c r="AQ14" s="253">
        <v>670.03922939300537</v>
      </c>
    </row>
    <row r="15" spans="1:47">
      <c r="A15" s="232">
        <f t="shared" si="0"/>
        <v>40610</v>
      </c>
      <c r="B15" s="243"/>
      <c r="C15" s="244"/>
      <c r="D15" s="244"/>
      <c r="E15" s="244"/>
      <c r="F15" s="244"/>
      <c r="G15" s="244"/>
      <c r="H15" s="245"/>
      <c r="I15" s="243"/>
      <c r="J15" s="244"/>
      <c r="K15" s="244"/>
      <c r="L15" s="244"/>
      <c r="M15" s="244"/>
      <c r="N15" s="245"/>
      <c r="O15" s="243"/>
      <c r="P15" s="244"/>
      <c r="Q15" s="244"/>
      <c r="R15" s="247"/>
      <c r="S15" s="244"/>
      <c r="T15" s="248"/>
      <c r="U15" s="249"/>
      <c r="V15" s="246"/>
      <c r="W15" s="246"/>
      <c r="X15" s="246"/>
      <c r="Y15" s="250"/>
      <c r="Z15" s="250"/>
      <c r="AA15" s="251"/>
      <c r="AB15" s="252"/>
      <c r="AC15" s="253"/>
      <c r="AD15" s="253"/>
      <c r="AE15" s="252"/>
      <c r="AF15" s="252"/>
      <c r="AG15" s="252"/>
      <c r="AH15" s="253">
        <v>242.24081962903344</v>
      </c>
      <c r="AI15" s="253">
        <v>485.05471947987877</v>
      </c>
      <c r="AJ15" s="253">
        <v>911.90285657246909</v>
      </c>
      <c r="AK15" s="253">
        <v>299.16681470473611</v>
      </c>
      <c r="AL15" s="253">
        <v>2887.9531433741254</v>
      </c>
      <c r="AM15" s="253">
        <v>1994.2548657735192</v>
      </c>
      <c r="AN15" s="253">
        <v>894.44341150919593</v>
      </c>
      <c r="AO15" s="253">
        <v>435.36008469263714</v>
      </c>
      <c r="AP15" s="253">
        <v>822.92781827052443</v>
      </c>
      <c r="AQ15" s="253">
        <v>688.29900490442913</v>
      </c>
    </row>
    <row r="16" spans="1:47">
      <c r="A16" s="232">
        <f t="shared" si="0"/>
        <v>40611</v>
      </c>
      <c r="B16" s="243"/>
      <c r="C16" s="244"/>
      <c r="D16" s="244"/>
      <c r="E16" s="244"/>
      <c r="F16" s="244"/>
      <c r="G16" s="244"/>
      <c r="H16" s="245"/>
      <c r="I16" s="243"/>
      <c r="J16" s="244"/>
      <c r="K16" s="244"/>
      <c r="L16" s="244"/>
      <c r="M16" s="244"/>
      <c r="N16" s="245"/>
      <c r="O16" s="243"/>
      <c r="P16" s="244"/>
      <c r="Q16" s="244"/>
      <c r="R16" s="247"/>
      <c r="S16" s="244"/>
      <c r="T16" s="248"/>
      <c r="U16" s="249"/>
      <c r="V16" s="246"/>
      <c r="W16" s="246"/>
      <c r="X16" s="246"/>
      <c r="Y16" s="250"/>
      <c r="Z16" s="250"/>
      <c r="AA16" s="251"/>
      <c r="AB16" s="252"/>
      <c r="AC16" s="253"/>
      <c r="AD16" s="253"/>
      <c r="AE16" s="252"/>
      <c r="AF16" s="252"/>
      <c r="AG16" s="252"/>
      <c r="AH16" s="253">
        <v>214.7819968700409</v>
      </c>
      <c r="AI16" s="253">
        <v>448.84959130287172</v>
      </c>
      <c r="AJ16" s="253">
        <v>937.47829189300546</v>
      </c>
      <c r="AK16" s="253">
        <v>263.89839673837025</v>
      </c>
      <c r="AL16" s="253">
        <v>3705.6545022328692</v>
      </c>
      <c r="AM16" s="253">
        <v>1916.4085481007892</v>
      </c>
      <c r="AN16" s="253">
        <v>872.04275798797619</v>
      </c>
      <c r="AO16" s="253">
        <v>402.99612909952799</v>
      </c>
      <c r="AP16" s="253">
        <v>1248.8252733230593</v>
      </c>
      <c r="AQ16" s="253">
        <v>689.63812850316356</v>
      </c>
    </row>
    <row r="17" spans="1:43">
      <c r="A17" s="232">
        <f t="shared" si="0"/>
        <v>40612</v>
      </c>
      <c r="B17" s="233"/>
      <c r="C17" s="234"/>
      <c r="D17" s="234"/>
      <c r="E17" s="234"/>
      <c r="F17" s="234"/>
      <c r="G17" s="234"/>
      <c r="H17" s="235"/>
      <c r="I17" s="233"/>
      <c r="J17" s="234"/>
      <c r="K17" s="234"/>
      <c r="L17" s="244"/>
      <c r="M17" s="234"/>
      <c r="N17" s="235"/>
      <c r="O17" s="233"/>
      <c r="P17" s="234"/>
      <c r="Q17" s="234"/>
      <c r="R17" s="254"/>
      <c r="S17" s="234"/>
      <c r="T17" s="236"/>
      <c r="U17" s="255"/>
      <c r="V17" s="250"/>
      <c r="W17" s="246"/>
      <c r="X17" s="246"/>
      <c r="Y17" s="250"/>
      <c r="Z17" s="250"/>
      <c r="AA17" s="251"/>
      <c r="AB17" s="252"/>
      <c r="AC17" s="253"/>
      <c r="AD17" s="253"/>
      <c r="AE17" s="252"/>
      <c r="AF17" s="252"/>
      <c r="AG17" s="252"/>
      <c r="AH17" s="253">
        <v>182.30656526088717</v>
      </c>
      <c r="AI17" s="253">
        <v>414.98704633712771</v>
      </c>
      <c r="AJ17" s="253">
        <v>976.25937938690197</v>
      </c>
      <c r="AK17" s="253">
        <v>219.04181045691166</v>
      </c>
      <c r="AL17" s="253">
        <v>4309.8785727183022</v>
      </c>
      <c r="AM17" s="253">
        <v>1872.047487640381</v>
      </c>
      <c r="AN17" s="253">
        <v>875.35149122873941</v>
      </c>
      <c r="AO17" s="253">
        <v>305.58316990534468</v>
      </c>
      <c r="AP17" s="253">
        <v>1237.6612507502236</v>
      </c>
      <c r="AQ17" s="253">
        <v>668.2418661753336</v>
      </c>
    </row>
    <row r="18" spans="1:43">
      <c r="A18" s="232">
        <f t="shared" si="0"/>
        <v>40613</v>
      </c>
      <c r="B18" s="243"/>
      <c r="C18" s="244"/>
      <c r="D18" s="244"/>
      <c r="E18" s="244"/>
      <c r="F18" s="244"/>
      <c r="G18" s="244"/>
      <c r="H18" s="245"/>
      <c r="I18" s="243"/>
      <c r="J18" s="244"/>
      <c r="K18" s="244"/>
      <c r="L18" s="244"/>
      <c r="M18" s="244"/>
      <c r="N18" s="245"/>
      <c r="O18" s="243"/>
      <c r="P18" s="244"/>
      <c r="Q18" s="244"/>
      <c r="R18" s="247"/>
      <c r="S18" s="244"/>
      <c r="T18" s="248"/>
      <c r="U18" s="249"/>
      <c r="V18" s="246"/>
      <c r="W18" s="246"/>
      <c r="X18" s="246"/>
      <c r="Y18" s="250"/>
      <c r="Z18" s="250"/>
      <c r="AA18" s="251"/>
      <c r="AB18" s="252"/>
      <c r="AC18" s="253"/>
      <c r="AD18" s="253"/>
      <c r="AE18" s="252"/>
      <c r="AF18" s="252"/>
      <c r="AG18" s="252"/>
      <c r="AH18" s="253">
        <v>166.61460401217144</v>
      </c>
      <c r="AI18" s="253">
        <v>422.31335934003192</v>
      </c>
      <c r="AJ18" s="253">
        <v>1041.3399496078491</v>
      </c>
      <c r="AK18" s="253">
        <v>194.72618553638458</v>
      </c>
      <c r="AL18" s="253">
        <v>5310.8960034688316</v>
      </c>
      <c r="AM18" s="253">
        <v>1897.0024898529052</v>
      </c>
      <c r="AN18" s="253">
        <v>877.64501479466776</v>
      </c>
      <c r="AO18" s="253">
        <v>304.92158889770508</v>
      </c>
      <c r="AP18" s="253">
        <v>1224.9714792251586</v>
      </c>
      <c r="AQ18" s="253">
        <v>646.41916920344033</v>
      </c>
    </row>
    <row r="19" spans="1:43">
      <c r="A19" s="232">
        <f t="shared" si="0"/>
        <v>40614</v>
      </c>
      <c r="B19" s="243"/>
      <c r="C19" s="244"/>
      <c r="D19" s="244"/>
      <c r="E19" s="244"/>
      <c r="F19" s="244"/>
      <c r="G19" s="244"/>
      <c r="H19" s="245"/>
      <c r="I19" s="243"/>
      <c r="J19" s="244"/>
      <c r="K19" s="244"/>
      <c r="L19" s="244"/>
      <c r="M19" s="244"/>
      <c r="N19" s="245"/>
      <c r="O19" s="243"/>
      <c r="P19" s="244"/>
      <c r="Q19" s="244"/>
      <c r="R19" s="247"/>
      <c r="S19" s="244"/>
      <c r="T19" s="248"/>
      <c r="U19" s="249"/>
      <c r="V19" s="246"/>
      <c r="W19" s="246"/>
      <c r="X19" s="246"/>
      <c r="Y19" s="250"/>
      <c r="Z19" s="250"/>
      <c r="AA19" s="251"/>
      <c r="AB19" s="252"/>
      <c r="AC19" s="253"/>
      <c r="AD19" s="253"/>
      <c r="AE19" s="252"/>
      <c r="AF19" s="252"/>
      <c r="AG19" s="252"/>
      <c r="AH19" s="253">
        <v>190.62114286422729</v>
      </c>
      <c r="AI19" s="253">
        <v>448.49980134963982</v>
      </c>
      <c r="AJ19" s="253">
        <v>1103.4904979705811</v>
      </c>
      <c r="AK19" s="253">
        <v>215.30023999214171</v>
      </c>
      <c r="AL19" s="253">
        <v>5639.0742478688562</v>
      </c>
      <c r="AM19" s="253">
        <v>1848.2422803243005</v>
      </c>
      <c r="AN19" s="253">
        <v>858.44599161148062</v>
      </c>
      <c r="AO19" s="253">
        <v>312.14961093266805</v>
      </c>
      <c r="AP19" s="253">
        <v>1224.1272609074913</v>
      </c>
      <c r="AQ19" s="253">
        <v>592.61145105361948</v>
      </c>
    </row>
    <row r="20" spans="1:43">
      <c r="A20" s="232">
        <f t="shared" si="0"/>
        <v>40615</v>
      </c>
      <c r="B20" s="243"/>
      <c r="C20" s="244"/>
      <c r="D20" s="244"/>
      <c r="E20" s="244"/>
      <c r="F20" s="244"/>
      <c r="G20" s="244"/>
      <c r="H20" s="245"/>
      <c r="I20" s="243"/>
      <c r="J20" s="244"/>
      <c r="K20" s="244"/>
      <c r="L20" s="244"/>
      <c r="M20" s="244"/>
      <c r="N20" s="245"/>
      <c r="O20" s="243"/>
      <c r="P20" s="244"/>
      <c r="Q20" s="244"/>
      <c r="R20" s="247"/>
      <c r="S20" s="244"/>
      <c r="T20" s="248"/>
      <c r="U20" s="249"/>
      <c r="V20" s="246"/>
      <c r="W20" s="246"/>
      <c r="X20" s="246"/>
      <c r="Y20" s="250"/>
      <c r="Z20" s="250"/>
      <c r="AA20" s="251"/>
      <c r="AB20" s="252"/>
      <c r="AC20" s="253"/>
      <c r="AD20" s="253"/>
      <c r="AE20" s="252"/>
      <c r="AF20" s="252"/>
      <c r="AG20" s="252"/>
      <c r="AH20" s="253">
        <v>198.00543069839475</v>
      </c>
      <c r="AI20" s="253">
        <v>456.42220671971648</v>
      </c>
      <c r="AJ20" s="253">
        <v>1102.4086784362796</v>
      </c>
      <c r="AK20" s="253">
        <v>224.89606641133628</v>
      </c>
      <c r="AL20" s="253">
        <v>5586.3737968444821</v>
      </c>
      <c r="AM20" s="253">
        <v>1818.1048643747968</v>
      </c>
      <c r="AN20" s="253">
        <v>859.77554359436044</v>
      </c>
      <c r="AO20" s="253">
        <v>299.17713534037273</v>
      </c>
      <c r="AP20" s="253">
        <v>1202.5579225540162</v>
      </c>
      <c r="AQ20" s="253">
        <v>615.70110149383538</v>
      </c>
    </row>
    <row r="21" spans="1:43">
      <c r="A21" s="232">
        <f t="shared" si="0"/>
        <v>40616</v>
      </c>
      <c r="B21" s="243"/>
      <c r="C21" s="244"/>
      <c r="D21" s="244"/>
      <c r="E21" s="244"/>
      <c r="F21" s="244"/>
      <c r="G21" s="244"/>
      <c r="H21" s="245"/>
      <c r="I21" s="243"/>
      <c r="J21" s="244"/>
      <c r="K21" s="244"/>
      <c r="L21" s="244"/>
      <c r="M21" s="244"/>
      <c r="N21" s="245"/>
      <c r="O21" s="243"/>
      <c r="P21" s="244"/>
      <c r="Q21" s="244"/>
      <c r="R21" s="247"/>
      <c r="S21" s="244"/>
      <c r="T21" s="248"/>
      <c r="U21" s="249"/>
      <c r="V21" s="246"/>
      <c r="W21" s="246"/>
      <c r="X21" s="246"/>
      <c r="Y21" s="250"/>
      <c r="Z21" s="250"/>
      <c r="AA21" s="251"/>
      <c r="AB21" s="252"/>
      <c r="AC21" s="253"/>
      <c r="AD21" s="253"/>
      <c r="AE21" s="252"/>
      <c r="AF21" s="252"/>
      <c r="AG21" s="252"/>
      <c r="AH21" s="253">
        <v>200.96569894949596</v>
      </c>
      <c r="AI21" s="253">
        <v>452.73470880190541</v>
      </c>
      <c r="AJ21" s="253">
        <v>1848.0169395446778</v>
      </c>
      <c r="AK21" s="253">
        <v>219.15542446772258</v>
      </c>
      <c r="AL21" s="253">
        <v>5254.9051292419426</v>
      </c>
      <c r="AM21" s="253">
        <v>1860.5687515258792</v>
      </c>
      <c r="AN21" s="253">
        <v>847.74973011016857</v>
      </c>
      <c r="AO21" s="253">
        <v>344.50856757164001</v>
      </c>
      <c r="AP21" s="253">
        <v>1218.6374813715618</v>
      </c>
      <c r="AQ21" s="253">
        <v>652.49352566401149</v>
      </c>
    </row>
    <row r="22" spans="1:43">
      <c r="A22" s="232">
        <f t="shared" si="0"/>
        <v>40617</v>
      </c>
      <c r="B22" s="243"/>
      <c r="C22" s="244"/>
      <c r="D22" s="244"/>
      <c r="E22" s="244"/>
      <c r="F22" s="244"/>
      <c r="G22" s="244"/>
      <c r="H22" s="245"/>
      <c r="I22" s="243"/>
      <c r="J22" s="244"/>
      <c r="K22" s="244"/>
      <c r="L22" s="244"/>
      <c r="M22" s="244"/>
      <c r="N22" s="245"/>
      <c r="O22" s="243"/>
      <c r="P22" s="244"/>
      <c r="Q22" s="244"/>
      <c r="R22" s="247"/>
      <c r="S22" s="244"/>
      <c r="T22" s="248"/>
      <c r="U22" s="249"/>
      <c r="V22" s="246"/>
      <c r="W22" s="246"/>
      <c r="X22" s="246"/>
      <c r="Y22" s="250"/>
      <c r="Z22" s="250"/>
      <c r="AA22" s="251"/>
      <c r="AB22" s="252"/>
      <c r="AC22" s="253"/>
      <c r="AD22" s="253"/>
      <c r="AE22" s="252"/>
      <c r="AF22" s="252"/>
      <c r="AG22" s="252"/>
      <c r="AH22" s="253">
        <v>213.37723444302875</v>
      </c>
      <c r="AI22" s="253">
        <v>477.83155609766635</v>
      </c>
      <c r="AJ22" s="253">
        <v>2948.6637500762936</v>
      </c>
      <c r="AK22" s="253">
        <v>213.79635124206544</v>
      </c>
      <c r="AL22" s="253">
        <v>5225.599516805014</v>
      </c>
      <c r="AM22" s="253">
        <v>1863.3693734486897</v>
      </c>
      <c r="AN22" s="253">
        <v>862.30496238072726</v>
      </c>
      <c r="AO22" s="253">
        <v>396.89798812866212</v>
      </c>
      <c r="AP22" s="253">
        <v>1235.1171569824219</v>
      </c>
      <c r="AQ22" s="253">
        <v>660.72624375025441</v>
      </c>
    </row>
    <row r="23" spans="1:43">
      <c r="A23" s="232">
        <f t="shared" si="0"/>
        <v>40618</v>
      </c>
      <c r="B23" s="243"/>
      <c r="C23" s="244"/>
      <c r="D23" s="244"/>
      <c r="E23" s="244"/>
      <c r="F23" s="244"/>
      <c r="G23" s="244"/>
      <c r="H23" s="245"/>
      <c r="I23" s="243"/>
      <c r="J23" s="244"/>
      <c r="K23" s="244"/>
      <c r="L23" s="244"/>
      <c r="M23" s="244"/>
      <c r="N23" s="245"/>
      <c r="O23" s="243"/>
      <c r="P23" s="244"/>
      <c r="Q23" s="244"/>
      <c r="R23" s="247"/>
      <c r="S23" s="244"/>
      <c r="T23" s="248"/>
      <c r="U23" s="249"/>
      <c r="V23" s="246"/>
      <c r="W23" s="246"/>
      <c r="X23" s="246"/>
      <c r="Y23" s="250"/>
      <c r="Z23" s="250"/>
      <c r="AA23" s="251"/>
      <c r="AB23" s="252"/>
      <c r="AC23" s="253"/>
      <c r="AD23" s="253"/>
      <c r="AE23" s="252"/>
      <c r="AF23" s="252"/>
      <c r="AG23" s="252"/>
      <c r="AH23" s="253">
        <v>182.80051484902702</v>
      </c>
      <c r="AI23" s="253">
        <v>433.66314875284831</v>
      </c>
      <c r="AJ23" s="253">
        <v>2936.8171572367351</v>
      </c>
      <c r="AK23" s="253">
        <v>201.54022895495095</v>
      </c>
      <c r="AL23" s="253">
        <v>4967.923313649495</v>
      </c>
      <c r="AM23" s="253">
        <v>1796.4188212076824</v>
      </c>
      <c r="AN23" s="253">
        <v>849.21348215738931</v>
      </c>
      <c r="AO23" s="253">
        <v>398.84934997558594</v>
      </c>
      <c r="AP23" s="253">
        <v>1237.2314712524415</v>
      </c>
      <c r="AQ23" s="253">
        <v>728.07641391754146</v>
      </c>
    </row>
    <row r="24" spans="1:43">
      <c r="A24" s="232">
        <f t="shared" si="0"/>
        <v>40619</v>
      </c>
      <c r="B24" s="243"/>
      <c r="C24" s="244"/>
      <c r="D24" s="244"/>
      <c r="E24" s="244"/>
      <c r="F24" s="244"/>
      <c r="G24" s="244"/>
      <c r="H24" s="245"/>
      <c r="I24" s="243"/>
      <c r="J24" s="244"/>
      <c r="K24" s="244"/>
      <c r="L24" s="244"/>
      <c r="M24" s="244"/>
      <c r="N24" s="245"/>
      <c r="O24" s="243"/>
      <c r="P24" s="244"/>
      <c r="Q24" s="244"/>
      <c r="R24" s="247"/>
      <c r="S24" s="244"/>
      <c r="T24" s="248"/>
      <c r="U24" s="249"/>
      <c r="V24" s="246"/>
      <c r="W24" s="246"/>
      <c r="X24" s="246"/>
      <c r="Y24" s="250"/>
      <c r="Z24" s="250"/>
      <c r="AA24" s="251"/>
      <c r="AB24" s="252"/>
      <c r="AC24" s="253"/>
      <c r="AD24" s="253"/>
      <c r="AE24" s="252"/>
      <c r="AF24" s="252"/>
      <c r="AG24" s="252"/>
      <c r="AH24" s="253">
        <v>189.34223848978681</v>
      </c>
      <c r="AI24" s="253">
        <v>443.40492863655084</v>
      </c>
      <c r="AJ24" s="253">
        <v>2938.8322242736822</v>
      </c>
      <c r="AK24" s="253">
        <v>201.30514601071675</v>
      </c>
      <c r="AL24" s="253">
        <v>4796.8168551127128</v>
      </c>
      <c r="AM24" s="253">
        <v>1841.4968105316163</v>
      </c>
      <c r="AN24" s="253">
        <v>907.98395207722979</v>
      </c>
      <c r="AO24" s="253">
        <v>398.84934997558594</v>
      </c>
      <c r="AP24" s="253">
        <v>1216.5442160288494</v>
      </c>
      <c r="AQ24" s="253">
        <v>653.3847019195556</v>
      </c>
    </row>
    <row r="25" spans="1:43">
      <c r="A25" s="232">
        <f t="shared" si="0"/>
        <v>40620</v>
      </c>
      <c r="B25" s="243"/>
      <c r="C25" s="244"/>
      <c r="D25" s="244"/>
      <c r="E25" s="244"/>
      <c r="F25" s="244"/>
      <c r="G25" s="244"/>
      <c r="H25" s="245"/>
      <c r="I25" s="243"/>
      <c r="J25" s="244"/>
      <c r="K25" s="244"/>
      <c r="L25" s="244"/>
      <c r="M25" s="244"/>
      <c r="N25" s="245"/>
      <c r="O25" s="243"/>
      <c r="P25" s="244"/>
      <c r="Q25" s="244"/>
      <c r="R25" s="247"/>
      <c r="S25" s="244"/>
      <c r="T25" s="248"/>
      <c r="U25" s="249"/>
      <c r="V25" s="246"/>
      <c r="W25" s="246"/>
      <c r="X25" s="246"/>
      <c r="Y25" s="250"/>
      <c r="Z25" s="250"/>
      <c r="AA25" s="251"/>
      <c r="AB25" s="252"/>
      <c r="AC25" s="253"/>
      <c r="AD25" s="253"/>
      <c r="AE25" s="252"/>
      <c r="AF25" s="252"/>
      <c r="AG25" s="252"/>
      <c r="AH25" s="253">
        <v>197.64803782304131</v>
      </c>
      <c r="AI25" s="253">
        <v>449.21410603523253</v>
      </c>
      <c r="AJ25" s="253">
        <v>2978.3139470418296</v>
      </c>
      <c r="AK25" s="253">
        <v>226.64419575532278</v>
      </c>
      <c r="AL25" s="253">
        <v>4515.3727135976169</v>
      </c>
      <c r="AM25" s="253">
        <v>1888.5504348754887</v>
      </c>
      <c r="AN25" s="253">
        <v>921.5837238470715</v>
      </c>
      <c r="AO25" s="253">
        <v>398.84934997558594</v>
      </c>
      <c r="AP25" s="253">
        <v>1213.4144039154053</v>
      </c>
      <c r="AQ25" s="253">
        <v>627.60242211023967</v>
      </c>
    </row>
    <row r="26" spans="1:43">
      <c r="A26" s="232">
        <f t="shared" si="0"/>
        <v>40621</v>
      </c>
      <c r="B26" s="243"/>
      <c r="C26" s="244"/>
      <c r="D26" s="244"/>
      <c r="E26" s="244"/>
      <c r="F26" s="244"/>
      <c r="G26" s="244"/>
      <c r="H26" s="245"/>
      <c r="I26" s="243"/>
      <c r="J26" s="244"/>
      <c r="K26" s="244"/>
      <c r="L26" s="244"/>
      <c r="M26" s="244"/>
      <c r="N26" s="245"/>
      <c r="O26" s="243"/>
      <c r="P26" s="244"/>
      <c r="Q26" s="244"/>
      <c r="R26" s="247"/>
      <c r="S26" s="244"/>
      <c r="T26" s="248"/>
      <c r="U26" s="249"/>
      <c r="V26" s="246"/>
      <c r="W26" s="246"/>
      <c r="X26" s="246"/>
      <c r="Y26" s="250"/>
      <c r="Z26" s="250"/>
      <c r="AA26" s="251"/>
      <c r="AB26" s="252"/>
      <c r="AC26" s="253"/>
      <c r="AD26" s="253"/>
      <c r="AE26" s="252"/>
      <c r="AF26" s="252"/>
      <c r="AG26" s="252"/>
      <c r="AH26" s="253">
        <v>190.48260522683461</v>
      </c>
      <c r="AI26" s="253">
        <v>427.26740846633913</v>
      </c>
      <c r="AJ26" s="253">
        <v>2967.7839538574217</v>
      </c>
      <c r="AK26" s="253">
        <v>210.27160055637361</v>
      </c>
      <c r="AL26" s="253">
        <v>1445.4922115325928</v>
      </c>
      <c r="AM26" s="253">
        <v>1915.2318410237629</v>
      </c>
      <c r="AN26" s="253">
        <v>928.60901412963847</v>
      </c>
      <c r="AO26" s="253">
        <v>383.37902768452966</v>
      </c>
      <c r="AP26" s="253">
        <v>1238.7880577087403</v>
      </c>
      <c r="AQ26" s="253">
        <v>567.11647367477417</v>
      </c>
    </row>
    <row r="27" spans="1:43">
      <c r="A27" s="232">
        <f t="shared" si="0"/>
        <v>40622</v>
      </c>
      <c r="B27" s="243"/>
      <c r="C27" s="244"/>
      <c r="D27" s="244"/>
      <c r="E27" s="244"/>
      <c r="F27" s="244"/>
      <c r="G27" s="244"/>
      <c r="H27" s="245"/>
      <c r="I27" s="243"/>
      <c r="J27" s="244"/>
      <c r="K27" s="244"/>
      <c r="L27" s="244"/>
      <c r="M27" s="244"/>
      <c r="N27" s="245"/>
      <c r="O27" s="243"/>
      <c r="P27" s="244"/>
      <c r="Q27" s="244"/>
      <c r="R27" s="247"/>
      <c r="S27" s="244"/>
      <c r="T27" s="248"/>
      <c r="U27" s="249"/>
      <c r="V27" s="246"/>
      <c r="W27" s="246"/>
      <c r="X27" s="246"/>
      <c r="Y27" s="246"/>
      <c r="Z27" s="246"/>
      <c r="AA27" s="256"/>
      <c r="AB27" s="253"/>
      <c r="AC27" s="253"/>
      <c r="AD27" s="253"/>
      <c r="AE27" s="253"/>
      <c r="AF27" s="253"/>
      <c r="AG27" s="253"/>
      <c r="AH27" s="253">
        <v>181.12784936428071</v>
      </c>
      <c r="AI27" s="253">
        <v>409.9568199157714</v>
      </c>
      <c r="AJ27" s="253">
        <v>2939.4811008453362</v>
      </c>
      <c r="AK27" s="253">
        <v>195.53816123008727</v>
      </c>
      <c r="AL27" s="253">
        <v>1446.4430558522542</v>
      </c>
      <c r="AM27" s="253">
        <v>1880.0206516265869</v>
      </c>
      <c r="AN27" s="253">
        <v>959.16262982686351</v>
      </c>
      <c r="AO27" s="253">
        <v>352.18675231933594</v>
      </c>
      <c r="AP27" s="253">
        <v>1234.4537012736002</v>
      </c>
      <c r="AQ27" s="253">
        <v>565.810171063741</v>
      </c>
    </row>
    <row r="28" spans="1:43">
      <c r="A28" s="232">
        <f t="shared" si="0"/>
        <v>40623</v>
      </c>
      <c r="B28" s="243"/>
      <c r="C28" s="244"/>
      <c r="D28" s="244"/>
      <c r="E28" s="244"/>
      <c r="F28" s="244"/>
      <c r="G28" s="244"/>
      <c r="H28" s="245"/>
      <c r="I28" s="243"/>
      <c r="J28" s="244"/>
      <c r="K28" s="244"/>
      <c r="L28" s="244"/>
      <c r="M28" s="244"/>
      <c r="N28" s="245"/>
      <c r="O28" s="243"/>
      <c r="P28" s="244"/>
      <c r="Q28" s="244"/>
      <c r="R28" s="247"/>
      <c r="S28" s="244"/>
      <c r="T28" s="248"/>
      <c r="U28" s="249"/>
      <c r="V28" s="246"/>
      <c r="W28" s="246"/>
      <c r="X28" s="246"/>
      <c r="Y28" s="250"/>
      <c r="Z28" s="250"/>
      <c r="AA28" s="251"/>
      <c r="AB28" s="252"/>
      <c r="AC28" s="253"/>
      <c r="AD28" s="253"/>
      <c r="AE28" s="252"/>
      <c r="AF28" s="252"/>
      <c r="AG28" s="252"/>
      <c r="AH28" s="253">
        <v>177.86175886789954</v>
      </c>
      <c r="AI28" s="253">
        <v>380.08914732933039</v>
      </c>
      <c r="AJ28" s="253">
        <v>1755.1192661921184</v>
      </c>
      <c r="AK28" s="253">
        <v>190.93883736928302</v>
      </c>
      <c r="AL28" s="253">
        <v>1417.5504446665445</v>
      </c>
      <c r="AM28" s="253">
        <v>1893.2227078755695</v>
      </c>
      <c r="AN28" s="253">
        <v>902.350426165263</v>
      </c>
      <c r="AO28" s="253">
        <v>347.18301200866699</v>
      </c>
      <c r="AP28" s="253">
        <v>521.58926353454581</v>
      </c>
      <c r="AQ28" s="253">
        <v>683.48074404398619</v>
      </c>
    </row>
    <row r="29" spans="1:43">
      <c r="A29" s="232">
        <f t="shared" si="0"/>
        <v>40624</v>
      </c>
      <c r="B29" s="243"/>
      <c r="C29" s="244"/>
      <c r="D29" s="244"/>
      <c r="E29" s="244"/>
      <c r="F29" s="244"/>
      <c r="G29" s="244"/>
      <c r="H29" s="245"/>
      <c r="I29" s="243"/>
      <c r="J29" s="244"/>
      <c r="K29" s="244"/>
      <c r="L29" s="244"/>
      <c r="M29" s="244"/>
      <c r="N29" s="245"/>
      <c r="O29" s="243"/>
      <c r="P29" s="244"/>
      <c r="Q29" s="244"/>
      <c r="R29" s="247"/>
      <c r="S29" s="244"/>
      <c r="T29" s="248"/>
      <c r="U29" s="249"/>
      <c r="V29" s="246"/>
      <c r="W29" s="246"/>
      <c r="X29" s="246"/>
      <c r="Y29" s="250"/>
      <c r="Z29" s="250"/>
      <c r="AA29" s="251"/>
      <c r="AB29" s="252"/>
      <c r="AC29" s="253"/>
      <c r="AD29" s="253"/>
      <c r="AE29" s="252"/>
      <c r="AF29" s="252"/>
      <c r="AG29" s="252"/>
      <c r="AH29" s="253">
        <v>188.31321965853371</v>
      </c>
      <c r="AI29" s="253">
        <v>444.75739142100008</v>
      </c>
      <c r="AJ29" s="253">
        <v>1062.5796461741129</v>
      </c>
      <c r="AK29" s="253">
        <v>196.39244976043699</v>
      </c>
      <c r="AL29" s="253">
        <v>1487.7431087493896</v>
      </c>
      <c r="AM29" s="253">
        <v>1864.0775063832598</v>
      </c>
      <c r="AN29" s="253">
        <v>829.88165022532178</v>
      </c>
      <c r="AO29" s="253">
        <v>283.21717214584351</v>
      </c>
      <c r="AP29" s="253">
        <v>68.244755256175992</v>
      </c>
      <c r="AQ29" s="253">
        <v>624.68916238148995</v>
      </c>
    </row>
    <row r="30" spans="1:43">
      <c r="A30" s="232">
        <f t="shared" si="0"/>
        <v>40625</v>
      </c>
      <c r="B30" s="243"/>
      <c r="C30" s="244"/>
      <c r="D30" s="244"/>
      <c r="E30" s="244"/>
      <c r="F30" s="244"/>
      <c r="G30" s="244"/>
      <c r="H30" s="245"/>
      <c r="I30" s="243"/>
      <c r="J30" s="244"/>
      <c r="K30" s="244"/>
      <c r="L30" s="244"/>
      <c r="M30" s="244"/>
      <c r="N30" s="245"/>
      <c r="O30" s="243"/>
      <c r="P30" s="244"/>
      <c r="Q30" s="244"/>
      <c r="R30" s="247"/>
      <c r="S30" s="244"/>
      <c r="T30" s="248"/>
      <c r="U30" s="249"/>
      <c r="V30" s="246"/>
      <c r="W30" s="246"/>
      <c r="X30" s="246"/>
      <c r="Y30" s="250"/>
      <c r="Z30" s="250"/>
      <c r="AA30" s="251"/>
      <c r="AB30" s="252"/>
      <c r="AC30" s="253"/>
      <c r="AD30" s="253"/>
      <c r="AE30" s="252"/>
      <c r="AF30" s="252"/>
      <c r="AG30" s="252"/>
      <c r="AH30" s="253">
        <v>200.96229937076572</v>
      </c>
      <c r="AI30" s="253">
        <v>411.4781796932221</v>
      </c>
      <c r="AJ30" s="253">
        <v>1102.2068052927652</v>
      </c>
      <c r="AK30" s="253">
        <v>212.80681991577151</v>
      </c>
      <c r="AL30" s="253">
        <v>1484.872755940755</v>
      </c>
      <c r="AM30" s="253">
        <v>1866.320677439372</v>
      </c>
      <c r="AN30" s="253">
        <v>847.44946142832441</v>
      </c>
      <c r="AO30" s="253">
        <v>301.87315384546912</v>
      </c>
      <c r="AP30" s="253">
        <v>65.475114496548969</v>
      </c>
      <c r="AQ30" s="253">
        <v>644.06367680231733</v>
      </c>
    </row>
    <row r="31" spans="1:43">
      <c r="A31" s="232">
        <f t="shared" si="0"/>
        <v>40626</v>
      </c>
      <c r="B31" s="243"/>
      <c r="C31" s="244"/>
      <c r="D31" s="244"/>
      <c r="E31" s="244"/>
      <c r="F31" s="244"/>
      <c r="G31" s="244"/>
      <c r="H31" s="245"/>
      <c r="I31" s="243"/>
      <c r="J31" s="244"/>
      <c r="K31" s="244"/>
      <c r="L31" s="244"/>
      <c r="M31" s="244"/>
      <c r="N31" s="245"/>
      <c r="O31" s="243"/>
      <c r="P31" s="244"/>
      <c r="Q31" s="244"/>
      <c r="R31" s="247"/>
      <c r="S31" s="244"/>
      <c r="T31" s="248"/>
      <c r="U31" s="249"/>
      <c r="V31" s="246"/>
      <c r="W31" s="246"/>
      <c r="X31" s="246"/>
      <c r="Y31" s="250"/>
      <c r="Z31" s="250"/>
      <c r="AA31" s="251"/>
      <c r="AB31" s="252"/>
      <c r="AC31" s="253"/>
      <c r="AD31" s="253"/>
      <c r="AE31" s="252"/>
      <c r="AF31" s="252"/>
      <c r="AG31" s="252"/>
      <c r="AH31" s="253">
        <v>209.02898300488792</v>
      </c>
      <c r="AI31" s="253">
        <v>436.5901697794597</v>
      </c>
      <c r="AJ31" s="253">
        <v>1128.4666160583499</v>
      </c>
      <c r="AK31" s="253">
        <v>230.73016149202985</v>
      </c>
      <c r="AL31" s="253">
        <v>1517.3314656575524</v>
      </c>
      <c r="AM31" s="253">
        <v>1848.9050743738808</v>
      </c>
      <c r="AN31" s="253">
        <v>887.48780771891268</v>
      </c>
      <c r="AO31" s="253">
        <v>318.66574999491371</v>
      </c>
      <c r="AP31" s="253">
        <v>81.231549278895059</v>
      </c>
      <c r="AQ31" s="253">
        <v>650.96541051864631</v>
      </c>
    </row>
    <row r="32" spans="1:43">
      <c r="A32" s="232">
        <f t="shared" si="0"/>
        <v>40627</v>
      </c>
      <c r="B32" s="243"/>
      <c r="C32" s="244"/>
      <c r="D32" s="244"/>
      <c r="E32" s="244"/>
      <c r="F32" s="244"/>
      <c r="G32" s="244"/>
      <c r="H32" s="245"/>
      <c r="I32" s="243"/>
      <c r="J32" s="244"/>
      <c r="K32" s="244"/>
      <c r="L32" s="244"/>
      <c r="M32" s="244"/>
      <c r="N32" s="245"/>
      <c r="O32" s="243"/>
      <c r="P32" s="244"/>
      <c r="Q32" s="244"/>
      <c r="R32" s="247"/>
      <c r="S32" s="244"/>
      <c r="T32" s="248"/>
      <c r="U32" s="249"/>
      <c r="V32" s="246"/>
      <c r="W32" s="246"/>
      <c r="X32" s="246"/>
      <c r="Y32" s="250"/>
      <c r="Z32" s="250"/>
      <c r="AA32" s="251"/>
      <c r="AB32" s="252"/>
      <c r="AC32" s="253"/>
      <c r="AD32" s="253"/>
      <c r="AE32" s="252"/>
      <c r="AF32" s="252"/>
      <c r="AG32" s="252"/>
      <c r="AH32" s="253">
        <v>203.45613845984147</v>
      </c>
      <c r="AI32" s="253">
        <v>417.91842613220223</v>
      </c>
      <c r="AJ32" s="253">
        <v>1136.9847888310751</v>
      </c>
      <c r="AK32" s="253">
        <v>224.65106348196662</v>
      </c>
      <c r="AL32" s="253">
        <v>1470.4957029978434</v>
      </c>
      <c r="AM32" s="253">
        <v>1835.394652048747</v>
      </c>
      <c r="AN32" s="253">
        <v>894.05132414499917</v>
      </c>
      <c r="AO32" s="253">
        <v>354.04483795166016</v>
      </c>
      <c r="AP32" s="253">
        <v>75.590715126196542</v>
      </c>
      <c r="AQ32" s="253">
        <v>640.1655347188314</v>
      </c>
    </row>
    <row r="33" spans="1:43">
      <c r="A33" s="232">
        <f t="shared" si="0"/>
        <v>40628</v>
      </c>
      <c r="B33" s="243"/>
      <c r="C33" s="244"/>
      <c r="D33" s="244"/>
      <c r="E33" s="244"/>
      <c r="F33" s="244"/>
      <c r="G33" s="244"/>
      <c r="H33" s="245"/>
      <c r="I33" s="243"/>
      <c r="J33" s="244"/>
      <c r="K33" s="244"/>
      <c r="L33" s="244"/>
      <c r="M33" s="244"/>
      <c r="N33" s="245"/>
      <c r="O33" s="243"/>
      <c r="P33" s="244"/>
      <c r="Q33" s="244"/>
      <c r="R33" s="247"/>
      <c r="S33" s="244"/>
      <c r="T33" s="248"/>
      <c r="U33" s="249"/>
      <c r="V33" s="246"/>
      <c r="W33" s="246"/>
      <c r="X33" s="246"/>
      <c r="Y33" s="250"/>
      <c r="Z33" s="250"/>
      <c r="AA33" s="251"/>
      <c r="AB33" s="252"/>
      <c r="AC33" s="253"/>
      <c r="AD33" s="253"/>
      <c r="AE33" s="252"/>
      <c r="AF33" s="252"/>
      <c r="AG33" s="252"/>
      <c r="AH33" s="253">
        <v>203.15158655643464</v>
      </c>
      <c r="AI33" s="253">
        <v>414.32706983884174</v>
      </c>
      <c r="AJ33" s="253">
        <v>1153.3116095860798</v>
      </c>
      <c r="AK33" s="253">
        <v>221.53940179347995</v>
      </c>
      <c r="AL33" s="253">
        <v>1501.2281647364298</v>
      </c>
      <c r="AM33" s="253">
        <v>1841.2617219289145</v>
      </c>
      <c r="AN33" s="253">
        <v>898.77360614140855</v>
      </c>
      <c r="AO33" s="253">
        <v>354.04483795166016</v>
      </c>
      <c r="AP33" s="253">
        <v>77.18576253056527</v>
      </c>
      <c r="AQ33" s="253">
        <v>574.24340546925862</v>
      </c>
    </row>
    <row r="34" spans="1:43">
      <c r="A34" s="232">
        <f t="shared" si="0"/>
        <v>40629</v>
      </c>
      <c r="B34" s="243"/>
      <c r="C34" s="244"/>
      <c r="D34" s="244"/>
      <c r="E34" s="244"/>
      <c r="F34" s="244"/>
      <c r="G34" s="244"/>
      <c r="H34" s="245"/>
      <c r="I34" s="243"/>
      <c r="J34" s="244"/>
      <c r="K34" s="244"/>
      <c r="L34" s="244"/>
      <c r="M34" s="244"/>
      <c r="N34" s="245"/>
      <c r="O34" s="243"/>
      <c r="P34" s="244"/>
      <c r="Q34" s="244"/>
      <c r="R34" s="247"/>
      <c r="S34" s="244"/>
      <c r="T34" s="248"/>
      <c r="U34" s="249"/>
      <c r="V34" s="246"/>
      <c r="W34" s="246"/>
      <c r="X34" s="246"/>
      <c r="Y34" s="250"/>
      <c r="Z34" s="250"/>
      <c r="AA34" s="251"/>
      <c r="AB34" s="252"/>
      <c r="AC34" s="253"/>
      <c r="AD34" s="253"/>
      <c r="AE34" s="252"/>
      <c r="AF34" s="252"/>
      <c r="AG34" s="252"/>
      <c r="AH34" s="253">
        <v>200.10995930830637</v>
      </c>
      <c r="AI34" s="253">
        <v>414.09836920102435</v>
      </c>
      <c r="AJ34" s="253">
        <v>1151.4358783086141</v>
      </c>
      <c r="AK34" s="253">
        <v>219.59632327556608</v>
      </c>
      <c r="AL34" s="253">
        <v>1478.9773101170856</v>
      </c>
      <c r="AM34" s="253">
        <v>1805.1748859405523</v>
      </c>
      <c r="AN34" s="253">
        <v>882.57819862365739</v>
      </c>
      <c r="AO34" s="253">
        <v>306.24313545227051</v>
      </c>
      <c r="AP34" s="253">
        <v>72.292235354582459</v>
      </c>
      <c r="AQ34" s="253">
        <v>553.72792946497589</v>
      </c>
    </row>
    <row r="35" spans="1:43">
      <c r="A35" s="232">
        <f t="shared" si="0"/>
        <v>40630</v>
      </c>
      <c r="B35" s="243"/>
      <c r="C35" s="244"/>
      <c r="D35" s="244"/>
      <c r="E35" s="244"/>
      <c r="F35" s="244"/>
      <c r="G35" s="244"/>
      <c r="H35" s="245"/>
      <c r="I35" s="243"/>
      <c r="J35" s="244"/>
      <c r="K35" s="244"/>
      <c r="L35" s="244"/>
      <c r="M35" s="244"/>
      <c r="N35" s="245"/>
      <c r="O35" s="243"/>
      <c r="P35" s="244"/>
      <c r="Q35" s="244"/>
      <c r="R35" s="247"/>
      <c r="S35" s="244"/>
      <c r="T35" s="248"/>
      <c r="U35" s="249"/>
      <c r="V35" s="246"/>
      <c r="W35" s="246"/>
      <c r="X35" s="246"/>
      <c r="Y35" s="250"/>
      <c r="Z35" s="250"/>
      <c r="AA35" s="251"/>
      <c r="AB35" s="252"/>
      <c r="AC35" s="253"/>
      <c r="AD35" s="253"/>
      <c r="AE35" s="252"/>
      <c r="AF35" s="252"/>
      <c r="AG35" s="252"/>
      <c r="AH35" s="253">
        <v>202.75550311406454</v>
      </c>
      <c r="AI35" s="253">
        <v>409.55571044286097</v>
      </c>
      <c r="AJ35" s="253">
        <v>1144.1188824971516</v>
      </c>
      <c r="AK35" s="253">
        <v>220.82701697349552</v>
      </c>
      <c r="AL35" s="253">
        <v>1482.2660322189329</v>
      </c>
      <c r="AM35" s="253">
        <v>1886.5876019795737</v>
      </c>
      <c r="AN35" s="253">
        <v>731.35800614356992</v>
      </c>
      <c r="AO35" s="253">
        <v>251.76903297106426</v>
      </c>
      <c r="AP35" s="253">
        <v>78.656365233659741</v>
      </c>
      <c r="AQ35" s="253">
        <v>582.90919612248751</v>
      </c>
    </row>
    <row r="36" spans="1:43">
      <c r="A36" s="232">
        <f t="shared" si="0"/>
        <v>40631</v>
      </c>
      <c r="B36" s="243"/>
      <c r="C36" s="244"/>
      <c r="D36" s="244"/>
      <c r="E36" s="244"/>
      <c r="F36" s="244"/>
      <c r="G36" s="244"/>
      <c r="H36" s="245"/>
      <c r="I36" s="243"/>
      <c r="J36" s="244"/>
      <c r="K36" s="244"/>
      <c r="L36" s="244"/>
      <c r="M36" s="244"/>
      <c r="N36" s="245"/>
      <c r="O36" s="243"/>
      <c r="P36" s="244"/>
      <c r="Q36" s="244"/>
      <c r="R36" s="247"/>
      <c r="S36" s="244"/>
      <c r="T36" s="248"/>
      <c r="U36" s="249"/>
      <c r="V36" s="246"/>
      <c r="W36" s="246"/>
      <c r="X36" s="246"/>
      <c r="Y36" s="250"/>
      <c r="Z36" s="250"/>
      <c r="AA36" s="251"/>
      <c r="AB36" s="252"/>
      <c r="AC36" s="253"/>
      <c r="AD36" s="253"/>
      <c r="AE36" s="252"/>
      <c r="AF36" s="252"/>
      <c r="AG36" s="252"/>
      <c r="AH36" s="253">
        <v>180.87643417119978</v>
      </c>
      <c r="AI36" s="253">
        <v>417.30747742652898</v>
      </c>
      <c r="AJ36" s="253">
        <v>1005.2434672991435</v>
      </c>
      <c r="AK36" s="253">
        <v>223.00950303872432</v>
      </c>
      <c r="AL36" s="253">
        <v>1511.3267196019492</v>
      </c>
      <c r="AM36" s="253">
        <v>1803.7378490448</v>
      </c>
      <c r="AN36" s="253">
        <v>455.27802160580956</v>
      </c>
      <c r="AO36" s="253">
        <v>196.61553955078125</v>
      </c>
      <c r="AP36" s="253">
        <v>82.213306341568625</v>
      </c>
      <c r="AQ36" s="253">
        <v>624.6074238777162</v>
      </c>
    </row>
    <row r="37" spans="1:43">
      <c r="A37" s="232">
        <f t="shared" si="0"/>
        <v>40632</v>
      </c>
      <c r="B37" s="243"/>
      <c r="C37" s="244"/>
      <c r="D37" s="244"/>
      <c r="E37" s="244"/>
      <c r="F37" s="244"/>
      <c r="G37" s="244"/>
      <c r="H37" s="245"/>
      <c r="I37" s="243"/>
      <c r="J37" s="244"/>
      <c r="K37" s="244"/>
      <c r="L37" s="244"/>
      <c r="M37" s="244"/>
      <c r="N37" s="245"/>
      <c r="O37" s="243"/>
      <c r="P37" s="244"/>
      <c r="Q37" s="244"/>
      <c r="R37" s="247"/>
      <c r="S37" s="244"/>
      <c r="T37" s="248"/>
      <c r="U37" s="249"/>
      <c r="V37" s="246"/>
      <c r="W37" s="246"/>
      <c r="X37" s="246"/>
      <c r="Y37" s="250"/>
      <c r="Z37" s="250"/>
      <c r="AA37" s="251"/>
      <c r="AB37" s="252"/>
      <c r="AC37" s="253"/>
      <c r="AD37" s="253"/>
      <c r="AE37" s="252"/>
      <c r="AF37" s="252"/>
      <c r="AG37" s="252"/>
      <c r="AH37" s="253">
        <v>191.18391997019449</v>
      </c>
      <c r="AI37" s="253">
        <v>435.74374019304901</v>
      </c>
      <c r="AJ37" s="253">
        <v>974.21806074778237</v>
      </c>
      <c r="AK37" s="253">
        <v>218.98418506781255</v>
      </c>
      <c r="AL37" s="253">
        <v>1511.945080502828</v>
      </c>
      <c r="AM37" s="253">
        <v>1780.2912172953286</v>
      </c>
      <c r="AN37" s="253">
        <v>445.25912992159527</v>
      </c>
      <c r="AO37" s="253">
        <v>360.04807364145915</v>
      </c>
      <c r="AP37" s="253">
        <v>79.079029480616256</v>
      </c>
      <c r="AQ37" s="253">
        <v>640.22503722508748</v>
      </c>
    </row>
    <row r="38" spans="1:43" ht="15.75" thickBot="1">
      <c r="A38" s="232">
        <f t="shared" si="0"/>
        <v>40633</v>
      </c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>
        <v>177.67888410091399</v>
      </c>
      <c r="AI38" s="268">
        <v>408.0394452412923</v>
      </c>
      <c r="AJ38" s="268">
        <v>960.4145725886026</v>
      </c>
      <c r="AK38" s="268">
        <v>198.56653307278953</v>
      </c>
      <c r="AL38" s="268">
        <v>1444.8895048141478</v>
      </c>
      <c r="AM38" s="268">
        <v>1700.6240204493208</v>
      </c>
      <c r="AN38" s="268">
        <v>437.98067264556886</v>
      </c>
      <c r="AO38" s="268">
        <v>347.62384673754377</v>
      </c>
      <c r="AP38" s="268">
        <v>89.786903846263883</v>
      </c>
      <c r="AQ38" s="268">
        <v>703.26771974563587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0</v>
      </c>
      <c r="D39" s="272">
        <f t="shared" si="1"/>
        <v>0</v>
      </c>
      <c r="E39" s="272">
        <f t="shared" si="1"/>
        <v>0</v>
      </c>
      <c r="F39" s="272">
        <f t="shared" si="1"/>
        <v>0</v>
      </c>
      <c r="G39" s="272">
        <f t="shared" si="1"/>
        <v>0</v>
      </c>
      <c r="H39" s="273">
        <f t="shared" si="1"/>
        <v>0</v>
      </c>
      <c r="I39" s="271">
        <f t="shared" si="1"/>
        <v>0</v>
      </c>
      <c r="J39" s="272">
        <f t="shared" si="1"/>
        <v>0</v>
      </c>
      <c r="K39" s="272">
        <f t="shared" si="1"/>
        <v>0</v>
      </c>
      <c r="L39" s="272">
        <f t="shared" si="1"/>
        <v>0</v>
      </c>
      <c r="M39" s="272">
        <f t="shared" si="1"/>
        <v>0</v>
      </c>
      <c r="N39" s="273">
        <f t="shared" si="1"/>
        <v>0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0</v>
      </c>
      <c r="V39" s="275">
        <f t="shared" si="1"/>
        <v>0</v>
      </c>
      <c r="W39" s="275">
        <f t="shared" si="1"/>
        <v>0</v>
      </c>
      <c r="X39" s="275">
        <f t="shared" si="1"/>
        <v>0</v>
      </c>
      <c r="Y39" s="275">
        <f t="shared" si="1"/>
        <v>0</v>
      </c>
      <c r="Z39" s="275">
        <f t="shared" si="1"/>
        <v>0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6208.7260728001593</v>
      </c>
      <c r="AI39" s="278">
        <f t="shared" si="2"/>
        <v>13573.677491617205</v>
      </c>
      <c r="AJ39" s="278">
        <f t="shared" si="2"/>
        <v>44702.035463809974</v>
      </c>
      <c r="AK39" s="278">
        <f t="shared" si="2"/>
        <v>6936.2027813315381</v>
      </c>
      <c r="AL39" s="278">
        <f t="shared" si="2"/>
        <v>80619.838767878187</v>
      </c>
      <c r="AM39" s="278">
        <f t="shared" si="2"/>
        <v>58152.082546106976</v>
      </c>
      <c r="AN39" s="278">
        <f t="shared" si="2"/>
        <v>25694.675030167899</v>
      </c>
      <c r="AO39" s="278">
        <f t="shared" si="2"/>
        <v>10562.824890708924</v>
      </c>
      <c r="AP39" s="278">
        <f t="shared" si="2"/>
        <v>17843.758076369759</v>
      </c>
      <c r="AQ39" s="278">
        <f t="shared" si="2"/>
        <v>19703.507808526356</v>
      </c>
    </row>
    <row r="40" spans="1:43" ht="15.75" thickBot="1">
      <c r="A40" s="280" t="s">
        <v>182</v>
      </c>
      <c r="B40" s="281">
        <f>Projection!$AA$30</f>
        <v>0.91139353199999984</v>
      </c>
      <c r="C40" s="282">
        <f>Projection!$AA$28</f>
        <v>1.3599037199999999</v>
      </c>
      <c r="D40" s="282">
        <f>Projection!$AA$31</f>
        <v>2.0549759999999999</v>
      </c>
      <c r="E40" s="282">
        <f>Projection!$AA$26</f>
        <v>3.1224959999999999</v>
      </c>
      <c r="F40" s="282">
        <f>Projection!$AA$23</f>
        <v>5.8379999999999994E-2</v>
      </c>
      <c r="G40" s="282">
        <f>Projection!$AA$24</f>
        <v>4.9500000000000002E-2</v>
      </c>
      <c r="H40" s="283">
        <f>Projection!$AA$29</f>
        <v>3.6371774160000006</v>
      </c>
      <c r="I40" s="281">
        <f>Projection!$AA$30</f>
        <v>0.91139353199999984</v>
      </c>
      <c r="J40" s="282">
        <f>Projection!$AA$28</f>
        <v>1.3599037199999999</v>
      </c>
      <c r="K40" s="282">
        <f>Projection!$AA$26</f>
        <v>3.1224959999999999</v>
      </c>
      <c r="L40" s="282">
        <f>Projection!$AA$25</f>
        <v>0.37613399999999997</v>
      </c>
      <c r="M40" s="282">
        <f>Projection!$AA$23</f>
        <v>5.8379999999999994E-2</v>
      </c>
      <c r="N40" s="283">
        <f>Projection!$AA$23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285">
        <f>Projection!$AA$28</f>
        <v>1.3599037199999999</v>
      </c>
      <c r="T40" s="286">
        <f>Projection!$AA$28</f>
        <v>1.3599037199999999</v>
      </c>
      <c r="U40" s="284">
        <f>Projection!$AA$27</f>
        <v>0.29249999999999998</v>
      </c>
      <c r="V40" s="285">
        <f>Projection!$AA$27</f>
        <v>0.29249999999999998</v>
      </c>
      <c r="W40" s="285">
        <f>Projection!$AA$22</f>
        <v>1.02</v>
      </c>
      <c r="X40" s="285">
        <f>Projection!$AA$22</f>
        <v>1.02</v>
      </c>
      <c r="Y40" s="285">
        <f>Projection!$AA$31</f>
        <v>2.0549759999999999</v>
      </c>
      <c r="Z40" s="285">
        <f>Projection!$AA$31</f>
        <v>2.0549759999999999</v>
      </c>
      <c r="AA40" s="287">
        <v>0</v>
      </c>
      <c r="AB40" s="288">
        <f>Projection!$AA$27</f>
        <v>0.29249999999999998</v>
      </c>
      <c r="AC40" s="288">
        <f>Projection!$AA$30</f>
        <v>0.91139353199999984</v>
      </c>
      <c r="AD40" s="289">
        <f>SUM(AD8:AD38)</f>
        <v>0</v>
      </c>
      <c r="AE40" s="289">
        <f>SUM(AE8:AE38)</f>
        <v>0</v>
      </c>
      <c r="AF40" s="289">
        <f>SUM(AF8:AF38)</f>
        <v>0</v>
      </c>
      <c r="AG40" s="289">
        <v>0.5</v>
      </c>
      <c r="AH40" s="290">
        <v>0.108</v>
      </c>
      <c r="AI40" s="290">
        <f t="shared" ref="AI40:AQ40" si="3">$AH$40</f>
        <v>0.108</v>
      </c>
      <c r="AJ40" s="290">
        <f t="shared" si="3"/>
        <v>0.108</v>
      </c>
      <c r="AK40" s="290">
        <f t="shared" si="3"/>
        <v>0.108</v>
      </c>
      <c r="AL40" s="290">
        <f t="shared" si="3"/>
        <v>0.108</v>
      </c>
      <c r="AM40" s="290">
        <f t="shared" si="3"/>
        <v>0.108</v>
      </c>
      <c r="AN40" s="290">
        <f t="shared" si="3"/>
        <v>0.108</v>
      </c>
      <c r="AO40" s="290">
        <f t="shared" si="3"/>
        <v>0.108</v>
      </c>
      <c r="AP40" s="290">
        <f t="shared" si="3"/>
        <v>0.108</v>
      </c>
      <c r="AQ40" s="290">
        <f t="shared" si="3"/>
        <v>0.108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0</v>
      </c>
      <c r="D41" s="293">
        <f t="shared" si="4"/>
        <v>0</v>
      </c>
      <c r="E41" s="293">
        <f t="shared" si="4"/>
        <v>0</v>
      </c>
      <c r="F41" s="293">
        <f t="shared" si="4"/>
        <v>0</v>
      </c>
      <c r="G41" s="293">
        <f t="shared" si="4"/>
        <v>0</v>
      </c>
      <c r="H41" s="294">
        <f t="shared" si="4"/>
        <v>0</v>
      </c>
      <c r="I41" s="292">
        <f t="shared" si="4"/>
        <v>0</v>
      </c>
      <c r="J41" s="293">
        <f t="shared" si="4"/>
        <v>0</v>
      </c>
      <c r="K41" s="293">
        <f t="shared" si="4"/>
        <v>0</v>
      </c>
      <c r="L41" s="293">
        <f t="shared" si="4"/>
        <v>0</v>
      </c>
      <c r="M41" s="293">
        <f t="shared" si="4"/>
        <v>0</v>
      </c>
      <c r="N41" s="294">
        <f t="shared" si="4"/>
        <v>0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0</v>
      </c>
      <c r="V41" s="296">
        <f t="shared" si="4"/>
        <v>0</v>
      </c>
      <c r="W41" s="296">
        <f t="shared" si="4"/>
        <v>0</v>
      </c>
      <c r="X41" s="296">
        <f t="shared" si="4"/>
        <v>0</v>
      </c>
      <c r="Y41" s="296">
        <f t="shared" si="4"/>
        <v>0</v>
      </c>
      <c r="Z41" s="296">
        <f t="shared" si="4"/>
        <v>0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670.54241586241722</v>
      </c>
      <c r="AI41" s="300">
        <f t="shared" si="5"/>
        <v>1465.9571690946582</v>
      </c>
      <c r="AJ41" s="300">
        <f t="shared" si="5"/>
        <v>4827.8198300914773</v>
      </c>
      <c r="AK41" s="300">
        <f t="shared" si="5"/>
        <v>749.10990038380612</v>
      </c>
      <c r="AL41" s="300">
        <f t="shared" si="5"/>
        <v>8706.9425869308434</v>
      </c>
      <c r="AM41" s="300">
        <f t="shared" si="5"/>
        <v>6280.4249149795533</v>
      </c>
      <c r="AN41" s="300">
        <f t="shared" si="5"/>
        <v>2775.0249032581328</v>
      </c>
      <c r="AO41" s="300">
        <f t="shared" si="5"/>
        <v>1140.7850881965637</v>
      </c>
      <c r="AP41" s="300">
        <f t="shared" si="5"/>
        <v>1927.125872247934</v>
      </c>
      <c r="AQ41" s="300">
        <f t="shared" si="5"/>
        <v>2127.9788433208464</v>
      </c>
    </row>
    <row r="42" spans="1:43" ht="49.5" customHeight="1" thickTop="1" thickBot="1">
      <c r="A42" s="544" t="s">
        <v>53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1577.31</v>
      </c>
      <c r="AI42" s="300" t="s">
        <v>207</v>
      </c>
      <c r="AJ42" s="300">
        <v>1351.67</v>
      </c>
      <c r="AK42" s="300">
        <v>908.51</v>
      </c>
      <c r="AL42" s="300">
        <v>2532.33</v>
      </c>
      <c r="AM42" s="300">
        <v>5496.23</v>
      </c>
      <c r="AN42" s="300">
        <v>4360.33</v>
      </c>
      <c r="AO42" s="300" t="s">
        <v>207</v>
      </c>
      <c r="AP42" s="300">
        <v>234.53</v>
      </c>
      <c r="AQ42" s="300">
        <v>610.78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0</v>
      </c>
      <c r="C44" s="309"/>
      <c r="D44" s="307" t="s">
        <v>143</v>
      </c>
      <c r="E44" s="308">
        <f>SUM(B41:H41)+P41+R41+T41+V41+X41+Z41</f>
        <v>0</v>
      </c>
      <c r="F44" s="309"/>
      <c r="G44" s="307" t="s">
        <v>143</v>
      </c>
      <c r="H44" s="308">
        <f>SUM(I41:N41)+O41+Q41+S41+U41+W41+Y41</f>
        <v>0</v>
      </c>
      <c r="I44" s="309"/>
      <c r="J44" s="307" t="s">
        <v>208</v>
      </c>
      <c r="K44" s="308">
        <v>101331.91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30671.71152436623</v>
      </c>
      <c r="C45" s="309"/>
      <c r="D45" s="314" t="s">
        <v>193</v>
      </c>
      <c r="E45" s="315">
        <f>AH41*(1-$AG$40)+AI41+AJ41*0.5+AL41+AM41*(1-$AG$40)+AN41*(1-$AG$40)+AO41*(1-$AG$40)+AP41*0.5+AQ41*0.5</f>
        <v>20047.750690003963</v>
      </c>
      <c r="F45" s="316"/>
      <c r="G45" s="314" t="s">
        <v>193</v>
      </c>
      <c r="H45" s="315">
        <f>AH41*AG40+AJ41*0.5+AK41+AM41*AG40+AN41*AG40+AO41*AG40+AP41*0.5+AQ41*0.5</f>
        <v>10623.960834362266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0</v>
      </c>
      <c r="U45" s="321">
        <f>(T45*8.34*0.895)/27000</f>
        <v>0</v>
      </c>
    </row>
    <row r="46" spans="1:43" ht="32.25" thickBot="1">
      <c r="A46" s="322" t="s">
        <v>194</v>
      </c>
      <c r="B46" s="323">
        <f>SUM(AH42:AQ42)</f>
        <v>17071.689999999999</v>
      </c>
      <c r="C46" s="309"/>
      <c r="D46" s="322" t="s">
        <v>194</v>
      </c>
      <c r="E46" s="323">
        <f>AH42*(1-$AG$40)+AJ42*0.5+AL42+AM42*(1-$AG$40)+AN42*(1-$AG$40)+AP42*0.5+AQ42*0.5</f>
        <v>9347.7549999999974</v>
      </c>
      <c r="F46" s="324"/>
      <c r="G46" s="322" t="s">
        <v>194</v>
      </c>
      <c r="H46" s="323">
        <f>AH42*AG40+AJ42*0.5+AK42+AM42*AG40+AN42*AG40+AP42*0.5+AQ42*0.5</f>
        <v>7723.9350000000004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0</v>
      </c>
      <c r="U46" s="325">
        <f>(((T46*8.34)*0.005)/(8.34*1.055))/400</f>
        <v>0</v>
      </c>
    </row>
    <row r="47" spans="1:43" ht="24.75" thickTop="1" thickBot="1">
      <c r="A47" s="322" t="s">
        <v>195</v>
      </c>
      <c r="B47" s="323">
        <f>K44</f>
        <v>101331.91</v>
      </c>
      <c r="C47" s="309"/>
      <c r="D47" s="322" t="s">
        <v>197</v>
      </c>
      <c r="E47" s="323">
        <f>K44*0.5</f>
        <v>50665.955000000002</v>
      </c>
      <c r="F47" s="316"/>
      <c r="G47" s="322" t="s">
        <v>195</v>
      </c>
      <c r="H47" s="323">
        <f>K44*0.5</f>
        <v>50665.955000000002</v>
      </c>
      <c r="I47" s="309"/>
      <c r="J47" s="307" t="s">
        <v>208</v>
      </c>
      <c r="K47" s="308">
        <v>39528.070000000022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0</v>
      </c>
      <c r="U47" s="321">
        <f>T47/40000</f>
        <v>0</v>
      </c>
    </row>
    <row r="48" spans="1:43" ht="24" thickBot="1">
      <c r="A48" s="322" t="s">
        <v>196</v>
      </c>
      <c r="B48" s="323">
        <f>K47</f>
        <v>39528.070000000022</v>
      </c>
      <c r="C48" s="309"/>
      <c r="D48" s="322" t="s">
        <v>196</v>
      </c>
      <c r="E48" s="323">
        <f>K47*0.5</f>
        <v>19764.035000000011</v>
      </c>
      <c r="F48" s="324"/>
      <c r="G48" s="322" t="s">
        <v>196</v>
      </c>
      <c r="H48" s="323">
        <f>K47*0.5</f>
        <v>19764.035000000011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0</v>
      </c>
      <c r="C49" s="309"/>
      <c r="D49" s="327" t="s">
        <v>205</v>
      </c>
      <c r="E49" s="328">
        <f>AF40</f>
        <v>0</v>
      </c>
      <c r="F49" s="324"/>
      <c r="G49" s="327" t="s">
        <v>206</v>
      </c>
      <c r="H49" s="328">
        <f>AE40</f>
        <v>0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0</v>
      </c>
      <c r="U49" s="321">
        <f>(T49*8.34*1.04)/45000</f>
        <v>0</v>
      </c>
    </row>
    <row r="50" spans="1:25" ht="48" thickTop="1" thickBot="1">
      <c r="A50" s="327" t="s">
        <v>200</v>
      </c>
      <c r="B50" s="329" t="e">
        <f>(SUM(B44:B48)/AD40)</f>
        <v>#DIV/0!</v>
      </c>
      <c r="C50" s="309"/>
      <c r="D50" s="327" t="s">
        <v>198</v>
      </c>
      <c r="E50" s="329" t="e">
        <f>SUM(E44:E48)/AF40</f>
        <v>#DIV/0!</v>
      </c>
      <c r="F50" s="324"/>
      <c r="G50" s="327" t="s">
        <v>199</v>
      </c>
      <c r="H50" s="329" t="e">
        <f>SUM(H44:H48)/AE40</f>
        <v>#DIV/0!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0</v>
      </c>
      <c r="U50" s="321">
        <f>T50/2000/8</f>
        <v>0</v>
      </c>
    </row>
    <row r="51" spans="1:25" ht="47.25" customHeight="1" thickTop="1" thickBot="1">
      <c r="A51" s="330" t="s">
        <v>201</v>
      </c>
      <c r="B51" s="331" t="e">
        <f>B50/1000</f>
        <v>#DIV/0!</v>
      </c>
      <c r="C51" s="309"/>
      <c r="D51" s="330" t="s">
        <v>202</v>
      </c>
      <c r="E51" s="331" t="e">
        <f>E50/1000</f>
        <v>#DIV/0!</v>
      </c>
      <c r="F51" s="309"/>
      <c r="G51" s="330" t="s">
        <v>203</v>
      </c>
      <c r="H51" s="331" t="e">
        <f>H50/1000</f>
        <v>#DIV/0!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0</v>
      </c>
      <c r="U51" s="321">
        <f>(T51*8.34*1.4)/45000</f>
        <v>0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0</v>
      </c>
      <c r="U52" s="321">
        <f>(T52*8.34*1.135)/45000</f>
        <v>0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0</v>
      </c>
      <c r="U53" s="321">
        <f>(T53*8.34*1.029*0.03)/3300</f>
        <v>0</v>
      </c>
    </row>
    <row r="54" spans="1:25" ht="45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0</v>
      </c>
      <c r="U54" s="350">
        <f>(T54*1.54*8.34)/45000</f>
        <v>0</v>
      </c>
    </row>
    <row r="55" spans="1:25" ht="24" thickTop="1">
      <c r="A55" s="571"/>
      <c r="B55" s="571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 ht="15.75" customHeight="1">
      <c r="A56" s="573"/>
      <c r="B56" s="573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  <row r="63" spans="1:25">
      <c r="A63" s="309"/>
      <c r="B63" s="309"/>
      <c r="C63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zoomScaleNormal="100" workbookViewId="0">
      <selection activeCell="A3" sqref="A3"/>
    </sheetView>
  </sheetViews>
  <sheetFormatPr defaultRowHeight="15"/>
  <cols>
    <col min="1" max="1" width="35" style="208" bestFit="1" customWidth="1"/>
    <col min="2" max="2" width="19.140625" style="208" bestFit="1" customWidth="1"/>
    <col min="3" max="3" width="27.5703125" style="208" bestFit="1" customWidth="1"/>
    <col min="4" max="4" width="29.5703125" style="208" customWidth="1"/>
    <col min="5" max="5" width="22.140625" style="208" bestFit="1" customWidth="1"/>
    <col min="6" max="6" width="14.85546875" style="208" bestFit="1" customWidth="1"/>
    <col min="7" max="7" width="35.5703125" style="208" customWidth="1"/>
    <col min="8" max="8" width="17.42578125" style="208" bestFit="1" customWidth="1"/>
    <col min="9" max="9" width="14.85546875" style="208" bestFit="1" customWidth="1"/>
    <col min="10" max="10" width="16.28515625" style="208" bestFit="1" customWidth="1"/>
    <col min="11" max="11" width="19.140625" style="208" bestFit="1" customWidth="1"/>
    <col min="12" max="12" width="16.85546875" style="208" bestFit="1" customWidth="1"/>
    <col min="13" max="13" width="15.85546875" style="208" bestFit="1" customWidth="1"/>
    <col min="14" max="14" width="14.85546875" style="208" bestFit="1" customWidth="1"/>
    <col min="15" max="16" width="15.5703125" style="208" bestFit="1" customWidth="1"/>
    <col min="17" max="17" width="23.85546875" style="208" bestFit="1" customWidth="1"/>
    <col min="18" max="18" width="24.28515625" style="208" bestFit="1" customWidth="1"/>
    <col min="19" max="20" width="25.85546875" style="208" bestFit="1" customWidth="1"/>
    <col min="21" max="22" width="14.5703125" style="208" bestFit="1" customWidth="1"/>
    <col min="23" max="23" width="20.42578125" style="208" bestFit="1" customWidth="1"/>
    <col min="24" max="24" width="20.140625" style="208" bestFit="1" customWidth="1"/>
    <col min="25" max="25" width="22.7109375" style="208" bestFit="1" customWidth="1"/>
    <col min="26" max="26" width="22.42578125" style="208" bestFit="1" customWidth="1"/>
    <col min="27" max="27" width="21.42578125" style="208" bestFit="1" customWidth="1"/>
    <col min="28" max="28" width="33" style="208" bestFit="1" customWidth="1"/>
    <col min="29" max="29" width="36.7109375" style="208" customWidth="1"/>
    <col min="30" max="30" width="33.425781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40634</v>
      </c>
      <c r="B8" s="233"/>
      <c r="C8" s="234"/>
      <c r="D8" s="234"/>
      <c r="E8" s="234"/>
      <c r="F8" s="234"/>
      <c r="G8" s="234"/>
      <c r="H8" s="235"/>
      <c r="I8" s="233"/>
      <c r="J8" s="234"/>
      <c r="K8" s="234"/>
      <c r="L8" s="234"/>
      <c r="M8" s="234"/>
      <c r="N8" s="235"/>
      <c r="O8" s="233"/>
      <c r="P8" s="234"/>
      <c r="Q8" s="234"/>
      <c r="R8" s="234"/>
      <c r="S8" s="234"/>
      <c r="T8" s="236"/>
      <c r="U8" s="237"/>
      <c r="V8" s="238"/>
      <c r="W8" s="238"/>
      <c r="X8" s="238"/>
      <c r="Y8" s="238"/>
      <c r="Z8" s="238"/>
      <c r="AA8" s="239"/>
      <c r="AB8" s="240"/>
      <c r="AC8" s="241"/>
      <c r="AD8" s="241"/>
      <c r="AE8" s="242"/>
      <c r="AF8" s="242"/>
      <c r="AG8" s="242"/>
      <c r="AH8" s="241">
        <v>159.62331599394477</v>
      </c>
      <c r="AI8" s="241">
        <v>376.10442837079364</v>
      </c>
      <c r="AJ8" s="241">
        <v>954.78275041580207</v>
      </c>
      <c r="AK8" s="241">
        <v>181.09109181563059</v>
      </c>
      <c r="AL8" s="241">
        <v>1390.4273160934451</v>
      </c>
      <c r="AM8" s="241">
        <v>1689.0971135457357</v>
      </c>
      <c r="AN8" s="241">
        <v>461.84437958399445</v>
      </c>
      <c r="AO8" s="241">
        <v>220.75223007202149</v>
      </c>
      <c r="AP8" s="241">
        <v>76.992429792881012</v>
      </c>
      <c r="AQ8" s="241">
        <v>618.07301499048867</v>
      </c>
    </row>
    <row r="9" spans="1:47">
      <c r="A9" s="232">
        <f>A8+1</f>
        <v>40635</v>
      </c>
      <c r="B9" s="243"/>
      <c r="C9" s="244"/>
      <c r="D9" s="244"/>
      <c r="E9" s="244"/>
      <c r="F9" s="244"/>
      <c r="G9" s="244"/>
      <c r="H9" s="245"/>
      <c r="I9" s="243"/>
      <c r="J9" s="244"/>
      <c r="K9" s="244"/>
      <c r="L9" s="244"/>
      <c r="M9" s="244"/>
      <c r="N9" s="245"/>
      <c r="O9" s="243"/>
      <c r="P9" s="244"/>
      <c r="Q9" s="246"/>
      <c r="R9" s="247"/>
      <c r="S9" s="244"/>
      <c r="T9" s="248"/>
      <c r="U9" s="249"/>
      <c r="V9" s="246"/>
      <c r="W9" s="246"/>
      <c r="X9" s="246"/>
      <c r="Y9" s="250"/>
      <c r="Z9" s="250"/>
      <c r="AA9" s="251"/>
      <c r="AB9" s="252"/>
      <c r="AC9" s="253"/>
      <c r="AD9" s="253"/>
      <c r="AE9" s="252"/>
      <c r="AF9" s="252"/>
      <c r="AG9" s="252"/>
      <c r="AH9" s="253">
        <v>147.48895066579186</v>
      </c>
      <c r="AI9" s="253">
        <v>369.45747451782216</v>
      </c>
      <c r="AJ9" s="253">
        <v>1026.4292774836222</v>
      </c>
      <c r="AK9" s="253">
        <v>167.20855933825177</v>
      </c>
      <c r="AL9" s="253">
        <v>1327.8730651219687</v>
      </c>
      <c r="AM9" s="253">
        <v>1654.3144574483235</v>
      </c>
      <c r="AN9" s="253">
        <v>438.17763166427613</v>
      </c>
      <c r="AO9" s="253">
        <v>244.45862650871277</v>
      </c>
      <c r="AP9" s="253">
        <v>83.461772918701172</v>
      </c>
      <c r="AQ9" s="253">
        <v>818.40217892328906</v>
      </c>
    </row>
    <row r="10" spans="1:47">
      <c r="A10" s="232">
        <f t="shared" ref="A10:A37" si="0">A9+1</f>
        <v>40636</v>
      </c>
      <c r="B10" s="243"/>
      <c r="C10" s="244"/>
      <c r="D10" s="244"/>
      <c r="E10" s="244"/>
      <c r="F10" s="244"/>
      <c r="G10" s="244"/>
      <c r="H10" s="245"/>
      <c r="I10" s="243"/>
      <c r="J10" s="244"/>
      <c r="K10" s="244"/>
      <c r="L10" s="244"/>
      <c r="M10" s="244"/>
      <c r="N10" s="245"/>
      <c r="O10" s="243"/>
      <c r="P10" s="244"/>
      <c r="Q10" s="244"/>
      <c r="R10" s="247"/>
      <c r="S10" s="244"/>
      <c r="T10" s="248"/>
      <c r="U10" s="249"/>
      <c r="V10" s="246"/>
      <c r="W10" s="246"/>
      <c r="X10" s="246"/>
      <c r="Y10" s="250"/>
      <c r="Z10" s="250"/>
      <c r="AA10" s="251"/>
      <c r="AB10" s="252"/>
      <c r="AC10" s="253"/>
      <c r="AD10" s="253"/>
      <c r="AE10" s="252"/>
      <c r="AF10" s="252"/>
      <c r="AG10" s="252"/>
      <c r="AH10" s="253">
        <v>161.1731604337692</v>
      </c>
      <c r="AI10" s="253">
        <v>379.77466184298197</v>
      </c>
      <c r="AJ10" s="253">
        <v>920.43895829518647</v>
      </c>
      <c r="AK10" s="253">
        <v>191.63956632614139</v>
      </c>
      <c r="AL10" s="253">
        <v>1444.3644102732337</v>
      </c>
      <c r="AM10" s="253">
        <v>1414.7081062952675</v>
      </c>
      <c r="AN10" s="253">
        <v>448.32854938507086</v>
      </c>
      <c r="AO10" s="253">
        <v>275.69217489560447</v>
      </c>
      <c r="AP10" s="253">
        <v>90.071702631314608</v>
      </c>
      <c r="AQ10" s="253">
        <v>732.45255816777546</v>
      </c>
    </row>
    <row r="11" spans="1:47">
      <c r="A11" s="232">
        <f t="shared" si="0"/>
        <v>40637</v>
      </c>
      <c r="B11" s="243"/>
      <c r="C11" s="244"/>
      <c r="D11" s="244"/>
      <c r="E11" s="244"/>
      <c r="F11" s="244"/>
      <c r="G11" s="244"/>
      <c r="H11" s="245"/>
      <c r="I11" s="243"/>
      <c r="J11" s="244"/>
      <c r="K11" s="244"/>
      <c r="L11" s="244"/>
      <c r="M11" s="244"/>
      <c r="N11" s="245"/>
      <c r="O11" s="243"/>
      <c r="P11" s="244"/>
      <c r="Q11" s="244"/>
      <c r="R11" s="247"/>
      <c r="S11" s="244"/>
      <c r="T11" s="248"/>
      <c r="U11" s="249"/>
      <c r="V11" s="246"/>
      <c r="W11" s="246"/>
      <c r="X11" s="246"/>
      <c r="Y11" s="250"/>
      <c r="Z11" s="250"/>
      <c r="AA11" s="251"/>
      <c r="AB11" s="252"/>
      <c r="AC11" s="253"/>
      <c r="AD11" s="253"/>
      <c r="AE11" s="252"/>
      <c r="AF11" s="252"/>
      <c r="AG11" s="252"/>
      <c r="AH11" s="253">
        <v>198.3764189084371</v>
      </c>
      <c r="AI11" s="253">
        <v>446.05539248784379</v>
      </c>
      <c r="AJ11" s="253">
        <v>969.2627730369569</v>
      </c>
      <c r="AK11" s="253">
        <v>242.88488938808439</v>
      </c>
      <c r="AL11" s="253">
        <v>1557.0262327194214</v>
      </c>
      <c r="AM11" s="253">
        <v>1649.0086898167924</v>
      </c>
      <c r="AN11" s="253">
        <v>467.00259361267098</v>
      </c>
      <c r="AO11" s="253">
        <v>323.09539655049639</v>
      </c>
      <c r="AP11" s="253">
        <v>94.498093396425247</v>
      </c>
      <c r="AQ11" s="253">
        <v>685.97047147750868</v>
      </c>
    </row>
    <row r="12" spans="1:47">
      <c r="A12" s="232">
        <f t="shared" si="0"/>
        <v>40638</v>
      </c>
      <c r="B12" s="243"/>
      <c r="C12" s="244"/>
      <c r="D12" s="244"/>
      <c r="E12" s="244"/>
      <c r="F12" s="244"/>
      <c r="G12" s="244"/>
      <c r="H12" s="245"/>
      <c r="I12" s="243"/>
      <c r="J12" s="244"/>
      <c r="K12" s="244"/>
      <c r="L12" s="244"/>
      <c r="M12" s="244"/>
      <c r="N12" s="245"/>
      <c r="O12" s="243"/>
      <c r="P12" s="244"/>
      <c r="Q12" s="244"/>
      <c r="R12" s="247"/>
      <c r="S12" s="244"/>
      <c r="T12" s="248"/>
      <c r="U12" s="249"/>
      <c r="V12" s="246"/>
      <c r="W12" s="246"/>
      <c r="X12" s="246"/>
      <c r="Y12" s="250"/>
      <c r="Z12" s="250"/>
      <c r="AA12" s="251"/>
      <c r="AB12" s="252"/>
      <c r="AC12" s="253"/>
      <c r="AD12" s="253"/>
      <c r="AE12" s="252"/>
      <c r="AF12" s="252"/>
      <c r="AG12" s="252"/>
      <c r="AH12" s="253">
        <v>167.97111136118571</v>
      </c>
      <c r="AI12" s="253">
        <v>382.03046471277867</v>
      </c>
      <c r="AJ12" s="253">
        <v>978.91631507873535</v>
      </c>
      <c r="AK12" s="253">
        <v>190.22362048625948</v>
      </c>
      <c r="AL12" s="253">
        <v>1398.5585055033364</v>
      </c>
      <c r="AM12" s="253">
        <v>1689.9700010935462</v>
      </c>
      <c r="AN12" s="253">
        <v>457.20671734809889</v>
      </c>
      <c r="AO12" s="253">
        <v>277.97504425048828</v>
      </c>
      <c r="AP12" s="253">
        <v>78.006390170256282</v>
      </c>
      <c r="AQ12" s="253">
        <v>818.37632541656512</v>
      </c>
    </row>
    <row r="13" spans="1:47">
      <c r="A13" s="232">
        <f t="shared" si="0"/>
        <v>40639</v>
      </c>
      <c r="B13" s="243"/>
      <c r="C13" s="244"/>
      <c r="D13" s="244"/>
      <c r="E13" s="244"/>
      <c r="F13" s="244"/>
      <c r="G13" s="244"/>
      <c r="H13" s="245"/>
      <c r="I13" s="243"/>
      <c r="J13" s="244"/>
      <c r="K13" s="244"/>
      <c r="L13" s="244"/>
      <c r="M13" s="244"/>
      <c r="N13" s="245"/>
      <c r="O13" s="243"/>
      <c r="P13" s="244"/>
      <c r="Q13" s="244"/>
      <c r="R13" s="247"/>
      <c r="S13" s="244"/>
      <c r="T13" s="248"/>
      <c r="U13" s="249"/>
      <c r="V13" s="246"/>
      <c r="W13" s="246"/>
      <c r="X13" s="246"/>
      <c r="Y13" s="250"/>
      <c r="Z13" s="250"/>
      <c r="AA13" s="251"/>
      <c r="AB13" s="252"/>
      <c r="AC13" s="253"/>
      <c r="AD13" s="253"/>
      <c r="AE13" s="252"/>
      <c r="AF13" s="252"/>
      <c r="AG13" s="252"/>
      <c r="AH13" s="253">
        <v>170.49707162380221</v>
      </c>
      <c r="AI13" s="253">
        <v>388.68407942454013</v>
      </c>
      <c r="AJ13" s="253">
        <v>933.26296478907261</v>
      </c>
      <c r="AK13" s="253">
        <v>202.71291323502859</v>
      </c>
      <c r="AL13" s="253">
        <v>1431.3309257507326</v>
      </c>
      <c r="AM13" s="253">
        <v>1742.6472244262695</v>
      </c>
      <c r="AN13" s="253">
        <v>482.42842898368843</v>
      </c>
      <c r="AO13" s="253">
        <v>219.73781344095866</v>
      </c>
      <c r="AP13" s="253">
        <v>65.368075720469164</v>
      </c>
      <c r="AQ13" s="253">
        <v>631.77596165339162</v>
      </c>
    </row>
    <row r="14" spans="1:47">
      <c r="A14" s="232">
        <f t="shared" si="0"/>
        <v>40640</v>
      </c>
      <c r="B14" s="243"/>
      <c r="C14" s="244"/>
      <c r="D14" s="244"/>
      <c r="E14" s="244"/>
      <c r="F14" s="244"/>
      <c r="G14" s="244"/>
      <c r="H14" s="245"/>
      <c r="I14" s="243"/>
      <c r="J14" s="244"/>
      <c r="K14" s="244"/>
      <c r="L14" s="244"/>
      <c r="M14" s="244"/>
      <c r="N14" s="245"/>
      <c r="O14" s="243"/>
      <c r="P14" s="244"/>
      <c r="Q14" s="244"/>
      <c r="R14" s="247"/>
      <c r="S14" s="244"/>
      <c r="T14" s="248"/>
      <c r="U14" s="249"/>
      <c r="V14" s="246"/>
      <c r="W14" s="246"/>
      <c r="X14" s="246"/>
      <c r="Y14" s="250"/>
      <c r="Z14" s="250"/>
      <c r="AA14" s="251"/>
      <c r="AB14" s="252"/>
      <c r="AC14" s="253"/>
      <c r="AD14" s="253"/>
      <c r="AE14" s="252"/>
      <c r="AF14" s="252"/>
      <c r="AG14" s="252"/>
      <c r="AH14" s="253">
        <v>184.06063979466757</v>
      </c>
      <c r="AI14" s="253">
        <v>412.91213978131611</v>
      </c>
      <c r="AJ14" s="253">
        <v>960.3613375345866</v>
      </c>
      <c r="AK14" s="253">
        <v>214.31935705343878</v>
      </c>
      <c r="AL14" s="253">
        <v>1429.7691654841101</v>
      </c>
      <c r="AM14" s="253">
        <v>1751.973099899292</v>
      </c>
      <c r="AN14" s="253">
        <v>482.74453568458557</v>
      </c>
      <c r="AO14" s="253">
        <v>226.50715823173522</v>
      </c>
      <c r="AP14" s="253">
        <v>61.371557070811591</v>
      </c>
      <c r="AQ14" s="253">
        <v>668.37519515355427</v>
      </c>
    </row>
    <row r="15" spans="1:47">
      <c r="A15" s="232">
        <f t="shared" si="0"/>
        <v>40641</v>
      </c>
      <c r="B15" s="243"/>
      <c r="C15" s="244"/>
      <c r="D15" s="244"/>
      <c r="E15" s="244"/>
      <c r="F15" s="244"/>
      <c r="G15" s="244"/>
      <c r="H15" s="245"/>
      <c r="I15" s="243"/>
      <c r="J15" s="244"/>
      <c r="K15" s="244"/>
      <c r="L15" s="244"/>
      <c r="M15" s="244"/>
      <c r="N15" s="245"/>
      <c r="O15" s="243"/>
      <c r="P15" s="244"/>
      <c r="Q15" s="244"/>
      <c r="R15" s="247"/>
      <c r="S15" s="244"/>
      <c r="T15" s="248"/>
      <c r="U15" s="249"/>
      <c r="V15" s="246"/>
      <c r="W15" s="246"/>
      <c r="X15" s="246"/>
      <c r="Y15" s="250"/>
      <c r="Z15" s="250"/>
      <c r="AA15" s="251"/>
      <c r="AB15" s="252"/>
      <c r="AC15" s="253"/>
      <c r="AD15" s="253"/>
      <c r="AE15" s="252"/>
      <c r="AF15" s="252"/>
      <c r="AG15" s="252"/>
      <c r="AH15" s="253">
        <v>159.1983025789261</v>
      </c>
      <c r="AI15" s="253">
        <v>370.68709457715357</v>
      </c>
      <c r="AJ15" s="253">
        <v>979.12569761276268</v>
      </c>
      <c r="AK15" s="253">
        <v>200.42900806268057</v>
      </c>
      <c r="AL15" s="253">
        <v>1367.859101740519</v>
      </c>
      <c r="AM15" s="253">
        <v>1778.6941468556724</v>
      </c>
      <c r="AN15" s="253">
        <v>472.9356935183207</v>
      </c>
      <c r="AO15" s="253">
        <v>274.77594323158263</v>
      </c>
      <c r="AP15" s="253">
        <v>77.915264781316125</v>
      </c>
      <c r="AQ15" s="253">
        <v>777.53852678934732</v>
      </c>
    </row>
    <row r="16" spans="1:47">
      <c r="A16" s="232">
        <f t="shared" si="0"/>
        <v>40642</v>
      </c>
      <c r="B16" s="243"/>
      <c r="C16" s="244"/>
      <c r="D16" s="244"/>
      <c r="E16" s="244"/>
      <c r="F16" s="244"/>
      <c r="G16" s="244"/>
      <c r="H16" s="245"/>
      <c r="I16" s="243"/>
      <c r="J16" s="244"/>
      <c r="K16" s="244"/>
      <c r="L16" s="244"/>
      <c r="M16" s="244"/>
      <c r="N16" s="245"/>
      <c r="O16" s="243"/>
      <c r="P16" s="244"/>
      <c r="Q16" s="244"/>
      <c r="R16" s="247"/>
      <c r="S16" s="244"/>
      <c r="T16" s="248"/>
      <c r="U16" s="249"/>
      <c r="V16" s="246"/>
      <c r="W16" s="246"/>
      <c r="X16" s="246"/>
      <c r="Y16" s="250"/>
      <c r="Z16" s="250"/>
      <c r="AA16" s="251"/>
      <c r="AB16" s="252"/>
      <c r="AC16" s="253"/>
      <c r="AD16" s="253"/>
      <c r="AE16" s="252"/>
      <c r="AF16" s="252"/>
      <c r="AG16" s="252"/>
      <c r="AH16" s="253">
        <v>155.42311319510139</v>
      </c>
      <c r="AI16" s="253">
        <v>361.45693362553919</v>
      </c>
      <c r="AJ16" s="253">
        <v>1008.3204169591268</v>
      </c>
      <c r="AK16" s="253">
        <v>201.11345872084303</v>
      </c>
      <c r="AL16" s="253">
        <v>1374.0407138824462</v>
      </c>
      <c r="AM16" s="253">
        <v>1762.5973401387532</v>
      </c>
      <c r="AN16" s="253">
        <v>482.21932695706687</v>
      </c>
      <c r="AO16" s="253">
        <v>290.59135437011719</v>
      </c>
      <c r="AP16" s="253">
        <v>65.456259814898175</v>
      </c>
      <c r="AQ16" s="253">
        <v>659.47789516448972</v>
      </c>
    </row>
    <row r="17" spans="1:43">
      <c r="A17" s="232">
        <f t="shared" si="0"/>
        <v>40643</v>
      </c>
      <c r="B17" s="233"/>
      <c r="C17" s="234"/>
      <c r="D17" s="234"/>
      <c r="E17" s="234"/>
      <c r="F17" s="234"/>
      <c r="G17" s="234"/>
      <c r="H17" s="235"/>
      <c r="I17" s="233"/>
      <c r="J17" s="234"/>
      <c r="K17" s="234"/>
      <c r="L17" s="244"/>
      <c r="M17" s="234"/>
      <c r="N17" s="235"/>
      <c r="O17" s="233"/>
      <c r="P17" s="234"/>
      <c r="Q17" s="234"/>
      <c r="R17" s="254"/>
      <c r="S17" s="234"/>
      <c r="T17" s="236"/>
      <c r="U17" s="255"/>
      <c r="V17" s="250"/>
      <c r="W17" s="246"/>
      <c r="X17" s="246"/>
      <c r="Y17" s="250"/>
      <c r="Z17" s="250"/>
      <c r="AA17" s="251"/>
      <c r="AB17" s="252"/>
      <c r="AC17" s="253"/>
      <c r="AD17" s="253"/>
      <c r="AE17" s="252"/>
      <c r="AF17" s="252"/>
      <c r="AG17" s="252"/>
      <c r="AH17" s="253">
        <v>175.36555689175924</v>
      </c>
      <c r="AI17" s="253">
        <v>397.11074609756463</v>
      </c>
      <c r="AJ17" s="253">
        <v>987.5951993306478</v>
      </c>
      <c r="AK17" s="253">
        <v>228.70064312616987</v>
      </c>
      <c r="AL17" s="253">
        <v>1481.589233271281</v>
      </c>
      <c r="AM17" s="253">
        <v>1814.5212023417155</v>
      </c>
      <c r="AN17" s="253">
        <v>490.55286234219864</v>
      </c>
      <c r="AO17" s="253">
        <v>274.57883558273318</v>
      </c>
      <c r="AP17" s="253">
        <v>69.210949653387061</v>
      </c>
      <c r="AQ17" s="253">
        <v>580.62408526738488</v>
      </c>
    </row>
    <row r="18" spans="1:43">
      <c r="A18" s="232">
        <f t="shared" si="0"/>
        <v>40644</v>
      </c>
      <c r="B18" s="243"/>
      <c r="C18" s="244"/>
      <c r="D18" s="244"/>
      <c r="E18" s="244"/>
      <c r="F18" s="244"/>
      <c r="G18" s="244"/>
      <c r="H18" s="245"/>
      <c r="I18" s="243"/>
      <c r="J18" s="244"/>
      <c r="K18" s="244"/>
      <c r="L18" s="244"/>
      <c r="M18" s="244"/>
      <c r="N18" s="245"/>
      <c r="O18" s="243"/>
      <c r="P18" s="244"/>
      <c r="Q18" s="244"/>
      <c r="R18" s="247"/>
      <c r="S18" s="244"/>
      <c r="T18" s="248"/>
      <c r="U18" s="249"/>
      <c r="V18" s="246"/>
      <c r="W18" s="246"/>
      <c r="X18" s="246"/>
      <c r="Y18" s="250"/>
      <c r="Z18" s="250"/>
      <c r="AA18" s="251"/>
      <c r="AB18" s="252"/>
      <c r="AC18" s="253"/>
      <c r="AD18" s="253"/>
      <c r="AE18" s="252"/>
      <c r="AF18" s="252"/>
      <c r="AG18" s="252"/>
      <c r="AH18" s="253">
        <v>553.96938126881912</v>
      </c>
      <c r="AI18" s="253">
        <v>775.67653916676852</v>
      </c>
      <c r="AJ18" s="253">
        <v>1045.4610862096149</v>
      </c>
      <c r="AK18" s="253">
        <v>221.94681167602536</v>
      </c>
      <c r="AL18" s="253">
        <v>1386.3649283727009</v>
      </c>
      <c r="AM18" s="253">
        <v>1882.5849658966065</v>
      </c>
      <c r="AN18" s="253">
        <v>499.72448139190675</v>
      </c>
      <c r="AO18" s="253">
        <v>279.9462890625</v>
      </c>
      <c r="AP18" s="253">
        <v>78.281055963039393</v>
      </c>
      <c r="AQ18" s="253">
        <v>686.28983208338434</v>
      </c>
    </row>
    <row r="19" spans="1:43">
      <c r="A19" s="232">
        <f t="shared" si="0"/>
        <v>40645</v>
      </c>
      <c r="B19" s="243"/>
      <c r="C19" s="244"/>
      <c r="D19" s="244"/>
      <c r="E19" s="244"/>
      <c r="F19" s="244"/>
      <c r="G19" s="244"/>
      <c r="H19" s="245"/>
      <c r="I19" s="243"/>
      <c r="J19" s="244"/>
      <c r="K19" s="244"/>
      <c r="L19" s="244"/>
      <c r="M19" s="244"/>
      <c r="N19" s="245"/>
      <c r="O19" s="243"/>
      <c r="P19" s="244"/>
      <c r="Q19" s="244"/>
      <c r="R19" s="247"/>
      <c r="S19" s="244"/>
      <c r="T19" s="248"/>
      <c r="U19" s="249"/>
      <c r="V19" s="246"/>
      <c r="W19" s="246"/>
      <c r="X19" s="246"/>
      <c r="Y19" s="250"/>
      <c r="Z19" s="250"/>
      <c r="AA19" s="251"/>
      <c r="AB19" s="252"/>
      <c r="AC19" s="253"/>
      <c r="AD19" s="253"/>
      <c r="AE19" s="252"/>
      <c r="AF19" s="252"/>
      <c r="AG19" s="252"/>
      <c r="AH19" s="253">
        <v>695.09594427744537</v>
      </c>
      <c r="AI19" s="253">
        <v>880.95919520060238</v>
      </c>
      <c r="AJ19" s="253">
        <v>932.93541072209689</v>
      </c>
      <c r="AK19" s="253">
        <v>206.53133618831637</v>
      </c>
      <c r="AL19" s="253">
        <v>1402.1456584930418</v>
      </c>
      <c r="AM19" s="253">
        <v>1764.2362471262616</v>
      </c>
      <c r="AN19" s="253">
        <v>497.82260858217876</v>
      </c>
      <c r="AO19" s="253">
        <v>279.9462890625</v>
      </c>
      <c r="AP19" s="253">
        <v>66.681736771265662</v>
      </c>
      <c r="AQ19" s="253">
        <v>701.26037060419708</v>
      </c>
    </row>
    <row r="20" spans="1:43">
      <c r="A20" s="232">
        <f t="shared" si="0"/>
        <v>40646</v>
      </c>
      <c r="B20" s="243"/>
      <c r="C20" s="244"/>
      <c r="D20" s="244"/>
      <c r="E20" s="244"/>
      <c r="F20" s="244"/>
      <c r="G20" s="244"/>
      <c r="H20" s="245"/>
      <c r="I20" s="243"/>
      <c r="J20" s="244"/>
      <c r="K20" s="244"/>
      <c r="L20" s="244"/>
      <c r="M20" s="244"/>
      <c r="N20" s="245"/>
      <c r="O20" s="243"/>
      <c r="P20" s="244"/>
      <c r="Q20" s="244"/>
      <c r="R20" s="247"/>
      <c r="S20" s="244"/>
      <c r="T20" s="248"/>
      <c r="U20" s="249"/>
      <c r="V20" s="246"/>
      <c r="W20" s="246"/>
      <c r="X20" s="246"/>
      <c r="Y20" s="250"/>
      <c r="Z20" s="250"/>
      <c r="AA20" s="251"/>
      <c r="AB20" s="252"/>
      <c r="AC20" s="253"/>
      <c r="AD20" s="253"/>
      <c r="AE20" s="252"/>
      <c r="AF20" s="252"/>
      <c r="AG20" s="252"/>
      <c r="AH20" s="253">
        <v>710.39752664566038</v>
      </c>
      <c r="AI20" s="253">
        <v>897.16141942342097</v>
      </c>
      <c r="AJ20" s="253">
        <v>952.17976598739619</v>
      </c>
      <c r="AK20" s="253">
        <v>225.26661190191905</v>
      </c>
      <c r="AL20" s="253">
        <v>1456.6845484415692</v>
      </c>
      <c r="AM20" s="253">
        <v>1776.1534079233804</v>
      </c>
      <c r="AN20" s="253">
        <v>519.28939040501916</v>
      </c>
      <c r="AO20" s="253">
        <v>279.9462890625</v>
      </c>
      <c r="AP20" s="253">
        <v>59.234142518043519</v>
      </c>
      <c r="AQ20" s="253">
        <v>656.00194257100418</v>
      </c>
    </row>
    <row r="21" spans="1:43">
      <c r="A21" s="232">
        <f t="shared" si="0"/>
        <v>40647</v>
      </c>
      <c r="B21" s="243"/>
      <c r="C21" s="244"/>
      <c r="D21" s="244"/>
      <c r="E21" s="244"/>
      <c r="F21" s="244"/>
      <c r="G21" s="244"/>
      <c r="H21" s="245"/>
      <c r="I21" s="243"/>
      <c r="J21" s="244"/>
      <c r="K21" s="244"/>
      <c r="L21" s="244"/>
      <c r="M21" s="244"/>
      <c r="N21" s="245"/>
      <c r="O21" s="243"/>
      <c r="P21" s="244"/>
      <c r="Q21" s="244"/>
      <c r="R21" s="247"/>
      <c r="S21" s="244"/>
      <c r="T21" s="248"/>
      <c r="U21" s="249"/>
      <c r="V21" s="246"/>
      <c r="W21" s="246"/>
      <c r="X21" s="246"/>
      <c r="Y21" s="250"/>
      <c r="Z21" s="250"/>
      <c r="AA21" s="251"/>
      <c r="AB21" s="252"/>
      <c r="AC21" s="253"/>
      <c r="AD21" s="253"/>
      <c r="AE21" s="252"/>
      <c r="AF21" s="252"/>
      <c r="AG21" s="252"/>
      <c r="AH21" s="253">
        <v>727.00437622070319</v>
      </c>
      <c r="AI21" s="253">
        <v>965.791929181417</v>
      </c>
      <c r="AJ21" s="253">
        <v>1696.1844235102337</v>
      </c>
      <c r="AK21" s="253">
        <v>234.22932226657869</v>
      </c>
      <c r="AL21" s="253">
        <v>1552.5715213139852</v>
      </c>
      <c r="AM21" s="253">
        <v>1793.0270646413167</v>
      </c>
      <c r="AN21" s="253">
        <v>487.99178291956588</v>
      </c>
      <c r="AO21" s="253">
        <v>279.9462890625</v>
      </c>
      <c r="AP21" s="253">
        <v>348.09550121625267</v>
      </c>
      <c r="AQ21" s="253">
        <v>665.2240830739338</v>
      </c>
    </row>
    <row r="22" spans="1:43">
      <c r="A22" s="232">
        <f t="shared" si="0"/>
        <v>40648</v>
      </c>
      <c r="B22" s="243"/>
      <c r="C22" s="244"/>
      <c r="D22" s="244"/>
      <c r="E22" s="244"/>
      <c r="F22" s="244"/>
      <c r="G22" s="244"/>
      <c r="H22" s="245"/>
      <c r="I22" s="243"/>
      <c r="J22" s="244"/>
      <c r="K22" s="244"/>
      <c r="L22" s="244"/>
      <c r="M22" s="244"/>
      <c r="N22" s="245"/>
      <c r="O22" s="243"/>
      <c r="P22" s="244"/>
      <c r="Q22" s="244"/>
      <c r="R22" s="247"/>
      <c r="S22" s="244"/>
      <c r="T22" s="248"/>
      <c r="U22" s="249"/>
      <c r="V22" s="246"/>
      <c r="W22" s="246"/>
      <c r="X22" s="246"/>
      <c r="Y22" s="250"/>
      <c r="Z22" s="250"/>
      <c r="AA22" s="251"/>
      <c r="AB22" s="252"/>
      <c r="AC22" s="253"/>
      <c r="AD22" s="253"/>
      <c r="AE22" s="252"/>
      <c r="AF22" s="252"/>
      <c r="AG22" s="252"/>
      <c r="AH22" s="253">
        <v>736.5174709955852</v>
      </c>
      <c r="AI22" s="253">
        <v>942.11903270085645</v>
      </c>
      <c r="AJ22" s="253">
        <v>2278.3079424540206</v>
      </c>
      <c r="AK22" s="253">
        <v>234.75653552214308</v>
      </c>
      <c r="AL22" s="253">
        <v>1572.9307642618817</v>
      </c>
      <c r="AM22" s="253">
        <v>1851.7584782918293</v>
      </c>
      <c r="AN22" s="253">
        <v>492.48131450017291</v>
      </c>
      <c r="AO22" s="253">
        <v>275.7657474517822</v>
      </c>
      <c r="AP22" s="253">
        <v>99.676566892862311</v>
      </c>
      <c r="AQ22" s="253">
        <v>638.40116399129226</v>
      </c>
    </row>
    <row r="23" spans="1:43">
      <c r="A23" s="232">
        <f t="shared" si="0"/>
        <v>40649</v>
      </c>
      <c r="B23" s="243"/>
      <c r="C23" s="244"/>
      <c r="D23" s="244"/>
      <c r="E23" s="244"/>
      <c r="F23" s="244"/>
      <c r="G23" s="244"/>
      <c r="H23" s="245"/>
      <c r="I23" s="243"/>
      <c r="J23" s="244"/>
      <c r="K23" s="244"/>
      <c r="L23" s="244"/>
      <c r="M23" s="244"/>
      <c r="N23" s="245"/>
      <c r="O23" s="243"/>
      <c r="P23" s="244"/>
      <c r="Q23" s="244"/>
      <c r="R23" s="247"/>
      <c r="S23" s="244"/>
      <c r="T23" s="248"/>
      <c r="U23" s="249"/>
      <c r="V23" s="246"/>
      <c r="W23" s="246"/>
      <c r="X23" s="246"/>
      <c r="Y23" s="250"/>
      <c r="Z23" s="250"/>
      <c r="AA23" s="251"/>
      <c r="AB23" s="252"/>
      <c r="AC23" s="253"/>
      <c r="AD23" s="253"/>
      <c r="AE23" s="252"/>
      <c r="AF23" s="252"/>
      <c r="AG23" s="252"/>
      <c r="AH23" s="253">
        <v>703.1954518953961</v>
      </c>
      <c r="AI23" s="253">
        <v>854.41459150314336</v>
      </c>
      <c r="AJ23" s="253">
        <v>1029.6367853800457</v>
      </c>
      <c r="AK23" s="253">
        <v>197.44465208053586</v>
      </c>
      <c r="AL23" s="253">
        <v>1431.2121531804403</v>
      </c>
      <c r="AM23" s="253">
        <v>1870.3094277699784</v>
      </c>
      <c r="AN23" s="253">
        <v>500.54806901613881</v>
      </c>
      <c r="AO23" s="253">
        <v>272.59588623046875</v>
      </c>
      <c r="AP23" s="253">
        <v>73.261844772100446</v>
      </c>
      <c r="AQ23" s="253">
        <v>610.55143744150791</v>
      </c>
    </row>
    <row r="24" spans="1:43">
      <c r="A24" s="232">
        <f t="shared" si="0"/>
        <v>40650</v>
      </c>
      <c r="B24" s="243"/>
      <c r="C24" s="244"/>
      <c r="D24" s="244"/>
      <c r="E24" s="244"/>
      <c r="F24" s="244"/>
      <c r="G24" s="244"/>
      <c r="H24" s="245"/>
      <c r="I24" s="243"/>
      <c r="J24" s="244"/>
      <c r="K24" s="244"/>
      <c r="L24" s="244"/>
      <c r="M24" s="244"/>
      <c r="N24" s="245"/>
      <c r="O24" s="243"/>
      <c r="P24" s="244"/>
      <c r="Q24" s="244"/>
      <c r="R24" s="247"/>
      <c r="S24" s="244"/>
      <c r="T24" s="248"/>
      <c r="U24" s="249"/>
      <c r="V24" s="246"/>
      <c r="W24" s="246"/>
      <c r="X24" s="246"/>
      <c r="Y24" s="250"/>
      <c r="Z24" s="250"/>
      <c r="AA24" s="251"/>
      <c r="AB24" s="252"/>
      <c r="AC24" s="253"/>
      <c r="AD24" s="253"/>
      <c r="AE24" s="252"/>
      <c r="AF24" s="252"/>
      <c r="AG24" s="252"/>
      <c r="AH24" s="253">
        <v>691.42621072133386</v>
      </c>
      <c r="AI24" s="253">
        <v>831.21230042775483</v>
      </c>
      <c r="AJ24" s="253">
        <v>1015.6726689020793</v>
      </c>
      <c r="AK24" s="253">
        <v>183.92849032084149</v>
      </c>
      <c r="AL24" s="253">
        <v>1398.6257209777832</v>
      </c>
      <c r="AM24" s="253">
        <v>1930.3030363718672</v>
      </c>
      <c r="AN24" s="253">
        <v>489.9561903476714</v>
      </c>
      <c r="AO24" s="253">
        <v>315.59045203526819</v>
      </c>
      <c r="AP24" s="253">
        <v>61.454100080331166</v>
      </c>
      <c r="AQ24" s="253">
        <v>653.09499403635664</v>
      </c>
    </row>
    <row r="25" spans="1:43">
      <c r="A25" s="232">
        <f t="shared" si="0"/>
        <v>40651</v>
      </c>
      <c r="B25" s="243"/>
      <c r="C25" s="244"/>
      <c r="D25" s="244"/>
      <c r="E25" s="244"/>
      <c r="F25" s="244"/>
      <c r="G25" s="244"/>
      <c r="H25" s="245"/>
      <c r="I25" s="243"/>
      <c r="J25" s="244"/>
      <c r="K25" s="244"/>
      <c r="L25" s="244"/>
      <c r="M25" s="244"/>
      <c r="N25" s="245"/>
      <c r="O25" s="243"/>
      <c r="P25" s="244"/>
      <c r="Q25" s="244"/>
      <c r="R25" s="247"/>
      <c r="S25" s="244"/>
      <c r="T25" s="248"/>
      <c r="U25" s="249"/>
      <c r="V25" s="246"/>
      <c r="W25" s="246"/>
      <c r="X25" s="246"/>
      <c r="Y25" s="250"/>
      <c r="Z25" s="250"/>
      <c r="AA25" s="251"/>
      <c r="AB25" s="252"/>
      <c r="AC25" s="253"/>
      <c r="AD25" s="253"/>
      <c r="AE25" s="252"/>
      <c r="AF25" s="252"/>
      <c r="AG25" s="252"/>
      <c r="AH25" s="253">
        <v>685.67841720581043</v>
      </c>
      <c r="AI25" s="253">
        <v>916.60618406931565</v>
      </c>
      <c r="AJ25" s="253">
        <v>970.83689667383817</v>
      </c>
      <c r="AK25" s="253">
        <v>181.32222300370529</v>
      </c>
      <c r="AL25" s="253">
        <v>1444.5674083073934</v>
      </c>
      <c r="AM25" s="253">
        <v>1746.3330282847087</v>
      </c>
      <c r="AN25" s="253">
        <v>503.97156154314672</v>
      </c>
      <c r="AO25" s="253">
        <v>194.29060363769531</v>
      </c>
      <c r="AP25" s="253">
        <v>429.02416330973307</v>
      </c>
      <c r="AQ25" s="253">
        <v>696.16859060923264</v>
      </c>
    </row>
    <row r="26" spans="1:43">
      <c r="A26" s="232">
        <f t="shared" si="0"/>
        <v>40652</v>
      </c>
      <c r="B26" s="243"/>
      <c r="C26" s="244"/>
      <c r="D26" s="244"/>
      <c r="E26" s="244"/>
      <c r="F26" s="244"/>
      <c r="G26" s="244"/>
      <c r="H26" s="245"/>
      <c r="I26" s="243"/>
      <c r="J26" s="244"/>
      <c r="K26" s="244"/>
      <c r="L26" s="244"/>
      <c r="M26" s="244"/>
      <c r="N26" s="245"/>
      <c r="O26" s="243"/>
      <c r="P26" s="244"/>
      <c r="Q26" s="244"/>
      <c r="R26" s="247"/>
      <c r="S26" s="244"/>
      <c r="T26" s="248"/>
      <c r="U26" s="249"/>
      <c r="V26" s="246"/>
      <c r="W26" s="246"/>
      <c r="X26" s="246"/>
      <c r="Y26" s="250"/>
      <c r="Z26" s="250"/>
      <c r="AA26" s="251"/>
      <c r="AB26" s="252"/>
      <c r="AC26" s="253"/>
      <c r="AD26" s="253"/>
      <c r="AE26" s="252"/>
      <c r="AF26" s="252"/>
      <c r="AG26" s="252"/>
      <c r="AH26" s="253">
        <v>698.5296553293864</v>
      </c>
      <c r="AI26" s="253">
        <v>923.33376274108866</v>
      </c>
      <c r="AJ26" s="253">
        <v>962.387219397227</v>
      </c>
      <c r="AK26" s="253">
        <v>199.87611509164174</v>
      </c>
      <c r="AL26" s="253">
        <v>1462.534886233012</v>
      </c>
      <c r="AM26" s="253">
        <v>1864.2270221710203</v>
      </c>
      <c r="AN26" s="253">
        <v>524.99854850769032</v>
      </c>
      <c r="AO26" s="253">
        <v>194.29060363769531</v>
      </c>
      <c r="AP26" s="253">
        <v>70.222409939765939</v>
      </c>
      <c r="AQ26" s="253">
        <v>658.67195488611867</v>
      </c>
    </row>
    <row r="27" spans="1:43">
      <c r="A27" s="232">
        <f t="shared" si="0"/>
        <v>40653</v>
      </c>
      <c r="B27" s="243"/>
      <c r="C27" s="244"/>
      <c r="D27" s="244"/>
      <c r="E27" s="244"/>
      <c r="F27" s="244"/>
      <c r="G27" s="244"/>
      <c r="H27" s="245"/>
      <c r="I27" s="243"/>
      <c r="J27" s="244"/>
      <c r="K27" s="244"/>
      <c r="L27" s="244"/>
      <c r="M27" s="244"/>
      <c r="N27" s="245"/>
      <c r="O27" s="243"/>
      <c r="P27" s="244"/>
      <c r="Q27" s="244"/>
      <c r="R27" s="247"/>
      <c r="S27" s="244"/>
      <c r="T27" s="248"/>
      <c r="U27" s="249"/>
      <c r="V27" s="246"/>
      <c r="W27" s="246"/>
      <c r="X27" s="246"/>
      <c r="Y27" s="246"/>
      <c r="Z27" s="246"/>
      <c r="AA27" s="256"/>
      <c r="AB27" s="253"/>
      <c r="AC27" s="253"/>
      <c r="AD27" s="253"/>
      <c r="AE27" s="253"/>
      <c r="AF27" s="253"/>
      <c r="AG27" s="253"/>
      <c r="AH27" s="253">
        <v>706.90098177591972</v>
      </c>
      <c r="AI27" s="253">
        <v>938.41064764658609</v>
      </c>
      <c r="AJ27" s="253">
        <v>978.66745713551836</v>
      </c>
      <c r="AK27" s="253">
        <v>216.69506492614744</v>
      </c>
      <c r="AL27" s="253">
        <v>1470.23225256602</v>
      </c>
      <c r="AM27" s="253">
        <v>2069.9464604695636</v>
      </c>
      <c r="AN27" s="253">
        <v>519.98481359481821</v>
      </c>
      <c r="AO27" s="253">
        <v>1343.3468200683594</v>
      </c>
      <c r="AP27" s="253">
        <v>70.523361045122144</v>
      </c>
      <c r="AQ27" s="253">
        <v>642.26911160151155</v>
      </c>
    </row>
    <row r="28" spans="1:43">
      <c r="A28" s="232">
        <f t="shared" si="0"/>
        <v>40654</v>
      </c>
      <c r="B28" s="243"/>
      <c r="C28" s="244"/>
      <c r="D28" s="244"/>
      <c r="E28" s="244"/>
      <c r="F28" s="244"/>
      <c r="G28" s="244"/>
      <c r="H28" s="245"/>
      <c r="I28" s="243"/>
      <c r="J28" s="244"/>
      <c r="K28" s="244"/>
      <c r="L28" s="244"/>
      <c r="M28" s="244"/>
      <c r="N28" s="245"/>
      <c r="O28" s="243"/>
      <c r="P28" s="244"/>
      <c r="Q28" s="244"/>
      <c r="R28" s="247"/>
      <c r="S28" s="244"/>
      <c r="T28" s="248"/>
      <c r="U28" s="249"/>
      <c r="V28" s="246"/>
      <c r="W28" s="246"/>
      <c r="X28" s="246"/>
      <c r="Y28" s="250"/>
      <c r="Z28" s="250"/>
      <c r="AA28" s="251"/>
      <c r="AB28" s="252"/>
      <c r="AC28" s="253"/>
      <c r="AD28" s="253"/>
      <c r="AE28" s="252"/>
      <c r="AF28" s="252"/>
      <c r="AG28" s="252"/>
      <c r="AH28" s="253">
        <v>478.66776631673173</v>
      </c>
      <c r="AI28" s="253">
        <v>700.5354366302488</v>
      </c>
      <c r="AJ28" s="253">
        <v>992.62634099324532</v>
      </c>
      <c r="AK28" s="253">
        <v>205.91436456839244</v>
      </c>
      <c r="AL28" s="253">
        <v>1435.9987731933595</v>
      </c>
      <c r="AM28" s="253">
        <v>1992.8463947296141</v>
      </c>
      <c r="AN28" s="253">
        <v>509.11708930333452</v>
      </c>
      <c r="AO28" s="253">
        <v>297.87448163032531</v>
      </c>
      <c r="AP28" s="253">
        <v>94.280034635464361</v>
      </c>
      <c r="AQ28" s="253">
        <v>668.83722922007235</v>
      </c>
    </row>
    <row r="29" spans="1:43">
      <c r="A29" s="232">
        <f t="shared" si="0"/>
        <v>40655</v>
      </c>
      <c r="B29" s="243"/>
      <c r="C29" s="244"/>
      <c r="D29" s="244"/>
      <c r="E29" s="244"/>
      <c r="F29" s="244"/>
      <c r="G29" s="244"/>
      <c r="H29" s="245"/>
      <c r="I29" s="243"/>
      <c r="J29" s="244"/>
      <c r="K29" s="244"/>
      <c r="L29" s="244"/>
      <c r="M29" s="244"/>
      <c r="N29" s="245"/>
      <c r="O29" s="243"/>
      <c r="P29" s="244"/>
      <c r="Q29" s="244"/>
      <c r="R29" s="247"/>
      <c r="S29" s="244"/>
      <c r="T29" s="248"/>
      <c r="U29" s="249"/>
      <c r="V29" s="246"/>
      <c r="W29" s="246"/>
      <c r="X29" s="246"/>
      <c r="Y29" s="250"/>
      <c r="Z29" s="250"/>
      <c r="AA29" s="251"/>
      <c r="AB29" s="252"/>
      <c r="AC29" s="253"/>
      <c r="AD29" s="253"/>
      <c r="AE29" s="252"/>
      <c r="AF29" s="252"/>
      <c r="AG29" s="252"/>
      <c r="AH29" s="253">
        <v>234.01806997458141</v>
      </c>
      <c r="AI29" s="253">
        <v>443.30951259930936</v>
      </c>
      <c r="AJ29" s="253">
        <v>965.23186963399246</v>
      </c>
      <c r="AK29" s="253">
        <v>196.5385838270187</v>
      </c>
      <c r="AL29" s="253">
        <v>1434.7809553782142</v>
      </c>
      <c r="AM29" s="253">
        <v>1827.6680696487431</v>
      </c>
      <c r="AN29" s="253">
        <v>505.83855543136593</v>
      </c>
      <c r="AO29" s="253">
        <v>272.25598465601604</v>
      </c>
      <c r="AP29" s="253">
        <v>64.331786439816156</v>
      </c>
      <c r="AQ29" s="253">
        <v>704.95251493453998</v>
      </c>
    </row>
    <row r="30" spans="1:43">
      <c r="A30" s="232">
        <f t="shared" si="0"/>
        <v>40656</v>
      </c>
      <c r="B30" s="243"/>
      <c r="C30" s="244"/>
      <c r="D30" s="244"/>
      <c r="E30" s="244"/>
      <c r="F30" s="244"/>
      <c r="G30" s="244"/>
      <c r="H30" s="245"/>
      <c r="I30" s="243"/>
      <c r="J30" s="244"/>
      <c r="K30" s="244"/>
      <c r="L30" s="244"/>
      <c r="M30" s="244"/>
      <c r="N30" s="245"/>
      <c r="O30" s="243"/>
      <c r="P30" s="244"/>
      <c r="Q30" s="244"/>
      <c r="R30" s="247"/>
      <c r="S30" s="244"/>
      <c r="T30" s="248"/>
      <c r="U30" s="249"/>
      <c r="V30" s="246"/>
      <c r="W30" s="246"/>
      <c r="X30" s="246"/>
      <c r="Y30" s="250"/>
      <c r="Z30" s="250"/>
      <c r="AA30" s="251"/>
      <c r="AB30" s="252"/>
      <c r="AC30" s="253"/>
      <c r="AD30" s="253"/>
      <c r="AE30" s="252"/>
      <c r="AF30" s="252"/>
      <c r="AG30" s="252"/>
      <c r="AH30" s="253">
        <v>225.38231709003449</v>
      </c>
      <c r="AI30" s="253">
        <v>454.38077529271436</v>
      </c>
      <c r="AJ30" s="253">
        <v>996.381249745687</v>
      </c>
      <c r="AK30" s="253">
        <v>215.69252981344857</v>
      </c>
      <c r="AL30" s="253">
        <v>1475.5354143778482</v>
      </c>
      <c r="AM30" s="253">
        <v>1785.0522061665849</v>
      </c>
      <c r="AN30" s="253">
        <v>518.50130389531444</v>
      </c>
      <c r="AO30" s="253">
        <v>232.50775577227273</v>
      </c>
      <c r="AP30" s="253">
        <v>72.664776851733521</v>
      </c>
      <c r="AQ30" s="253">
        <v>571.17787774403871</v>
      </c>
    </row>
    <row r="31" spans="1:43">
      <c r="A31" s="232">
        <f t="shared" si="0"/>
        <v>40657</v>
      </c>
      <c r="B31" s="243"/>
      <c r="C31" s="244"/>
      <c r="D31" s="244"/>
      <c r="E31" s="244"/>
      <c r="F31" s="244"/>
      <c r="G31" s="244"/>
      <c r="H31" s="245"/>
      <c r="I31" s="243"/>
      <c r="J31" s="244"/>
      <c r="K31" s="244"/>
      <c r="L31" s="244"/>
      <c r="M31" s="244"/>
      <c r="N31" s="245"/>
      <c r="O31" s="243"/>
      <c r="P31" s="244"/>
      <c r="Q31" s="244"/>
      <c r="R31" s="247"/>
      <c r="S31" s="244"/>
      <c r="T31" s="248"/>
      <c r="U31" s="249"/>
      <c r="V31" s="246"/>
      <c r="W31" s="246"/>
      <c r="X31" s="246"/>
      <c r="Y31" s="250"/>
      <c r="Z31" s="250"/>
      <c r="AA31" s="251"/>
      <c r="AB31" s="252"/>
      <c r="AC31" s="253"/>
      <c r="AD31" s="253"/>
      <c r="AE31" s="252"/>
      <c r="AF31" s="252"/>
      <c r="AG31" s="252"/>
      <c r="AH31" s="253">
        <v>228.827484814326</v>
      </c>
      <c r="AI31" s="253">
        <v>456.75731738408393</v>
      </c>
      <c r="AJ31" s="253">
        <v>1005.8767159144085</v>
      </c>
      <c r="AK31" s="253">
        <v>220.08542610009513</v>
      </c>
      <c r="AL31" s="253">
        <v>1497.8514985402426</v>
      </c>
      <c r="AM31" s="253">
        <v>1780.7583358764648</v>
      </c>
      <c r="AN31" s="253">
        <v>483.0246266523996</v>
      </c>
      <c r="AO31" s="253">
        <v>344.6424023310343</v>
      </c>
      <c r="AP31" s="253">
        <v>76.951290116707483</v>
      </c>
      <c r="AQ31" s="253">
        <v>568.85654373168938</v>
      </c>
    </row>
    <row r="32" spans="1:43">
      <c r="A32" s="232">
        <f t="shared" si="0"/>
        <v>40658</v>
      </c>
      <c r="B32" s="243"/>
      <c r="C32" s="244"/>
      <c r="D32" s="244"/>
      <c r="E32" s="244"/>
      <c r="F32" s="244"/>
      <c r="G32" s="244"/>
      <c r="H32" s="245"/>
      <c r="I32" s="243"/>
      <c r="J32" s="244"/>
      <c r="K32" s="244"/>
      <c r="L32" s="244"/>
      <c r="M32" s="244"/>
      <c r="N32" s="245"/>
      <c r="O32" s="243"/>
      <c r="P32" s="244"/>
      <c r="Q32" s="244"/>
      <c r="R32" s="247"/>
      <c r="S32" s="244"/>
      <c r="T32" s="248"/>
      <c r="U32" s="249"/>
      <c r="V32" s="246"/>
      <c r="W32" s="246"/>
      <c r="X32" s="246"/>
      <c r="Y32" s="250"/>
      <c r="Z32" s="250"/>
      <c r="AA32" s="251"/>
      <c r="AB32" s="252"/>
      <c r="AC32" s="253"/>
      <c r="AD32" s="253"/>
      <c r="AE32" s="252"/>
      <c r="AF32" s="252"/>
      <c r="AG32" s="252"/>
      <c r="AH32" s="253">
        <v>586.60342578887946</v>
      </c>
      <c r="AI32" s="253">
        <v>806.97024099032092</v>
      </c>
      <c r="AJ32" s="253">
        <v>999.77975088755306</v>
      </c>
      <c r="AK32" s="253">
        <v>216.93899358113609</v>
      </c>
      <c r="AL32" s="253">
        <v>1493.1719734827675</v>
      </c>
      <c r="AM32" s="253">
        <v>1799.7821086883546</v>
      </c>
      <c r="AN32" s="253">
        <v>496.03767895698542</v>
      </c>
      <c r="AO32" s="253">
        <v>286.41167338689172</v>
      </c>
      <c r="AP32" s="253">
        <v>87.788582332928982</v>
      </c>
      <c r="AQ32" s="253">
        <v>618.18663129806521</v>
      </c>
    </row>
    <row r="33" spans="1:43">
      <c r="A33" s="232">
        <f t="shared" si="0"/>
        <v>40659</v>
      </c>
      <c r="B33" s="243"/>
      <c r="C33" s="244"/>
      <c r="D33" s="244"/>
      <c r="E33" s="244"/>
      <c r="F33" s="244"/>
      <c r="G33" s="244"/>
      <c r="H33" s="245"/>
      <c r="I33" s="243"/>
      <c r="J33" s="244"/>
      <c r="K33" s="244"/>
      <c r="L33" s="244"/>
      <c r="M33" s="244"/>
      <c r="N33" s="245"/>
      <c r="O33" s="243"/>
      <c r="P33" s="244"/>
      <c r="Q33" s="244"/>
      <c r="R33" s="247"/>
      <c r="S33" s="244"/>
      <c r="T33" s="248"/>
      <c r="U33" s="249"/>
      <c r="V33" s="246"/>
      <c r="W33" s="246"/>
      <c r="X33" s="246"/>
      <c r="Y33" s="250"/>
      <c r="Z33" s="250"/>
      <c r="AA33" s="251"/>
      <c r="AB33" s="252"/>
      <c r="AC33" s="253"/>
      <c r="AD33" s="253"/>
      <c r="AE33" s="252"/>
      <c r="AF33" s="252"/>
      <c r="AG33" s="252"/>
      <c r="AH33" s="253">
        <v>744.67976700464874</v>
      </c>
      <c r="AI33" s="253">
        <v>966.2346783955893</v>
      </c>
      <c r="AJ33" s="253">
        <v>995.56193682352716</v>
      </c>
      <c r="AK33" s="253">
        <v>218.7245807727177</v>
      </c>
      <c r="AL33" s="253">
        <v>1473.9388512929274</v>
      </c>
      <c r="AM33" s="253">
        <v>1855.6968986511229</v>
      </c>
      <c r="AN33" s="253">
        <v>491.05358324050906</v>
      </c>
      <c r="AO33" s="253">
        <v>277.07247161865234</v>
      </c>
      <c r="AP33" s="253">
        <v>96.620706641674019</v>
      </c>
      <c r="AQ33" s="253">
        <v>632.62968215942396</v>
      </c>
    </row>
    <row r="34" spans="1:43">
      <c r="A34" s="232">
        <f t="shared" si="0"/>
        <v>40660</v>
      </c>
      <c r="B34" s="243"/>
      <c r="C34" s="244"/>
      <c r="D34" s="244"/>
      <c r="E34" s="244"/>
      <c r="F34" s="244"/>
      <c r="G34" s="244"/>
      <c r="H34" s="245"/>
      <c r="I34" s="243"/>
      <c r="J34" s="244"/>
      <c r="K34" s="244"/>
      <c r="L34" s="244"/>
      <c r="M34" s="244"/>
      <c r="N34" s="245"/>
      <c r="O34" s="243"/>
      <c r="P34" s="244"/>
      <c r="Q34" s="244"/>
      <c r="R34" s="247"/>
      <c r="S34" s="244"/>
      <c r="T34" s="248"/>
      <c r="U34" s="249"/>
      <c r="V34" s="246"/>
      <c r="W34" s="246"/>
      <c r="X34" s="246"/>
      <c r="Y34" s="250"/>
      <c r="Z34" s="250"/>
      <c r="AA34" s="251"/>
      <c r="AB34" s="252"/>
      <c r="AC34" s="253"/>
      <c r="AD34" s="253"/>
      <c r="AE34" s="252"/>
      <c r="AF34" s="252"/>
      <c r="AG34" s="252"/>
      <c r="AH34" s="253">
        <v>748.90726022720344</v>
      </c>
      <c r="AI34" s="253">
        <v>979.62045059204104</v>
      </c>
      <c r="AJ34" s="253">
        <v>999.08944161732995</v>
      </c>
      <c r="AK34" s="253">
        <v>230.07140627702077</v>
      </c>
      <c r="AL34" s="253">
        <v>1505.3665457407635</v>
      </c>
      <c r="AM34" s="253">
        <v>1847.4980678558352</v>
      </c>
      <c r="AN34" s="253">
        <v>503.00659116109216</v>
      </c>
      <c r="AO34" s="253">
        <v>277.07247161865234</v>
      </c>
      <c r="AP34" s="253">
        <v>107.26898194154104</v>
      </c>
      <c r="AQ34" s="253">
        <v>611.10531651178997</v>
      </c>
    </row>
    <row r="35" spans="1:43">
      <c r="A35" s="232">
        <f t="shared" si="0"/>
        <v>40661</v>
      </c>
      <c r="B35" s="243"/>
      <c r="C35" s="244"/>
      <c r="D35" s="244"/>
      <c r="E35" s="244"/>
      <c r="F35" s="244"/>
      <c r="G35" s="244"/>
      <c r="H35" s="245"/>
      <c r="I35" s="243"/>
      <c r="J35" s="244"/>
      <c r="K35" s="244"/>
      <c r="L35" s="244"/>
      <c r="M35" s="244"/>
      <c r="N35" s="245"/>
      <c r="O35" s="243"/>
      <c r="P35" s="244"/>
      <c r="Q35" s="244"/>
      <c r="R35" s="247"/>
      <c r="S35" s="244"/>
      <c r="T35" s="248"/>
      <c r="U35" s="249"/>
      <c r="V35" s="246"/>
      <c r="W35" s="246"/>
      <c r="X35" s="246"/>
      <c r="Y35" s="250"/>
      <c r="Z35" s="250"/>
      <c r="AA35" s="251"/>
      <c r="AB35" s="252"/>
      <c r="AC35" s="253"/>
      <c r="AD35" s="253"/>
      <c r="AE35" s="252"/>
      <c r="AF35" s="252"/>
      <c r="AG35" s="252"/>
      <c r="AH35" s="253">
        <v>750.03801304499302</v>
      </c>
      <c r="AI35" s="253">
        <v>973.82899456024177</v>
      </c>
      <c r="AJ35" s="253">
        <v>1044.6267595291138</v>
      </c>
      <c r="AK35" s="253">
        <v>227.12382794221244</v>
      </c>
      <c r="AL35" s="253">
        <v>1384.446605237325</v>
      </c>
      <c r="AM35" s="253">
        <v>1842.7496622085571</v>
      </c>
      <c r="AN35" s="253">
        <v>525.25688033103938</v>
      </c>
      <c r="AO35" s="253">
        <v>315.21770110130308</v>
      </c>
      <c r="AP35" s="253">
        <v>370.72332425117492</v>
      </c>
      <c r="AQ35" s="253">
        <v>768.95465555191038</v>
      </c>
    </row>
    <row r="36" spans="1:43">
      <c r="A36" s="232">
        <f t="shared" si="0"/>
        <v>40662</v>
      </c>
      <c r="B36" s="243"/>
      <c r="C36" s="244"/>
      <c r="D36" s="244"/>
      <c r="E36" s="244"/>
      <c r="F36" s="244"/>
      <c r="G36" s="244"/>
      <c r="H36" s="245"/>
      <c r="I36" s="243"/>
      <c r="J36" s="244"/>
      <c r="K36" s="244"/>
      <c r="L36" s="244"/>
      <c r="M36" s="244"/>
      <c r="N36" s="245"/>
      <c r="O36" s="243"/>
      <c r="P36" s="244"/>
      <c r="Q36" s="244"/>
      <c r="R36" s="247"/>
      <c r="S36" s="244"/>
      <c r="T36" s="248"/>
      <c r="U36" s="249"/>
      <c r="V36" s="246"/>
      <c r="W36" s="246"/>
      <c r="X36" s="246"/>
      <c r="Y36" s="250"/>
      <c r="Z36" s="250"/>
      <c r="AA36" s="251"/>
      <c r="AB36" s="252"/>
      <c r="AC36" s="253"/>
      <c r="AD36" s="253"/>
      <c r="AE36" s="252"/>
      <c r="AF36" s="252"/>
      <c r="AG36" s="252"/>
      <c r="AH36" s="253">
        <v>649.31060327688863</v>
      </c>
      <c r="AI36" s="253">
        <v>859.24348870913195</v>
      </c>
      <c r="AJ36" s="253">
        <v>1006.2179899851483</v>
      </c>
      <c r="AK36" s="253">
        <v>201.95502645174659</v>
      </c>
      <c r="AL36" s="253">
        <v>1402.8505551020305</v>
      </c>
      <c r="AM36" s="253">
        <v>1746.0254051208494</v>
      </c>
      <c r="AN36" s="253">
        <v>508.19546200434365</v>
      </c>
      <c r="AO36" s="253">
        <v>297.23939571380618</v>
      </c>
      <c r="AP36" s="253">
        <v>110.59746564626694</v>
      </c>
      <c r="AQ36" s="253">
        <v>725.81317475636808</v>
      </c>
    </row>
    <row r="37" spans="1:43">
      <c r="A37" s="232">
        <f t="shared" si="0"/>
        <v>40663</v>
      </c>
      <c r="B37" s="243"/>
      <c r="C37" s="244"/>
      <c r="D37" s="244"/>
      <c r="E37" s="244"/>
      <c r="F37" s="244"/>
      <c r="G37" s="244"/>
      <c r="H37" s="245"/>
      <c r="I37" s="243"/>
      <c r="J37" s="244"/>
      <c r="K37" s="244"/>
      <c r="L37" s="244"/>
      <c r="M37" s="244"/>
      <c r="N37" s="245"/>
      <c r="O37" s="243"/>
      <c r="P37" s="244"/>
      <c r="Q37" s="244"/>
      <c r="R37" s="247"/>
      <c r="S37" s="244"/>
      <c r="T37" s="248"/>
      <c r="U37" s="249"/>
      <c r="V37" s="246"/>
      <c r="W37" s="246"/>
      <c r="X37" s="246"/>
      <c r="Y37" s="250"/>
      <c r="Z37" s="250"/>
      <c r="AA37" s="251"/>
      <c r="AB37" s="252"/>
      <c r="AC37" s="253"/>
      <c r="AD37" s="253"/>
      <c r="AE37" s="252"/>
      <c r="AF37" s="252"/>
      <c r="AG37" s="252"/>
      <c r="AH37" s="253">
        <v>408.15148486296334</v>
      </c>
      <c r="AI37" s="253">
        <v>640.70828313827519</v>
      </c>
      <c r="AJ37" s="253">
        <v>1034.5037627538045</v>
      </c>
      <c r="AK37" s="253">
        <v>243.98445418675746</v>
      </c>
      <c r="AL37" s="253">
        <v>1559.1224231084184</v>
      </c>
      <c r="AM37" s="253">
        <v>1781.7488955179851</v>
      </c>
      <c r="AN37" s="253">
        <v>489.9974216620127</v>
      </c>
      <c r="AO37" s="253">
        <v>320.50680958429973</v>
      </c>
      <c r="AP37" s="253">
        <v>83.531998685995731</v>
      </c>
      <c r="AQ37" s="253">
        <v>571.86357053120923</v>
      </c>
    </row>
    <row r="38" spans="1:43" ht="15.75" thickBot="1">
      <c r="A38" s="232"/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0</v>
      </c>
      <c r="D39" s="272">
        <f t="shared" si="1"/>
        <v>0</v>
      </c>
      <c r="E39" s="272">
        <f t="shared" si="1"/>
        <v>0</v>
      </c>
      <c r="F39" s="272">
        <f t="shared" si="1"/>
        <v>0</v>
      </c>
      <c r="G39" s="272">
        <f t="shared" si="1"/>
        <v>0</v>
      </c>
      <c r="H39" s="273">
        <f t="shared" si="1"/>
        <v>0</v>
      </c>
      <c r="I39" s="271">
        <f t="shared" si="1"/>
        <v>0</v>
      </c>
      <c r="J39" s="272">
        <f t="shared" si="1"/>
        <v>0</v>
      </c>
      <c r="K39" s="272">
        <f t="shared" si="1"/>
        <v>0</v>
      </c>
      <c r="L39" s="272">
        <f t="shared" si="1"/>
        <v>0</v>
      </c>
      <c r="M39" s="272">
        <f t="shared" si="1"/>
        <v>0</v>
      </c>
      <c r="N39" s="273">
        <f t="shared" si="1"/>
        <v>0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0</v>
      </c>
      <c r="V39" s="275">
        <f t="shared" si="1"/>
        <v>0</v>
      </c>
      <c r="W39" s="275">
        <f t="shared" si="1"/>
        <v>0</v>
      </c>
      <c r="X39" s="275">
        <f t="shared" si="1"/>
        <v>0</v>
      </c>
      <c r="Y39" s="275">
        <f t="shared" si="1"/>
        <v>0</v>
      </c>
      <c r="Z39" s="275">
        <f t="shared" si="1"/>
        <v>0</v>
      </c>
      <c r="AA39" s="277">
        <f t="shared" si="1"/>
        <v>0</v>
      </c>
      <c r="AB39" s="278">
        <f t="shared" si="1"/>
        <v>0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13642.479250184693</v>
      </c>
      <c r="AI39" s="278">
        <f t="shared" si="2"/>
        <v>20091.548195791245</v>
      </c>
      <c r="AJ39" s="278">
        <f t="shared" si="2"/>
        <v>31620.661164792375</v>
      </c>
      <c r="AK39" s="278">
        <f t="shared" si="2"/>
        <v>6299.349464050928</v>
      </c>
      <c r="AL39" s="278">
        <f t="shared" si="2"/>
        <v>43443.772107442215</v>
      </c>
      <c r="AM39" s="278">
        <f t="shared" si="2"/>
        <v>53756.236565272004</v>
      </c>
      <c r="AN39" s="278">
        <f t="shared" si="2"/>
        <v>14750.238672526675</v>
      </c>
      <c r="AO39" s="278">
        <f t="shared" si="2"/>
        <v>9264.6309938589711</v>
      </c>
      <c r="AP39" s="278">
        <f t="shared" si="2"/>
        <v>3283.5663260022802</v>
      </c>
      <c r="AQ39" s="278">
        <f t="shared" si="2"/>
        <v>20041.376890341438</v>
      </c>
    </row>
    <row r="40" spans="1:43" ht="15.75" thickBot="1">
      <c r="A40" s="280" t="s">
        <v>182</v>
      </c>
      <c r="B40" s="281">
        <f>Projection!$AB$30</f>
        <v>0.91139353199999984</v>
      </c>
      <c r="C40" s="282">
        <f>Projection!$AB$28</f>
        <v>1.3599037199999999</v>
      </c>
      <c r="D40" s="282">
        <f>Projection!$AB$31</f>
        <v>2.0549759999999999</v>
      </c>
      <c r="E40" s="282">
        <f>Projection!$AB$26</f>
        <v>3.1224959999999999</v>
      </c>
      <c r="F40" s="282">
        <f>Projection!$AB$23</f>
        <v>5.8379999999999994E-2</v>
      </c>
      <c r="G40" s="282">
        <f>Projection!$AB$24</f>
        <v>4.9500000000000002E-2</v>
      </c>
      <c r="H40" s="283">
        <f>Projection!$AB$29</f>
        <v>3.6371774160000006</v>
      </c>
      <c r="I40" s="281">
        <f>Projection!$AB$30</f>
        <v>0.91139353199999984</v>
      </c>
      <c r="J40" s="282">
        <f>Projection!$AB$28</f>
        <v>1.3599037199999999</v>
      </c>
      <c r="K40" s="282">
        <f>Projection!$AB$26</f>
        <v>3.1224959999999999</v>
      </c>
      <c r="L40" s="282">
        <f>Projection!$AB$25</f>
        <v>0.37613399999999997</v>
      </c>
      <c r="M40" s="282">
        <f>Projection!$AB$23</f>
        <v>5.8379999999999994E-2</v>
      </c>
      <c r="N40" s="283">
        <f>Projection!$AB$23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Projection!$AB$28</f>
        <v>1.3599037199999999</v>
      </c>
      <c r="T40" s="346">
        <f>Projection!$AB$28</f>
        <v>1.3599037199999999</v>
      </c>
      <c r="U40" s="344">
        <f>Projection!$AB$27</f>
        <v>0.28249999999999997</v>
      </c>
      <c r="V40" s="345">
        <f>Projection!$AB$27</f>
        <v>0.28249999999999997</v>
      </c>
      <c r="W40" s="345">
        <f>Projection!$AB$22</f>
        <v>1.02</v>
      </c>
      <c r="X40" s="345">
        <f>Projection!$AB$22</f>
        <v>1.02</v>
      </c>
      <c r="Y40" s="345">
        <f>Projection!$AB$31</f>
        <v>2.0549759999999999</v>
      </c>
      <c r="Z40" s="345">
        <f>Projection!$AB$31</f>
        <v>2.0549759999999999</v>
      </c>
      <c r="AA40" s="347">
        <v>0</v>
      </c>
      <c r="AB40" s="348">
        <f>Projection!$AB$27</f>
        <v>0.28249999999999997</v>
      </c>
      <c r="AC40" s="348">
        <f>Projection!$AB$30</f>
        <v>0.91139353199999984</v>
      </c>
      <c r="AD40" s="289">
        <f>SUM(AD8:AD38)</f>
        <v>0</v>
      </c>
      <c r="AE40" s="289">
        <f>SUM(AE8:AE38)</f>
        <v>0</v>
      </c>
      <c r="AF40" s="289">
        <f>SUM(AF8:AF38)</f>
        <v>0</v>
      </c>
      <c r="AG40" s="289">
        <v>0.5</v>
      </c>
      <c r="AH40" s="290">
        <v>8.1000000000000003E-2</v>
      </c>
      <c r="AI40" s="290">
        <f t="shared" ref="AI40:AQ40" si="3">$AH$40</f>
        <v>8.1000000000000003E-2</v>
      </c>
      <c r="AJ40" s="290">
        <f t="shared" si="3"/>
        <v>8.1000000000000003E-2</v>
      </c>
      <c r="AK40" s="290">
        <f t="shared" si="3"/>
        <v>8.1000000000000003E-2</v>
      </c>
      <c r="AL40" s="290">
        <f t="shared" si="3"/>
        <v>8.1000000000000003E-2</v>
      </c>
      <c r="AM40" s="290">
        <f t="shared" si="3"/>
        <v>8.1000000000000003E-2</v>
      </c>
      <c r="AN40" s="290">
        <f t="shared" si="3"/>
        <v>8.1000000000000003E-2</v>
      </c>
      <c r="AO40" s="290">
        <f t="shared" si="3"/>
        <v>8.1000000000000003E-2</v>
      </c>
      <c r="AP40" s="290">
        <f t="shared" si="3"/>
        <v>8.1000000000000003E-2</v>
      </c>
      <c r="AQ40" s="290">
        <f t="shared" si="3"/>
        <v>8.1000000000000003E-2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0</v>
      </c>
      <c r="D41" s="293">
        <f t="shared" si="4"/>
        <v>0</v>
      </c>
      <c r="E41" s="293">
        <f t="shared" si="4"/>
        <v>0</v>
      </c>
      <c r="F41" s="293">
        <f t="shared" si="4"/>
        <v>0</v>
      </c>
      <c r="G41" s="293">
        <f t="shared" si="4"/>
        <v>0</v>
      </c>
      <c r="H41" s="294">
        <f t="shared" si="4"/>
        <v>0</v>
      </c>
      <c r="I41" s="292">
        <f t="shared" si="4"/>
        <v>0</v>
      </c>
      <c r="J41" s="293">
        <f t="shared" si="4"/>
        <v>0</v>
      </c>
      <c r="K41" s="293">
        <f t="shared" si="4"/>
        <v>0</v>
      </c>
      <c r="L41" s="293">
        <f t="shared" si="4"/>
        <v>0</v>
      </c>
      <c r="M41" s="293">
        <f t="shared" si="4"/>
        <v>0</v>
      </c>
      <c r="N41" s="294">
        <f t="shared" si="4"/>
        <v>0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0</v>
      </c>
      <c r="V41" s="296">
        <f t="shared" si="4"/>
        <v>0</v>
      </c>
      <c r="W41" s="296">
        <f t="shared" si="4"/>
        <v>0</v>
      </c>
      <c r="X41" s="296">
        <f t="shared" si="4"/>
        <v>0</v>
      </c>
      <c r="Y41" s="296">
        <f t="shared" si="4"/>
        <v>0</v>
      </c>
      <c r="Z41" s="296">
        <f t="shared" si="4"/>
        <v>0</v>
      </c>
      <c r="AA41" s="298">
        <f t="shared" si="4"/>
        <v>0</v>
      </c>
      <c r="AB41" s="299">
        <f t="shared" si="4"/>
        <v>0</v>
      </c>
      <c r="AC41" s="299">
        <f t="shared" si="4"/>
        <v>0</v>
      </c>
      <c r="AH41" s="300">
        <f t="shared" ref="AH41:AQ41" si="5">AH40*AH39</f>
        <v>1105.0408192649602</v>
      </c>
      <c r="AI41" s="300">
        <f t="shared" si="5"/>
        <v>1627.4154038590909</v>
      </c>
      <c r="AJ41" s="300">
        <f t="shared" si="5"/>
        <v>2561.2735543481826</v>
      </c>
      <c r="AK41" s="300">
        <f t="shared" si="5"/>
        <v>510.24730658812518</v>
      </c>
      <c r="AL41" s="300">
        <f t="shared" si="5"/>
        <v>3518.9455407028195</v>
      </c>
      <c r="AM41" s="300">
        <f t="shared" si="5"/>
        <v>4354.2551617870322</v>
      </c>
      <c r="AN41" s="300">
        <f t="shared" si="5"/>
        <v>1194.7693324746608</v>
      </c>
      <c r="AO41" s="300">
        <f t="shared" si="5"/>
        <v>750.43511050257666</v>
      </c>
      <c r="AP41" s="300">
        <f t="shared" si="5"/>
        <v>265.96887240618469</v>
      </c>
      <c r="AQ41" s="300">
        <f t="shared" si="5"/>
        <v>1623.3515281176565</v>
      </c>
    </row>
    <row r="42" spans="1:43" ht="49.5" customHeight="1" thickTop="1" thickBot="1">
      <c r="A42" s="544" t="s">
        <v>55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1424.02</v>
      </c>
      <c r="AI42" s="300" t="s">
        <v>207</v>
      </c>
      <c r="AJ42" s="300">
        <v>8642.66</v>
      </c>
      <c r="AK42" s="300">
        <v>879.37</v>
      </c>
      <c r="AL42" s="300">
        <v>2155.86</v>
      </c>
      <c r="AM42" s="300">
        <v>14519.69</v>
      </c>
      <c r="AN42" s="300">
        <v>1814.47</v>
      </c>
      <c r="AO42" s="300" t="s">
        <v>207</v>
      </c>
      <c r="AP42" s="300">
        <v>175.47</v>
      </c>
      <c r="AQ42" s="300">
        <v>538.80999999999995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0</v>
      </c>
      <c r="C44" s="309"/>
      <c r="D44" s="307" t="s">
        <v>143</v>
      </c>
      <c r="E44" s="308">
        <f>SUM(B41:H41)+P41+R41+T41+V41+X41+Z41</f>
        <v>0</v>
      </c>
      <c r="F44" s="309"/>
      <c r="G44" s="307" t="s">
        <v>143</v>
      </c>
      <c r="H44" s="308">
        <f>SUM(I41:N41)+O41+Q41+S41+U41+W41+Y41</f>
        <v>0</v>
      </c>
      <c r="I44" s="309"/>
      <c r="J44" s="307" t="s">
        <v>208</v>
      </c>
      <c r="K44" s="308">
        <v>108469.62000000002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17511.702630051288</v>
      </c>
      <c r="C45" s="309"/>
      <c r="D45" s="314" t="s">
        <v>193</v>
      </c>
      <c r="E45" s="315">
        <f>AH41*(1-$AG$40)+AI41+AJ41*0.5+AL41+AM41*(1-$AG$40)+AN41*(1-$AG$40)+AO41*(1-$AG$40)+AP41*0.5+AQ41*0.5</f>
        <v>11073.908134012538</v>
      </c>
      <c r="F45" s="316"/>
      <c r="G45" s="314" t="s">
        <v>193</v>
      </c>
      <c r="H45" s="315">
        <f>AH41*AG40+AJ41*0.5+AK41+AM41*AG40+AN41*AG40+AO41*AG40+AP41*0.5+AQ41*0.5</f>
        <v>6437.7944960387522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0</v>
      </c>
      <c r="U45" s="321">
        <f>(T45*8.34*0.895)/27000</f>
        <v>0</v>
      </c>
    </row>
    <row r="46" spans="1:43" ht="32.25" thickBot="1">
      <c r="A46" s="322" t="s">
        <v>194</v>
      </c>
      <c r="B46" s="323">
        <f>SUM(AH42:AQ42)</f>
        <v>30150.350000000006</v>
      </c>
      <c r="C46" s="309"/>
      <c r="D46" s="322" t="s">
        <v>194</v>
      </c>
      <c r="E46" s="323">
        <f>AH42*(1-$AG$40)+AJ42*0.5+AL42+AM42*(1-$AG$40)+AN42*(1-$AG$40)+AP42*0.5+AQ42*0.5</f>
        <v>15713.420000000004</v>
      </c>
      <c r="F46" s="324"/>
      <c r="G46" s="322" t="s">
        <v>194</v>
      </c>
      <c r="H46" s="323">
        <f>AH42*AG40+AJ42*0.5+AK42+AM42*AG40+AN42*AG40+AP42*0.5+AQ42*0.5</f>
        <v>14436.930000000002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0</v>
      </c>
      <c r="U46" s="325">
        <f>(((T46*8.34)*0.005)/(8.34*1.055))/400</f>
        <v>0</v>
      </c>
    </row>
    <row r="47" spans="1:43" ht="24.75" thickTop="1" thickBot="1">
      <c r="A47" s="322" t="s">
        <v>195</v>
      </c>
      <c r="B47" s="323">
        <f>K44</f>
        <v>108469.62000000002</v>
      </c>
      <c r="C47" s="309"/>
      <c r="D47" s="322" t="s">
        <v>197</v>
      </c>
      <c r="E47" s="323">
        <f>K44*0.5</f>
        <v>54234.810000000012</v>
      </c>
      <c r="F47" s="316"/>
      <c r="G47" s="322" t="s">
        <v>195</v>
      </c>
      <c r="H47" s="323">
        <f>K44*0.5</f>
        <v>54234.810000000012</v>
      </c>
      <c r="I47" s="309"/>
      <c r="J47" s="307" t="s">
        <v>208</v>
      </c>
      <c r="K47" s="308">
        <v>63879.060000000012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0</v>
      </c>
      <c r="U47" s="321">
        <f>T47/40000</f>
        <v>0</v>
      </c>
    </row>
    <row r="48" spans="1:43" ht="24" thickBot="1">
      <c r="A48" s="322" t="s">
        <v>196</v>
      </c>
      <c r="B48" s="323">
        <f>K47</f>
        <v>63879.060000000012</v>
      </c>
      <c r="C48" s="309"/>
      <c r="D48" s="322" t="s">
        <v>196</v>
      </c>
      <c r="E48" s="323">
        <f>K47*0.5</f>
        <v>31939.530000000006</v>
      </c>
      <c r="F48" s="324"/>
      <c r="G48" s="322" t="s">
        <v>196</v>
      </c>
      <c r="H48" s="323">
        <f>K47*0.5</f>
        <v>31939.530000000006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0</v>
      </c>
      <c r="C49" s="309"/>
      <c r="D49" s="327" t="s">
        <v>205</v>
      </c>
      <c r="E49" s="328">
        <f>AF40</f>
        <v>0</v>
      </c>
      <c r="F49" s="324"/>
      <c r="G49" s="327" t="s">
        <v>206</v>
      </c>
      <c r="H49" s="328">
        <f>AE40</f>
        <v>0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0</v>
      </c>
      <c r="U49" s="321">
        <f>(T49*8.34*1.04)/45000</f>
        <v>0</v>
      </c>
    </row>
    <row r="50" spans="1:25" ht="48" thickTop="1" thickBot="1">
      <c r="A50" s="327" t="s">
        <v>200</v>
      </c>
      <c r="B50" s="329" t="e">
        <f>(SUM(B44:B48)/AD40)</f>
        <v>#DIV/0!</v>
      </c>
      <c r="C50" s="309"/>
      <c r="D50" s="327" t="s">
        <v>198</v>
      </c>
      <c r="E50" s="329" t="e">
        <f>SUM(E44:E48)/AF40</f>
        <v>#DIV/0!</v>
      </c>
      <c r="F50" s="324"/>
      <c r="G50" s="327" t="s">
        <v>199</v>
      </c>
      <c r="H50" s="329" t="e">
        <f>SUM(H44:H48)/AE40</f>
        <v>#DIV/0!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0</v>
      </c>
      <c r="U50" s="321">
        <f>T50/2000/8</f>
        <v>0</v>
      </c>
    </row>
    <row r="51" spans="1:25" ht="47.25" customHeight="1" thickTop="1" thickBot="1">
      <c r="A51" s="330" t="s">
        <v>201</v>
      </c>
      <c r="B51" s="331" t="e">
        <f>B50/1000</f>
        <v>#DIV/0!</v>
      </c>
      <c r="C51" s="309"/>
      <c r="D51" s="330" t="s">
        <v>202</v>
      </c>
      <c r="E51" s="331" t="e">
        <f>E50/1000</f>
        <v>#DIV/0!</v>
      </c>
      <c r="F51" s="309"/>
      <c r="G51" s="330" t="s">
        <v>203</v>
      </c>
      <c r="H51" s="331" t="e">
        <f>H50/1000</f>
        <v>#DIV/0!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0</v>
      </c>
      <c r="U51" s="321">
        <f>(T51*8.34*1.4)/45000</f>
        <v>0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0</v>
      </c>
      <c r="U52" s="321">
        <f>(T52*8.34*1.135)/45000</f>
        <v>0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0</v>
      </c>
      <c r="U53" s="321">
        <f>(T53*8.34*1.029*0.03)/3300</f>
        <v>0</v>
      </c>
    </row>
    <row r="54" spans="1:25" ht="45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0</v>
      </c>
      <c r="U54" s="350">
        <f>(T54*1.54*8.34)/45000</f>
        <v>0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  <row r="63" spans="1:25">
      <c r="A63" s="309"/>
      <c r="B63" s="309"/>
      <c r="C63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4"/>
  <sheetViews>
    <sheetView zoomScaleNormal="100" workbookViewId="0">
      <selection activeCell="A3" sqref="A3"/>
    </sheetView>
  </sheetViews>
  <sheetFormatPr defaultRowHeight="15"/>
  <cols>
    <col min="1" max="1" width="46.5703125" style="208" bestFit="1" customWidth="1"/>
    <col min="2" max="2" width="19.140625" style="208" customWidth="1"/>
    <col min="3" max="3" width="27.85546875" style="208" bestFit="1" customWidth="1"/>
    <col min="4" max="4" width="29.5703125" style="208" customWidth="1"/>
    <col min="5" max="5" width="22.42578125" style="208" bestFit="1" customWidth="1"/>
    <col min="6" max="6" width="15.140625" style="208" bestFit="1" customWidth="1"/>
    <col min="7" max="7" width="35.5703125" style="208" customWidth="1"/>
    <col min="8" max="8" width="19.140625" style="208" bestFit="1" customWidth="1"/>
    <col min="9" max="9" width="23.140625" style="208" bestFit="1" customWidth="1"/>
    <col min="10" max="10" width="25.42578125" style="208" bestFit="1" customWidth="1"/>
    <col min="11" max="11" width="18.5703125" style="208" bestFit="1" customWidth="1"/>
    <col min="12" max="12" width="17.140625" style="208" bestFit="1" customWidth="1"/>
    <col min="13" max="13" width="16.140625" style="208" bestFit="1" customWidth="1"/>
    <col min="14" max="14" width="15.140625" style="208" bestFit="1" customWidth="1"/>
    <col min="15" max="15" width="16.28515625" style="208" bestFit="1" customWidth="1"/>
    <col min="16" max="16" width="15.7109375" style="208" bestFit="1" customWidth="1"/>
    <col min="17" max="17" width="24" style="208" bestFit="1" customWidth="1"/>
    <col min="18" max="18" width="24.42578125" style="208" bestFit="1" customWidth="1"/>
    <col min="19" max="19" width="26" style="208" bestFit="1" customWidth="1"/>
    <col min="20" max="20" width="25.85546875" style="208" bestFit="1" customWidth="1"/>
    <col min="21" max="21" width="13.5703125" style="208" bestFit="1" customWidth="1"/>
    <col min="22" max="22" width="11.5703125" style="208" bestFit="1" customWidth="1"/>
    <col min="23" max="23" width="20.28515625" style="208" bestFit="1" customWidth="1"/>
    <col min="24" max="24" width="20" style="208" bestFit="1" customWidth="1"/>
    <col min="25" max="25" width="22.5703125" style="208" bestFit="1" customWidth="1"/>
    <col min="26" max="26" width="22.28515625" style="208" bestFit="1" customWidth="1"/>
    <col min="27" max="27" width="21.28515625" style="208" bestFit="1" customWidth="1"/>
    <col min="28" max="28" width="32.85546875" style="208" bestFit="1" customWidth="1"/>
    <col min="29" max="29" width="36.7109375" style="208" customWidth="1"/>
    <col min="30" max="30" width="33.28515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3" style="208" bestFit="1" customWidth="1"/>
    <col min="35" max="35" width="17" style="208" bestFit="1" customWidth="1"/>
    <col min="36" max="36" width="17.5703125" style="208" bestFit="1" customWidth="1"/>
    <col min="37" max="38" width="15.85546875" style="208" bestFit="1" customWidth="1"/>
    <col min="39" max="39" width="21.85546875" style="208" bestFit="1" customWidth="1"/>
    <col min="40" max="40" width="18.7109375" style="208" bestFit="1" customWidth="1"/>
    <col min="41" max="43" width="15.8554687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40664</v>
      </c>
      <c r="B8" s="233"/>
      <c r="C8" s="234">
        <v>0</v>
      </c>
      <c r="D8" s="234">
        <v>0</v>
      </c>
      <c r="E8" s="234">
        <v>0</v>
      </c>
      <c r="F8" s="234">
        <v>0</v>
      </c>
      <c r="G8" s="234">
        <v>0</v>
      </c>
      <c r="H8" s="235">
        <v>0</v>
      </c>
      <c r="I8" s="233">
        <v>0</v>
      </c>
      <c r="J8" s="234">
        <v>0</v>
      </c>
      <c r="K8" s="234">
        <v>0</v>
      </c>
      <c r="L8" s="234">
        <v>0</v>
      </c>
      <c r="M8" s="234">
        <v>0</v>
      </c>
      <c r="N8" s="235">
        <v>0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0</v>
      </c>
      <c r="V8" s="238">
        <v>0</v>
      </c>
      <c r="W8" s="238">
        <v>0</v>
      </c>
      <c r="X8" s="238">
        <v>0</v>
      </c>
      <c r="Y8" s="238">
        <v>0</v>
      </c>
      <c r="Z8" s="238">
        <v>0</v>
      </c>
      <c r="AA8" s="239">
        <v>0</v>
      </c>
      <c r="AB8" s="240">
        <v>0</v>
      </c>
      <c r="AC8" s="241">
        <v>0</v>
      </c>
      <c r="AD8" s="241">
        <v>0</v>
      </c>
      <c r="AE8" s="242">
        <v>0</v>
      </c>
      <c r="AF8" s="242">
        <v>0</v>
      </c>
      <c r="AG8" s="242"/>
      <c r="AH8" s="241">
        <v>241.71110546588892</v>
      </c>
      <c r="AI8" s="241">
        <v>475.14336714744559</v>
      </c>
      <c r="AJ8" s="241">
        <v>1026.1289318720501</v>
      </c>
      <c r="AK8" s="241">
        <v>244.03084551493328</v>
      </c>
      <c r="AL8" s="241">
        <v>1490.8340845743817</v>
      </c>
      <c r="AM8" s="241">
        <v>1788.8569900512693</v>
      </c>
      <c r="AN8" s="241">
        <v>485.57738183339438</v>
      </c>
      <c r="AO8" s="241">
        <v>314.12447230021155</v>
      </c>
      <c r="AP8" s="241">
        <v>69.458549038569132</v>
      </c>
      <c r="AQ8" s="241">
        <v>604.12294031778981</v>
      </c>
    </row>
    <row r="9" spans="1:47">
      <c r="A9" s="232">
        <v>40665</v>
      </c>
      <c r="B9" s="243"/>
      <c r="C9" s="244">
        <v>0</v>
      </c>
      <c r="D9" s="244">
        <v>0</v>
      </c>
      <c r="E9" s="244">
        <v>0</v>
      </c>
      <c r="F9" s="244">
        <v>0</v>
      </c>
      <c r="G9" s="244">
        <v>0</v>
      </c>
      <c r="H9" s="245">
        <v>0</v>
      </c>
      <c r="I9" s="243">
        <v>0</v>
      </c>
      <c r="J9" s="244">
        <v>0</v>
      </c>
      <c r="K9" s="244">
        <v>0</v>
      </c>
      <c r="L9" s="244">
        <v>0</v>
      </c>
      <c r="M9" s="244">
        <v>0</v>
      </c>
      <c r="N9" s="245">
        <v>0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0</v>
      </c>
      <c r="V9" s="246">
        <v>0</v>
      </c>
      <c r="W9" s="246">
        <v>0</v>
      </c>
      <c r="X9" s="246">
        <v>0</v>
      </c>
      <c r="Y9" s="250">
        <v>0</v>
      </c>
      <c r="Z9" s="250">
        <v>0</v>
      </c>
      <c r="AA9" s="251">
        <v>0</v>
      </c>
      <c r="AB9" s="252">
        <v>0</v>
      </c>
      <c r="AC9" s="253">
        <v>0</v>
      </c>
      <c r="AD9" s="253">
        <v>0</v>
      </c>
      <c r="AE9" s="252">
        <v>0</v>
      </c>
      <c r="AF9" s="252">
        <v>0</v>
      </c>
      <c r="AG9" s="252"/>
      <c r="AH9" s="253">
        <v>237.89230662186935</v>
      </c>
      <c r="AI9" s="253">
        <v>469.27345563570657</v>
      </c>
      <c r="AJ9" s="253">
        <v>1051.7951541900636</v>
      </c>
      <c r="AK9" s="253">
        <v>542.53926810423536</v>
      </c>
      <c r="AL9" s="253">
        <v>1493.3094010670982</v>
      </c>
      <c r="AM9" s="253">
        <v>2009.5374416351319</v>
      </c>
      <c r="AN9" s="253">
        <v>480.56028199195856</v>
      </c>
      <c r="AO9" s="253">
        <v>341.6523360888163</v>
      </c>
      <c r="AP9" s="253">
        <v>66.649731934070587</v>
      </c>
      <c r="AQ9" s="253">
        <v>641.68125413258872</v>
      </c>
    </row>
    <row r="10" spans="1:47">
      <c r="A10" s="232">
        <v>40666</v>
      </c>
      <c r="B10" s="243"/>
      <c r="C10" s="244">
        <v>0</v>
      </c>
      <c r="D10" s="244">
        <v>0</v>
      </c>
      <c r="E10" s="244">
        <v>0</v>
      </c>
      <c r="F10" s="244">
        <v>0</v>
      </c>
      <c r="G10" s="244">
        <v>0</v>
      </c>
      <c r="H10" s="245">
        <v>0</v>
      </c>
      <c r="I10" s="243">
        <v>0</v>
      </c>
      <c r="J10" s="244">
        <v>0</v>
      </c>
      <c r="K10" s="244">
        <v>0</v>
      </c>
      <c r="L10" s="244">
        <v>0</v>
      </c>
      <c r="M10" s="244">
        <v>0</v>
      </c>
      <c r="N10" s="245">
        <v>0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0</v>
      </c>
      <c r="V10" s="246">
        <v>0</v>
      </c>
      <c r="W10" s="246">
        <v>0</v>
      </c>
      <c r="X10" s="246">
        <v>0</v>
      </c>
      <c r="Y10" s="250">
        <v>0</v>
      </c>
      <c r="Z10" s="250">
        <v>0</v>
      </c>
      <c r="AA10" s="251">
        <v>0</v>
      </c>
      <c r="AB10" s="252">
        <v>0</v>
      </c>
      <c r="AC10" s="253">
        <v>0</v>
      </c>
      <c r="AD10" s="253">
        <v>0</v>
      </c>
      <c r="AE10" s="252">
        <v>0</v>
      </c>
      <c r="AF10" s="252">
        <v>0</v>
      </c>
      <c r="AG10" s="252"/>
      <c r="AH10" s="253">
        <v>228.61533826192223</v>
      </c>
      <c r="AI10" s="253">
        <v>449.07021560668949</v>
      </c>
      <c r="AJ10" s="253">
        <v>1053.9419048309326</v>
      </c>
      <c r="AK10" s="253">
        <v>862.1623623530071</v>
      </c>
      <c r="AL10" s="253">
        <v>1382.040414683024</v>
      </c>
      <c r="AM10" s="253">
        <v>2128.1047093709312</v>
      </c>
      <c r="AN10" s="253">
        <v>541.57240778605126</v>
      </c>
      <c r="AO10" s="253">
        <v>280.80805206298828</v>
      </c>
      <c r="AP10" s="253">
        <v>71.695533547798789</v>
      </c>
      <c r="AQ10" s="253">
        <v>814.65713186264043</v>
      </c>
    </row>
    <row r="11" spans="1:47">
      <c r="A11" s="232">
        <v>40667</v>
      </c>
      <c r="B11" s="243"/>
      <c r="C11" s="244">
        <v>0</v>
      </c>
      <c r="D11" s="244">
        <v>0</v>
      </c>
      <c r="E11" s="244">
        <v>0</v>
      </c>
      <c r="F11" s="244">
        <v>0</v>
      </c>
      <c r="G11" s="244">
        <v>0</v>
      </c>
      <c r="H11" s="245">
        <v>0</v>
      </c>
      <c r="I11" s="243">
        <v>0</v>
      </c>
      <c r="J11" s="244">
        <v>0</v>
      </c>
      <c r="K11" s="244">
        <v>0</v>
      </c>
      <c r="L11" s="244">
        <v>0</v>
      </c>
      <c r="M11" s="244">
        <v>0</v>
      </c>
      <c r="N11" s="245">
        <v>0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0</v>
      </c>
      <c r="V11" s="246">
        <v>0</v>
      </c>
      <c r="W11" s="246">
        <v>0</v>
      </c>
      <c r="X11" s="246">
        <v>0</v>
      </c>
      <c r="Y11" s="250">
        <v>0</v>
      </c>
      <c r="Z11" s="250">
        <v>0</v>
      </c>
      <c r="AA11" s="251">
        <v>0</v>
      </c>
      <c r="AB11" s="252">
        <v>0</v>
      </c>
      <c r="AC11" s="253">
        <v>0</v>
      </c>
      <c r="AD11" s="253">
        <v>0</v>
      </c>
      <c r="AE11" s="252">
        <v>0</v>
      </c>
      <c r="AF11" s="252">
        <v>0</v>
      </c>
      <c r="AG11" s="252"/>
      <c r="AH11" s="253">
        <v>264.7048542579015</v>
      </c>
      <c r="AI11" s="253">
        <v>476.05679122606909</v>
      </c>
      <c r="AJ11" s="253">
        <v>1063.3648844401041</v>
      </c>
      <c r="AK11" s="253">
        <v>1027.2712724685668</v>
      </c>
      <c r="AL11" s="253">
        <v>1394.293423080444</v>
      </c>
      <c r="AM11" s="253">
        <v>2162.8520033518475</v>
      </c>
      <c r="AN11" s="253">
        <v>580.17776226997375</v>
      </c>
      <c r="AO11" s="253">
        <v>369.9790801684062</v>
      </c>
      <c r="AP11" s="253">
        <v>49.4000245988369</v>
      </c>
      <c r="AQ11" s="253">
        <v>672.36538060506189</v>
      </c>
    </row>
    <row r="12" spans="1:47">
      <c r="A12" s="232">
        <v>40668</v>
      </c>
      <c r="B12" s="243"/>
      <c r="C12" s="244">
        <v>0</v>
      </c>
      <c r="D12" s="244">
        <v>0</v>
      </c>
      <c r="E12" s="244">
        <v>0</v>
      </c>
      <c r="F12" s="244">
        <v>0</v>
      </c>
      <c r="G12" s="244">
        <v>0</v>
      </c>
      <c r="H12" s="245">
        <v>0</v>
      </c>
      <c r="I12" s="243">
        <v>0</v>
      </c>
      <c r="J12" s="244">
        <v>0</v>
      </c>
      <c r="K12" s="244">
        <v>0</v>
      </c>
      <c r="L12" s="244">
        <v>0</v>
      </c>
      <c r="M12" s="244">
        <v>0</v>
      </c>
      <c r="N12" s="245">
        <v>0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0</v>
      </c>
      <c r="V12" s="246">
        <v>0</v>
      </c>
      <c r="W12" s="246">
        <v>0</v>
      </c>
      <c r="X12" s="246">
        <v>0</v>
      </c>
      <c r="Y12" s="250">
        <v>0</v>
      </c>
      <c r="Z12" s="250">
        <v>0</v>
      </c>
      <c r="AA12" s="251">
        <v>0</v>
      </c>
      <c r="AB12" s="252">
        <v>0</v>
      </c>
      <c r="AC12" s="253">
        <v>0</v>
      </c>
      <c r="AD12" s="253">
        <v>0</v>
      </c>
      <c r="AE12" s="252">
        <v>0</v>
      </c>
      <c r="AF12" s="252">
        <v>0</v>
      </c>
      <c r="AG12" s="252"/>
      <c r="AH12" s="253">
        <v>330.68621919949851</v>
      </c>
      <c r="AI12" s="253">
        <v>543.6653948624928</v>
      </c>
      <c r="AJ12" s="253">
        <v>1133.2931623458862</v>
      </c>
      <c r="AK12" s="253">
        <v>964.98347272872934</v>
      </c>
      <c r="AL12" s="253">
        <v>1378.9565556844075</v>
      </c>
      <c r="AM12" s="253">
        <v>1940.3108283996585</v>
      </c>
      <c r="AN12" s="253">
        <v>550.63908362388611</v>
      </c>
      <c r="AO12" s="253">
        <v>395.29234633445742</v>
      </c>
      <c r="AP12" s="253">
        <v>62.375159982840231</v>
      </c>
      <c r="AQ12" s="253">
        <v>736.55222450892131</v>
      </c>
    </row>
    <row r="13" spans="1:47">
      <c r="A13" s="232">
        <f t="shared" ref="A13:A38" si="0">A12+1</f>
        <v>40669</v>
      </c>
      <c r="B13" s="243"/>
      <c r="C13" s="244">
        <v>0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243">
        <v>0</v>
      </c>
      <c r="J13" s="244">
        <v>0</v>
      </c>
      <c r="K13" s="244">
        <v>0</v>
      </c>
      <c r="L13" s="244">
        <v>0</v>
      </c>
      <c r="M13" s="244">
        <v>0</v>
      </c>
      <c r="N13" s="245">
        <v>0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0</v>
      </c>
      <c r="V13" s="246">
        <v>0</v>
      </c>
      <c r="W13" s="246">
        <v>0</v>
      </c>
      <c r="X13" s="246">
        <v>0</v>
      </c>
      <c r="Y13" s="250">
        <v>0</v>
      </c>
      <c r="Z13" s="250">
        <v>0</v>
      </c>
      <c r="AA13" s="251">
        <v>0</v>
      </c>
      <c r="AB13" s="252">
        <v>0</v>
      </c>
      <c r="AC13" s="253">
        <v>0</v>
      </c>
      <c r="AD13" s="253">
        <v>0</v>
      </c>
      <c r="AE13" s="252">
        <v>0</v>
      </c>
      <c r="AF13" s="252">
        <v>0</v>
      </c>
      <c r="AG13" s="252"/>
      <c r="AH13" s="253">
        <v>321.60942725340522</v>
      </c>
      <c r="AI13" s="253">
        <v>535.10321660041802</v>
      </c>
      <c r="AJ13" s="253">
        <v>1150.7380632400511</v>
      </c>
      <c r="AK13" s="253">
        <v>1019.4133739153544</v>
      </c>
      <c r="AL13" s="253">
        <v>1311.585584449768</v>
      </c>
      <c r="AM13" s="253">
        <v>1779.6919037501016</v>
      </c>
      <c r="AN13" s="253">
        <v>551.10961925188701</v>
      </c>
      <c r="AO13" s="253">
        <v>261.75004308223726</v>
      </c>
      <c r="AP13" s="253">
        <v>57.511423625548673</v>
      </c>
      <c r="AQ13" s="253">
        <v>883.3951525370278</v>
      </c>
    </row>
    <row r="14" spans="1:47">
      <c r="A14" s="232">
        <f t="shared" si="0"/>
        <v>40670</v>
      </c>
      <c r="B14" s="243"/>
      <c r="C14" s="244">
        <v>0</v>
      </c>
      <c r="D14" s="244">
        <v>0</v>
      </c>
      <c r="E14" s="244">
        <v>0</v>
      </c>
      <c r="F14" s="244">
        <v>0</v>
      </c>
      <c r="G14" s="244">
        <v>0</v>
      </c>
      <c r="H14" s="245">
        <v>0</v>
      </c>
      <c r="I14" s="243">
        <v>0</v>
      </c>
      <c r="J14" s="244">
        <v>0</v>
      </c>
      <c r="K14" s="244">
        <v>0</v>
      </c>
      <c r="L14" s="244">
        <v>0</v>
      </c>
      <c r="M14" s="244">
        <v>0</v>
      </c>
      <c r="N14" s="245">
        <v>0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0</v>
      </c>
      <c r="V14" s="246">
        <v>0</v>
      </c>
      <c r="W14" s="246">
        <v>0</v>
      </c>
      <c r="X14" s="246">
        <v>0</v>
      </c>
      <c r="Y14" s="250">
        <v>0</v>
      </c>
      <c r="Z14" s="250">
        <v>0</v>
      </c>
      <c r="AA14" s="251">
        <v>0</v>
      </c>
      <c r="AB14" s="252">
        <v>0</v>
      </c>
      <c r="AC14" s="253">
        <v>0</v>
      </c>
      <c r="AD14" s="253">
        <v>0</v>
      </c>
      <c r="AE14" s="252">
        <v>0</v>
      </c>
      <c r="AF14" s="252">
        <v>0</v>
      </c>
      <c r="AG14" s="252"/>
      <c r="AH14" s="253">
        <v>315.04069291750591</v>
      </c>
      <c r="AI14" s="253">
        <v>525.62780747413638</v>
      </c>
      <c r="AJ14" s="253">
        <v>1183.321750831604</v>
      </c>
      <c r="AK14" s="253">
        <v>1085.5863961855571</v>
      </c>
      <c r="AL14" s="253">
        <v>1279.4265125274658</v>
      </c>
      <c r="AM14" s="253">
        <v>1732.4502857208249</v>
      </c>
      <c r="AN14" s="253">
        <v>569.95864971478784</v>
      </c>
      <c r="AO14" s="253">
        <v>206.25388342539469</v>
      </c>
      <c r="AP14" s="253">
        <v>85.982254028320312</v>
      </c>
      <c r="AQ14" s="253">
        <v>918.39208256403606</v>
      </c>
    </row>
    <row r="15" spans="1:47">
      <c r="A15" s="232">
        <f t="shared" si="0"/>
        <v>40671</v>
      </c>
      <c r="B15" s="243"/>
      <c r="C15" s="244">
        <v>0</v>
      </c>
      <c r="D15" s="244">
        <v>0</v>
      </c>
      <c r="E15" s="244">
        <v>0</v>
      </c>
      <c r="F15" s="244">
        <v>0</v>
      </c>
      <c r="G15" s="244">
        <v>0</v>
      </c>
      <c r="H15" s="245">
        <v>0</v>
      </c>
      <c r="I15" s="243">
        <v>0</v>
      </c>
      <c r="J15" s="244">
        <v>0</v>
      </c>
      <c r="K15" s="244">
        <v>0</v>
      </c>
      <c r="L15" s="244">
        <v>0</v>
      </c>
      <c r="M15" s="244">
        <v>0</v>
      </c>
      <c r="N15" s="245">
        <v>0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0</v>
      </c>
      <c r="V15" s="246">
        <v>0</v>
      </c>
      <c r="W15" s="246">
        <v>0</v>
      </c>
      <c r="X15" s="246">
        <v>0</v>
      </c>
      <c r="Y15" s="250">
        <v>0</v>
      </c>
      <c r="Z15" s="250">
        <v>0</v>
      </c>
      <c r="AA15" s="251">
        <v>0</v>
      </c>
      <c r="AB15" s="252">
        <v>0</v>
      </c>
      <c r="AC15" s="253">
        <v>0</v>
      </c>
      <c r="AD15" s="253">
        <v>0</v>
      </c>
      <c r="AE15" s="252">
        <v>0</v>
      </c>
      <c r="AF15" s="252">
        <v>0</v>
      </c>
      <c r="AG15" s="252"/>
      <c r="AH15" s="253">
        <v>304.00037225087488</v>
      </c>
      <c r="AI15" s="253">
        <v>525.44337116877239</v>
      </c>
      <c r="AJ15" s="253">
        <v>1185.1220783233643</v>
      </c>
      <c r="AK15" s="253">
        <v>1100.4304959615069</v>
      </c>
      <c r="AL15" s="253">
        <v>1267.1522287050886</v>
      </c>
      <c r="AM15" s="253">
        <v>1758.5671030680339</v>
      </c>
      <c r="AN15" s="253">
        <v>556.58270678520216</v>
      </c>
      <c r="AO15" s="253">
        <v>149.34759521484375</v>
      </c>
      <c r="AP15" s="253">
        <v>87.142480079332984</v>
      </c>
      <c r="AQ15" s="253">
        <v>960.06480560302714</v>
      </c>
    </row>
    <row r="16" spans="1:47">
      <c r="A16" s="232">
        <f t="shared" si="0"/>
        <v>40672</v>
      </c>
      <c r="B16" s="243"/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5">
        <v>0</v>
      </c>
      <c r="I16" s="243">
        <v>114.16291817029294</v>
      </c>
      <c r="J16" s="244">
        <v>506.97671146392889</v>
      </c>
      <c r="K16" s="244">
        <v>4.2212189733982068</v>
      </c>
      <c r="L16" s="244">
        <v>0</v>
      </c>
      <c r="M16" s="244">
        <v>0</v>
      </c>
      <c r="N16" s="245">
        <v>0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102.11654689047067</v>
      </c>
      <c r="V16" s="246">
        <v>0</v>
      </c>
      <c r="W16" s="246">
        <v>18.2703580657641</v>
      </c>
      <c r="X16" s="246">
        <v>0</v>
      </c>
      <c r="Y16" s="250">
        <v>61.511258816718978</v>
      </c>
      <c r="Z16" s="250">
        <v>0</v>
      </c>
      <c r="AA16" s="251">
        <v>0</v>
      </c>
      <c r="AB16" s="252">
        <v>160.33569937811905</v>
      </c>
      <c r="AC16" s="253">
        <v>0</v>
      </c>
      <c r="AD16" s="253">
        <v>2.4730557504627435</v>
      </c>
      <c r="AE16" s="252">
        <v>2.4730557504627435</v>
      </c>
      <c r="AF16" s="252">
        <v>0</v>
      </c>
      <c r="AG16" s="252">
        <v>1</v>
      </c>
      <c r="AH16" s="253">
        <v>293.20545909404757</v>
      </c>
      <c r="AI16" s="253">
        <v>515.94170676867179</v>
      </c>
      <c r="AJ16" s="253">
        <v>1159.1352886835732</v>
      </c>
      <c r="AK16" s="253">
        <v>1077.37296778361</v>
      </c>
      <c r="AL16" s="253">
        <v>1273.0454654693604</v>
      </c>
      <c r="AM16" s="253">
        <v>1808.2213242848713</v>
      </c>
      <c r="AN16" s="253">
        <v>558.9594551086426</v>
      </c>
      <c r="AO16" s="253">
        <v>184.11060746510822</v>
      </c>
      <c r="AP16" s="253">
        <v>86.679523007074991</v>
      </c>
      <c r="AQ16" s="253">
        <v>931.44443877538026</v>
      </c>
    </row>
    <row r="17" spans="1:43">
      <c r="A17" s="232">
        <f t="shared" si="0"/>
        <v>40673</v>
      </c>
      <c r="B17" s="233"/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5">
        <v>0</v>
      </c>
      <c r="I17" s="233">
        <v>121.48467747370383</v>
      </c>
      <c r="J17" s="234">
        <v>519.87851130167553</v>
      </c>
      <c r="K17" s="234">
        <v>4.3906814853350262</v>
      </c>
      <c r="L17" s="244">
        <v>0</v>
      </c>
      <c r="M17" s="234">
        <v>0</v>
      </c>
      <c r="N17" s="235">
        <v>0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171.00767697758087</v>
      </c>
      <c r="V17" s="250">
        <v>0</v>
      </c>
      <c r="W17" s="246">
        <v>29.610085672140066</v>
      </c>
      <c r="X17" s="246">
        <v>0</v>
      </c>
      <c r="Y17" s="250">
        <v>111.15906421343487</v>
      </c>
      <c r="Z17" s="250">
        <v>0</v>
      </c>
      <c r="AA17" s="251">
        <v>0</v>
      </c>
      <c r="AB17" s="252">
        <v>90.349479738871324</v>
      </c>
      <c r="AC17" s="253">
        <v>0</v>
      </c>
      <c r="AD17" s="253">
        <v>7.931861787372176</v>
      </c>
      <c r="AE17" s="252">
        <v>7.8485683173528793</v>
      </c>
      <c r="AF17" s="252">
        <v>0</v>
      </c>
      <c r="AG17" s="252">
        <v>1</v>
      </c>
      <c r="AH17" s="253">
        <v>298.55283978780113</v>
      </c>
      <c r="AI17" s="253">
        <v>837.55206173261024</v>
      </c>
      <c r="AJ17" s="253">
        <v>1753.622021706899</v>
      </c>
      <c r="AK17" s="253">
        <v>1037.299098587036</v>
      </c>
      <c r="AL17" s="253">
        <v>1281.8912920633952</v>
      </c>
      <c r="AM17" s="253">
        <v>1895.8841410319017</v>
      </c>
      <c r="AN17" s="253">
        <v>559.40790845553079</v>
      </c>
      <c r="AO17" s="253">
        <v>649.32720406850183</v>
      </c>
      <c r="AP17" s="253">
        <v>84.47419259945552</v>
      </c>
      <c r="AQ17" s="253">
        <v>807.46571369171147</v>
      </c>
    </row>
    <row r="18" spans="1:43">
      <c r="A18" s="232">
        <f t="shared" si="0"/>
        <v>40674</v>
      </c>
      <c r="B18" s="243"/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5">
        <v>0</v>
      </c>
      <c r="I18" s="243">
        <v>114.9874046643572</v>
      </c>
      <c r="J18" s="244">
        <v>493.14486064910955</v>
      </c>
      <c r="K18" s="244">
        <v>4.1883427749077438</v>
      </c>
      <c r="L18" s="244">
        <v>0</v>
      </c>
      <c r="M18" s="244">
        <v>0</v>
      </c>
      <c r="N18" s="245">
        <v>0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193.77332369486379</v>
      </c>
      <c r="V18" s="246">
        <v>0</v>
      </c>
      <c r="W18" s="246">
        <v>28.953369116783097</v>
      </c>
      <c r="X18" s="246">
        <v>0</v>
      </c>
      <c r="Y18" s="250">
        <v>104.03686408201864</v>
      </c>
      <c r="Z18" s="250">
        <v>0</v>
      </c>
      <c r="AA18" s="251">
        <v>0</v>
      </c>
      <c r="AB18" s="252">
        <v>111.72024432288124</v>
      </c>
      <c r="AC18" s="253">
        <v>0</v>
      </c>
      <c r="AD18" s="253">
        <v>7.5248761925432239</v>
      </c>
      <c r="AE18" s="252">
        <v>7.4456984414574814</v>
      </c>
      <c r="AF18" s="252">
        <v>0</v>
      </c>
      <c r="AG18" s="252">
        <v>1</v>
      </c>
      <c r="AH18" s="253">
        <v>337.83084845542913</v>
      </c>
      <c r="AI18" s="253">
        <v>1122.531516075134</v>
      </c>
      <c r="AJ18" s="253">
        <v>2764.1385422388717</v>
      </c>
      <c r="AK18" s="253">
        <v>893.51861763000466</v>
      </c>
      <c r="AL18" s="253">
        <v>1535.138619168599</v>
      </c>
      <c r="AM18" s="253">
        <v>2066.7548193613693</v>
      </c>
      <c r="AN18" s="253">
        <v>477.50516889890025</v>
      </c>
      <c r="AO18" s="253">
        <v>1768.5604789733886</v>
      </c>
      <c r="AP18" s="253">
        <v>95.884068898359942</v>
      </c>
      <c r="AQ18" s="253">
        <v>707.43014389673874</v>
      </c>
    </row>
    <row r="19" spans="1:43">
      <c r="A19" s="232">
        <f t="shared" si="0"/>
        <v>40675</v>
      </c>
      <c r="B19" s="243"/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5">
        <v>0</v>
      </c>
      <c r="I19" s="243">
        <v>113.08108504613232</v>
      </c>
      <c r="J19" s="244">
        <v>496.93102316856374</v>
      </c>
      <c r="K19" s="244">
        <v>4.2003282159566897</v>
      </c>
      <c r="L19" s="244">
        <v>0</v>
      </c>
      <c r="M19" s="244">
        <v>0</v>
      </c>
      <c r="N19" s="245">
        <v>0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171.87393528090598</v>
      </c>
      <c r="V19" s="246">
        <v>0</v>
      </c>
      <c r="W19" s="246">
        <v>21.789291576544429</v>
      </c>
      <c r="X19" s="246">
        <v>0</v>
      </c>
      <c r="Y19" s="250">
        <v>112.26615063349404</v>
      </c>
      <c r="Z19" s="250">
        <v>0</v>
      </c>
      <c r="AA19" s="251">
        <v>0</v>
      </c>
      <c r="AB19" s="252">
        <v>167.21838932037215</v>
      </c>
      <c r="AC19" s="253">
        <v>0</v>
      </c>
      <c r="AD19" s="253">
        <v>7.8473967322044818</v>
      </c>
      <c r="AE19" s="252">
        <v>7.8051889124039393</v>
      </c>
      <c r="AF19" s="252">
        <v>0</v>
      </c>
      <c r="AG19" s="252">
        <v>1</v>
      </c>
      <c r="AH19" s="253">
        <v>380.28876019318898</v>
      </c>
      <c r="AI19" s="253">
        <v>1195.6578949610393</v>
      </c>
      <c r="AJ19" s="253">
        <v>1141.367933654785</v>
      </c>
      <c r="AK19" s="253">
        <v>745.01639610926327</v>
      </c>
      <c r="AL19" s="253">
        <v>1497.6770608266193</v>
      </c>
      <c r="AM19" s="253">
        <v>2182.600337346395</v>
      </c>
      <c r="AN19" s="253">
        <v>502.91842675209051</v>
      </c>
      <c r="AO19" s="253">
        <v>1769.5438842773437</v>
      </c>
      <c r="AP19" s="253">
        <v>112.38104466994604</v>
      </c>
      <c r="AQ19" s="253">
        <v>724.43355429967244</v>
      </c>
    </row>
    <row r="20" spans="1:43">
      <c r="A20" s="232">
        <f t="shared" si="0"/>
        <v>40676</v>
      </c>
      <c r="B20" s="243"/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5">
        <v>0</v>
      </c>
      <c r="I20" s="243">
        <v>113.41325489679967</v>
      </c>
      <c r="J20" s="244">
        <v>502.30775810877395</v>
      </c>
      <c r="K20" s="244">
        <v>4.1929443379243239</v>
      </c>
      <c r="L20" s="244">
        <v>0</v>
      </c>
      <c r="M20" s="244">
        <v>0</v>
      </c>
      <c r="N20" s="245">
        <v>0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177.91468931833927</v>
      </c>
      <c r="V20" s="246">
        <v>0</v>
      </c>
      <c r="W20" s="246">
        <v>21.312201505899413</v>
      </c>
      <c r="X20" s="246">
        <v>0</v>
      </c>
      <c r="Y20" s="250">
        <v>115.44701337814331</v>
      </c>
      <c r="Z20" s="250">
        <v>0</v>
      </c>
      <c r="AA20" s="251">
        <v>0</v>
      </c>
      <c r="AB20" s="252">
        <v>167.23549183739451</v>
      </c>
      <c r="AC20" s="253">
        <v>0</v>
      </c>
      <c r="AD20" s="253">
        <v>8.0531177543931474</v>
      </c>
      <c r="AE20" s="252">
        <v>7.9992228162648829</v>
      </c>
      <c r="AF20" s="252">
        <v>0</v>
      </c>
      <c r="AG20" s="252">
        <v>1</v>
      </c>
      <c r="AH20" s="253">
        <v>357.46933635075897</v>
      </c>
      <c r="AI20" s="253">
        <v>1206.6369751612347</v>
      </c>
      <c r="AJ20" s="253">
        <v>2383.6601596196492</v>
      </c>
      <c r="AK20" s="253">
        <v>895.01251986821501</v>
      </c>
      <c r="AL20" s="253">
        <v>1321.1025348345436</v>
      </c>
      <c r="AM20" s="253">
        <v>2072.4725903828939</v>
      </c>
      <c r="AN20" s="253">
        <v>574.81151078542064</v>
      </c>
      <c r="AO20" s="253">
        <v>1788.3151341756186</v>
      </c>
      <c r="AP20" s="253">
        <v>73.649570596218112</v>
      </c>
      <c r="AQ20" s="253">
        <v>729.66056337356588</v>
      </c>
    </row>
    <row r="21" spans="1:43">
      <c r="A21" s="232">
        <f t="shared" si="0"/>
        <v>40677</v>
      </c>
      <c r="B21" s="243"/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5">
        <v>0</v>
      </c>
      <c r="I21" s="243">
        <v>113.86533554395028</v>
      </c>
      <c r="J21" s="244">
        <v>500.92182931899981</v>
      </c>
      <c r="K21" s="244">
        <v>4.2253090322017686</v>
      </c>
      <c r="L21" s="244">
        <v>0</v>
      </c>
      <c r="M21" s="244">
        <v>0</v>
      </c>
      <c r="N21" s="245">
        <v>0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182.85395887162895</v>
      </c>
      <c r="V21" s="246">
        <v>0</v>
      </c>
      <c r="W21" s="246">
        <v>21.60222434103483</v>
      </c>
      <c r="X21" s="246">
        <v>0</v>
      </c>
      <c r="Y21" s="250">
        <v>125.32319188118011</v>
      </c>
      <c r="Z21" s="250">
        <v>0</v>
      </c>
      <c r="AA21" s="251">
        <v>0</v>
      </c>
      <c r="AB21" s="252">
        <v>167.2380339304579</v>
      </c>
      <c r="AC21" s="253">
        <v>0</v>
      </c>
      <c r="AD21" s="253">
        <v>8.0634848134385031</v>
      </c>
      <c r="AE21" s="252">
        <v>7.9989303240716261</v>
      </c>
      <c r="AF21" s="252">
        <v>0</v>
      </c>
      <c r="AG21" s="252">
        <v>1</v>
      </c>
      <c r="AH21" s="253">
        <v>360.16874473094953</v>
      </c>
      <c r="AI21" s="253">
        <v>1145.3026894251507</v>
      </c>
      <c r="AJ21" s="253">
        <v>3092.1244837443032</v>
      </c>
      <c r="AK21" s="253">
        <v>978.47566782633476</v>
      </c>
      <c r="AL21" s="253">
        <v>1348.497019704183</v>
      </c>
      <c r="AM21" s="253">
        <v>2171.8886053721108</v>
      </c>
      <c r="AN21" s="253">
        <v>578.09485278129569</v>
      </c>
      <c r="AO21" s="253">
        <v>1760.4377872467041</v>
      </c>
      <c r="AP21" s="253">
        <v>73.012132386366517</v>
      </c>
      <c r="AQ21" s="253">
        <v>687.00601638158162</v>
      </c>
    </row>
    <row r="22" spans="1:43">
      <c r="A22" s="232">
        <f t="shared" si="0"/>
        <v>40678</v>
      </c>
      <c r="B22" s="243"/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5">
        <v>0</v>
      </c>
      <c r="I22" s="243">
        <v>109.57048360506711</v>
      </c>
      <c r="J22" s="244">
        <v>515.81029402414947</v>
      </c>
      <c r="K22" s="244">
        <v>4.3494761933883019</v>
      </c>
      <c r="L22" s="244">
        <v>0</v>
      </c>
      <c r="M22" s="244">
        <v>0</v>
      </c>
      <c r="N22" s="245">
        <v>0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145.31029747856871</v>
      </c>
      <c r="V22" s="246">
        <v>0</v>
      </c>
      <c r="W22" s="246">
        <v>17.104995459318161</v>
      </c>
      <c r="X22" s="246">
        <v>0</v>
      </c>
      <c r="Y22" s="250">
        <v>106.75699742635111</v>
      </c>
      <c r="Z22" s="250">
        <v>0</v>
      </c>
      <c r="AA22" s="251">
        <v>0</v>
      </c>
      <c r="AB22" s="252">
        <v>167.21295148001445</v>
      </c>
      <c r="AC22" s="253">
        <v>0</v>
      </c>
      <c r="AD22" s="253">
        <v>6.471105405688296</v>
      </c>
      <c r="AE22" s="252">
        <v>6.3769174851444239</v>
      </c>
      <c r="AF22" s="252">
        <v>0</v>
      </c>
      <c r="AG22" s="252">
        <v>1</v>
      </c>
      <c r="AH22" s="253">
        <v>369.59878915945694</v>
      </c>
      <c r="AI22" s="253">
        <v>1169.606119219462</v>
      </c>
      <c r="AJ22" s="253">
        <v>3100.7164825439449</v>
      </c>
      <c r="AK22" s="253">
        <v>745.63490959803278</v>
      </c>
      <c r="AL22" s="253">
        <v>1365.3721018791196</v>
      </c>
      <c r="AM22" s="253">
        <v>2149.2007397969564</v>
      </c>
      <c r="AN22" s="253">
        <v>579.4957811037699</v>
      </c>
      <c r="AO22" s="253">
        <v>1500.6718490600588</v>
      </c>
      <c r="AP22" s="253">
        <v>86.452163149913147</v>
      </c>
      <c r="AQ22" s="253">
        <v>678.22963107426972</v>
      </c>
    </row>
    <row r="23" spans="1:43">
      <c r="A23" s="232">
        <f t="shared" si="0"/>
        <v>40679</v>
      </c>
      <c r="B23" s="243"/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5">
        <v>0</v>
      </c>
      <c r="I23" s="243">
        <v>111.59785525004064</v>
      </c>
      <c r="J23" s="244">
        <v>519.78515946070252</v>
      </c>
      <c r="K23" s="244">
        <v>4.3512097820639566</v>
      </c>
      <c r="L23" s="244">
        <v>0</v>
      </c>
      <c r="M23" s="244">
        <v>0</v>
      </c>
      <c r="N23" s="245">
        <v>0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172.59990822474154</v>
      </c>
      <c r="V23" s="246">
        <v>0</v>
      </c>
      <c r="W23" s="246">
        <v>20.519648693005244</v>
      </c>
      <c r="X23" s="246">
        <v>0</v>
      </c>
      <c r="Y23" s="250">
        <v>126.3522584438326</v>
      </c>
      <c r="Z23" s="250">
        <v>0</v>
      </c>
      <c r="AA23" s="251">
        <v>0</v>
      </c>
      <c r="AB23" s="252">
        <v>167.2228066232469</v>
      </c>
      <c r="AC23" s="253">
        <v>0</v>
      </c>
      <c r="AD23" s="253">
        <v>7.6922254045804275</v>
      </c>
      <c r="AE23" s="252">
        <v>7.5624705565897052</v>
      </c>
      <c r="AF23" s="252">
        <v>0</v>
      </c>
      <c r="AG23" s="252">
        <v>1</v>
      </c>
      <c r="AH23" s="253">
        <v>349.55970044136052</v>
      </c>
      <c r="AI23" s="253">
        <v>1146.3226422627765</v>
      </c>
      <c r="AJ23" s="253">
        <v>3117.4204654693613</v>
      </c>
      <c r="AK23" s="253">
        <v>853.2671805063884</v>
      </c>
      <c r="AL23" s="253">
        <v>1285.585277748108</v>
      </c>
      <c r="AM23" s="253">
        <v>2105.8401360829671</v>
      </c>
      <c r="AN23" s="253">
        <v>580.974918794632</v>
      </c>
      <c r="AO23" s="253">
        <v>1424.9502493540447</v>
      </c>
      <c r="AP23" s="253">
        <v>71.883555473883945</v>
      </c>
      <c r="AQ23" s="253">
        <v>861.20438747406001</v>
      </c>
    </row>
    <row r="24" spans="1:43">
      <c r="A24" s="232">
        <f t="shared" si="0"/>
        <v>40680</v>
      </c>
      <c r="B24" s="243"/>
      <c r="C24" s="244">
        <v>0</v>
      </c>
      <c r="D24" s="244">
        <v>0</v>
      </c>
      <c r="E24" s="244">
        <v>0</v>
      </c>
      <c r="F24" s="244">
        <v>0</v>
      </c>
      <c r="G24" s="244">
        <v>0</v>
      </c>
      <c r="H24" s="245">
        <v>0</v>
      </c>
      <c r="I24" s="243">
        <v>112.55566366513554</v>
      </c>
      <c r="J24" s="244">
        <v>504.44445600509573</v>
      </c>
      <c r="K24" s="244">
        <v>4.2196049218376448</v>
      </c>
      <c r="L24" s="244">
        <v>0</v>
      </c>
      <c r="M24" s="244">
        <v>0</v>
      </c>
      <c r="N24" s="245">
        <v>0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182.86049585342343</v>
      </c>
      <c r="V24" s="246">
        <v>0</v>
      </c>
      <c r="W24" s="246">
        <v>22.249114985267301</v>
      </c>
      <c r="X24" s="246">
        <v>0</v>
      </c>
      <c r="Y24" s="250">
        <v>131.11343468030316</v>
      </c>
      <c r="Z24" s="250">
        <v>0</v>
      </c>
      <c r="AA24" s="251">
        <v>0</v>
      </c>
      <c r="AB24" s="252">
        <v>167.23560571670276</v>
      </c>
      <c r="AC24" s="253">
        <v>0</v>
      </c>
      <c r="AD24" s="253">
        <v>8.1131096647845187</v>
      </c>
      <c r="AE24" s="252">
        <v>8.0004505053098516</v>
      </c>
      <c r="AF24" s="252">
        <v>0</v>
      </c>
      <c r="AG24" s="252">
        <v>1</v>
      </c>
      <c r="AH24" s="253">
        <v>341.06413710912062</v>
      </c>
      <c r="AI24" s="253">
        <v>1137.2087000528975</v>
      </c>
      <c r="AJ24" s="253">
        <v>3112.2245316823319</v>
      </c>
      <c r="AK24" s="253">
        <v>815.34346357981372</v>
      </c>
      <c r="AL24" s="253">
        <v>1321.5010805447898</v>
      </c>
      <c r="AM24" s="253">
        <v>2175.7822135925294</v>
      </c>
      <c r="AN24" s="253">
        <v>579.45158371925356</v>
      </c>
      <c r="AO24" s="253">
        <v>1763.2088605244953</v>
      </c>
      <c r="AP24" s="253">
        <v>46.322240086396533</v>
      </c>
      <c r="AQ24" s="253">
        <v>750.46749636332197</v>
      </c>
    </row>
    <row r="25" spans="1:43">
      <c r="A25" s="232">
        <f t="shared" si="0"/>
        <v>40681</v>
      </c>
      <c r="B25" s="243"/>
      <c r="C25" s="244">
        <v>0</v>
      </c>
      <c r="D25" s="244">
        <v>0</v>
      </c>
      <c r="E25" s="244">
        <v>0</v>
      </c>
      <c r="F25" s="244">
        <v>0</v>
      </c>
      <c r="G25" s="244">
        <v>0</v>
      </c>
      <c r="H25" s="245">
        <v>0</v>
      </c>
      <c r="I25" s="243">
        <v>112.79628721872959</v>
      </c>
      <c r="J25" s="244">
        <v>502.35541445414179</v>
      </c>
      <c r="K25" s="244">
        <v>4.2486265599727711</v>
      </c>
      <c r="L25" s="244">
        <v>0</v>
      </c>
      <c r="M25" s="244">
        <v>0</v>
      </c>
      <c r="N25" s="245">
        <v>0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173.10283888710853</v>
      </c>
      <c r="V25" s="246">
        <v>0</v>
      </c>
      <c r="W25" s="246">
        <v>21.045618603626867</v>
      </c>
      <c r="X25" s="246">
        <v>0</v>
      </c>
      <c r="Y25" s="250">
        <v>124.25166145960503</v>
      </c>
      <c r="Z25" s="250">
        <v>0</v>
      </c>
      <c r="AA25" s="251">
        <v>0</v>
      </c>
      <c r="AB25" s="252">
        <v>167.2356713083027</v>
      </c>
      <c r="AC25" s="253">
        <v>0</v>
      </c>
      <c r="AD25" s="253">
        <v>7.7001744286881539</v>
      </c>
      <c r="AE25" s="252">
        <v>7.6497856650304925</v>
      </c>
      <c r="AF25" s="252">
        <v>0</v>
      </c>
      <c r="AG25" s="252">
        <v>1</v>
      </c>
      <c r="AH25" s="253">
        <v>345.82045403321587</v>
      </c>
      <c r="AI25" s="253">
        <v>1128.5863178888958</v>
      </c>
      <c r="AJ25" s="253">
        <v>3128.8066529591879</v>
      </c>
      <c r="AK25" s="253">
        <v>672.66075296401982</v>
      </c>
      <c r="AL25" s="253">
        <v>2114.5409138997397</v>
      </c>
      <c r="AM25" s="253">
        <v>2283.3972314198813</v>
      </c>
      <c r="AN25" s="253">
        <v>599.16044492721562</v>
      </c>
      <c r="AO25" s="253">
        <v>1843.2847063700358</v>
      </c>
      <c r="AP25" s="253">
        <v>78.014491349458694</v>
      </c>
      <c r="AQ25" s="253">
        <v>753.53477716445923</v>
      </c>
    </row>
    <row r="26" spans="1:43">
      <c r="A26" s="232">
        <f t="shared" si="0"/>
        <v>40682</v>
      </c>
      <c r="B26" s="243"/>
      <c r="C26" s="244">
        <v>0</v>
      </c>
      <c r="D26" s="244">
        <v>0</v>
      </c>
      <c r="E26" s="244">
        <v>0</v>
      </c>
      <c r="F26" s="244">
        <v>0</v>
      </c>
      <c r="G26" s="244">
        <v>0</v>
      </c>
      <c r="H26" s="245">
        <v>0</v>
      </c>
      <c r="I26" s="243">
        <v>113.41673707962026</v>
      </c>
      <c r="J26" s="244">
        <v>499.39739170074461</v>
      </c>
      <c r="K26" s="244">
        <v>4.3067708015441841</v>
      </c>
      <c r="L26" s="244">
        <v>0</v>
      </c>
      <c r="M26" s="244">
        <v>0</v>
      </c>
      <c r="N26" s="245">
        <v>0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151.36610621230227</v>
      </c>
      <c r="V26" s="246">
        <v>0</v>
      </c>
      <c r="W26" s="246">
        <v>18.461045154699434</v>
      </c>
      <c r="X26" s="246">
        <v>0</v>
      </c>
      <c r="Y26" s="250">
        <v>107.49765747845794</v>
      </c>
      <c r="Z26" s="250">
        <v>0</v>
      </c>
      <c r="AA26" s="251">
        <v>0</v>
      </c>
      <c r="AB26" s="252">
        <v>167.22753440008978</v>
      </c>
      <c r="AC26" s="253">
        <v>0</v>
      </c>
      <c r="AD26" s="253">
        <v>8</v>
      </c>
      <c r="AE26" s="252">
        <v>7.9996069581370275</v>
      </c>
      <c r="AF26" s="252">
        <v>0</v>
      </c>
      <c r="AG26" s="252">
        <v>1</v>
      </c>
      <c r="AH26" s="253">
        <v>316.05682463645934</v>
      </c>
      <c r="AI26" s="253">
        <v>1092.7533882776893</v>
      </c>
      <c r="AJ26" s="253">
        <v>3135.035052871704</v>
      </c>
      <c r="AK26" s="253">
        <v>683.78413581848133</v>
      </c>
      <c r="AL26" s="253">
        <v>2721.6704804738361</v>
      </c>
      <c r="AM26" s="253">
        <v>2611.9529665629066</v>
      </c>
      <c r="AN26" s="253">
        <v>566.8313475926717</v>
      </c>
      <c r="AO26" s="253">
        <v>1841.9137925465905</v>
      </c>
      <c r="AP26" s="253">
        <v>82.273691574732453</v>
      </c>
      <c r="AQ26" s="253">
        <v>685.66544357935595</v>
      </c>
    </row>
    <row r="27" spans="1:43">
      <c r="A27" s="232">
        <f t="shared" si="0"/>
        <v>40683</v>
      </c>
      <c r="B27" s="243"/>
      <c r="C27" s="244">
        <v>0</v>
      </c>
      <c r="D27" s="244">
        <v>0</v>
      </c>
      <c r="E27" s="244">
        <v>0</v>
      </c>
      <c r="F27" s="244">
        <v>0</v>
      </c>
      <c r="G27" s="244">
        <v>0</v>
      </c>
      <c r="H27" s="245">
        <v>0</v>
      </c>
      <c r="I27" s="243">
        <v>114.33665037155134</v>
      </c>
      <c r="J27" s="244">
        <v>498.09771585464432</v>
      </c>
      <c r="K27" s="244">
        <v>4.2694194962581031</v>
      </c>
      <c r="L27" s="244">
        <v>0</v>
      </c>
      <c r="M27" s="244">
        <v>0</v>
      </c>
      <c r="N27" s="245">
        <v>0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131.22331333075402</v>
      </c>
      <c r="V27" s="246">
        <v>0</v>
      </c>
      <c r="W27" s="246">
        <v>15.702089982758404</v>
      </c>
      <c r="X27" s="246">
        <v>0</v>
      </c>
      <c r="Y27" s="246">
        <v>92.086216748524123</v>
      </c>
      <c r="Z27" s="246">
        <v>0</v>
      </c>
      <c r="AA27" s="256">
        <v>0</v>
      </c>
      <c r="AB27" s="253">
        <v>167.23553714751992</v>
      </c>
      <c r="AC27" s="253">
        <v>0</v>
      </c>
      <c r="AD27" s="253">
        <v>8.0048809068070526</v>
      </c>
      <c r="AE27" s="253">
        <v>8.0008301996993048</v>
      </c>
      <c r="AF27" s="253">
        <v>0</v>
      </c>
      <c r="AG27" s="253">
        <v>1</v>
      </c>
      <c r="AH27" s="253">
        <v>258.35894070466361</v>
      </c>
      <c r="AI27" s="253">
        <v>1037.6904203414915</v>
      </c>
      <c r="AJ27" s="253">
        <v>3134.5442635854083</v>
      </c>
      <c r="AK27" s="253">
        <v>677.66476192474352</v>
      </c>
      <c r="AL27" s="253">
        <v>2662.8948959350587</v>
      </c>
      <c r="AM27" s="253">
        <v>2792.7031365712487</v>
      </c>
      <c r="AN27" s="253">
        <v>589.45160741806023</v>
      </c>
      <c r="AO27" s="253">
        <v>1766.6861572265625</v>
      </c>
      <c r="AP27" s="253">
        <v>71.983420201142621</v>
      </c>
      <c r="AQ27" s="253">
        <v>736.70272483825693</v>
      </c>
    </row>
    <row r="28" spans="1:43">
      <c r="A28" s="232">
        <f t="shared" si="0"/>
        <v>40684</v>
      </c>
      <c r="B28" s="243"/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5">
        <v>0</v>
      </c>
      <c r="I28" s="243">
        <v>114.71248269081087</v>
      </c>
      <c r="J28" s="244">
        <v>501.63211301167752</v>
      </c>
      <c r="K28" s="244">
        <v>4.1979400515556327</v>
      </c>
      <c r="L28" s="244">
        <v>0</v>
      </c>
      <c r="M28" s="244">
        <v>0</v>
      </c>
      <c r="N28" s="245">
        <v>0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131.3270716532169</v>
      </c>
      <c r="V28" s="246">
        <v>0</v>
      </c>
      <c r="W28" s="246">
        <v>15.204223046551878</v>
      </c>
      <c r="X28" s="246">
        <v>0</v>
      </c>
      <c r="Y28" s="250">
        <v>96.837426088970375</v>
      </c>
      <c r="Z28" s="250">
        <v>0</v>
      </c>
      <c r="AA28" s="251">
        <v>0</v>
      </c>
      <c r="AB28" s="252">
        <v>167.25588365131173</v>
      </c>
      <c r="AC28" s="253">
        <v>0</v>
      </c>
      <c r="AD28" s="253">
        <v>8.0066139552328259</v>
      </c>
      <c r="AE28" s="252">
        <v>8.0000269310895895</v>
      </c>
      <c r="AF28" s="252">
        <v>0</v>
      </c>
      <c r="AG28" s="252">
        <v>1</v>
      </c>
      <c r="AH28" s="253">
        <v>237.02449467182166</v>
      </c>
      <c r="AI28" s="253">
        <v>1030.0385986328126</v>
      </c>
      <c r="AJ28" s="253">
        <v>3102.9632589976</v>
      </c>
      <c r="AK28" s="253">
        <v>674.62384990056353</v>
      </c>
      <c r="AL28" s="253">
        <v>2651.5874568939207</v>
      </c>
      <c r="AM28" s="253">
        <v>2740.9076243082682</v>
      </c>
      <c r="AN28" s="253">
        <v>579.25980655352271</v>
      </c>
      <c r="AO28" s="253">
        <v>1766.6861572265625</v>
      </c>
      <c r="AP28" s="253">
        <v>72.542947399616239</v>
      </c>
      <c r="AQ28" s="253">
        <v>852.58321183522571</v>
      </c>
    </row>
    <row r="29" spans="1:43">
      <c r="A29" s="232">
        <f t="shared" si="0"/>
        <v>40685</v>
      </c>
      <c r="B29" s="243"/>
      <c r="C29" s="244">
        <v>0</v>
      </c>
      <c r="D29" s="244">
        <v>0</v>
      </c>
      <c r="E29" s="244">
        <v>0</v>
      </c>
      <c r="F29" s="244">
        <v>0</v>
      </c>
      <c r="G29" s="244">
        <v>0</v>
      </c>
      <c r="H29" s="245">
        <v>0</v>
      </c>
      <c r="I29" s="243">
        <v>114.82822497685753</v>
      </c>
      <c r="J29" s="244">
        <v>501.96920321782511</v>
      </c>
      <c r="K29" s="244">
        <v>4.192956874767944</v>
      </c>
      <c r="L29" s="244">
        <v>0</v>
      </c>
      <c r="M29" s="244">
        <v>0</v>
      </c>
      <c r="N29" s="245">
        <v>0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131.34348471112224</v>
      </c>
      <c r="V29" s="246">
        <v>0</v>
      </c>
      <c r="W29" s="246">
        <v>15.352740044035691</v>
      </c>
      <c r="X29" s="246">
        <v>0</v>
      </c>
      <c r="Y29" s="250">
        <v>101.41228142505177</v>
      </c>
      <c r="Z29" s="250">
        <v>0</v>
      </c>
      <c r="AA29" s="251">
        <v>0</v>
      </c>
      <c r="AB29" s="252">
        <v>167.26337164773287</v>
      </c>
      <c r="AC29" s="253">
        <v>0</v>
      </c>
      <c r="AD29" s="253">
        <v>8.0078246209356436</v>
      </c>
      <c r="AE29" s="252">
        <v>7.9996407739423141</v>
      </c>
      <c r="AF29" s="252">
        <v>0</v>
      </c>
      <c r="AG29" s="252">
        <v>1</v>
      </c>
      <c r="AH29" s="253">
        <v>219.68121538162228</v>
      </c>
      <c r="AI29" s="253">
        <v>1020.7443276087442</v>
      </c>
      <c r="AJ29" s="253">
        <v>3119.8768227895098</v>
      </c>
      <c r="AK29" s="253">
        <v>676.78888276418058</v>
      </c>
      <c r="AL29" s="253">
        <v>2617.9729614257808</v>
      </c>
      <c r="AM29" s="253">
        <v>2680.1246916453042</v>
      </c>
      <c r="AN29" s="253">
        <v>596.65690313975017</v>
      </c>
      <c r="AO29" s="253">
        <v>1769.0023620605468</v>
      </c>
      <c r="AP29" s="253">
        <v>85.968267107009879</v>
      </c>
      <c r="AQ29" s="253">
        <v>858.27272434234624</v>
      </c>
    </row>
    <row r="30" spans="1:43">
      <c r="A30" s="232">
        <f t="shared" si="0"/>
        <v>40686</v>
      </c>
      <c r="B30" s="243"/>
      <c r="C30" s="244">
        <v>92.917878301938586</v>
      </c>
      <c r="D30" s="244">
        <v>343.03593937555956</v>
      </c>
      <c r="E30" s="244">
        <v>8.1545048157374591</v>
      </c>
      <c r="F30" s="244">
        <v>0</v>
      </c>
      <c r="G30" s="244">
        <v>1429.9417936325108</v>
      </c>
      <c r="H30" s="245">
        <v>29.28419092694924</v>
      </c>
      <c r="I30" s="243">
        <v>95.808294614156097</v>
      </c>
      <c r="J30" s="244">
        <v>436.01710211435824</v>
      </c>
      <c r="K30" s="244">
        <v>3.5591034019986818</v>
      </c>
      <c r="L30" s="244">
        <v>0</v>
      </c>
      <c r="M30" s="244">
        <v>0</v>
      </c>
      <c r="N30" s="245">
        <v>0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118.35438969581406</v>
      </c>
      <c r="V30" s="246">
        <v>51.939302983060635</v>
      </c>
      <c r="W30" s="246">
        <v>13.827433037150257</v>
      </c>
      <c r="X30" s="246">
        <v>6.0681081271287249</v>
      </c>
      <c r="Y30" s="250">
        <v>94.20653713731754</v>
      </c>
      <c r="Z30" s="250">
        <v>41.342124174150044</v>
      </c>
      <c r="AA30" s="251">
        <v>0</v>
      </c>
      <c r="AB30" s="252">
        <v>167.26693787045323</v>
      </c>
      <c r="AC30" s="253">
        <v>0</v>
      </c>
      <c r="AD30" s="253">
        <v>7.5952858438094548</v>
      </c>
      <c r="AE30" s="252">
        <v>6.5232415355795936</v>
      </c>
      <c r="AF30" s="252">
        <v>0.95505360751179114</v>
      </c>
      <c r="AG30" s="252">
        <v>0.87</v>
      </c>
      <c r="AH30" s="253">
        <v>216.8233090877533</v>
      </c>
      <c r="AI30" s="253">
        <v>1021.2164918899537</v>
      </c>
      <c r="AJ30" s="253">
        <v>3138.8891251881923</v>
      </c>
      <c r="AK30" s="253">
        <v>673.58635352452586</v>
      </c>
      <c r="AL30" s="253">
        <v>2613.1331142425524</v>
      </c>
      <c r="AM30" s="253">
        <v>2738.066915639241</v>
      </c>
      <c r="AN30" s="253">
        <v>580.2929944356282</v>
      </c>
      <c r="AO30" s="253">
        <v>1628.8143310546875</v>
      </c>
      <c r="AP30" s="253">
        <v>65.808918952941895</v>
      </c>
      <c r="AQ30" s="253">
        <v>763.92640457153323</v>
      </c>
    </row>
    <row r="31" spans="1:43">
      <c r="A31" s="232">
        <f t="shared" si="0"/>
        <v>40687</v>
      </c>
      <c r="B31" s="243"/>
      <c r="C31" s="244">
        <v>96.58368666569406</v>
      </c>
      <c r="D31" s="244">
        <v>338.84636955261288</v>
      </c>
      <c r="E31" s="244">
        <v>7.9718578060468053</v>
      </c>
      <c r="F31" s="244">
        <v>0</v>
      </c>
      <c r="G31" s="244">
        <v>1382.7474264780726</v>
      </c>
      <c r="H31" s="245">
        <v>29.579654657840777</v>
      </c>
      <c r="I31" s="243">
        <v>66.768160740534455</v>
      </c>
      <c r="J31" s="244">
        <v>321.6913478692378</v>
      </c>
      <c r="K31" s="244">
        <v>2.5625856096545854</v>
      </c>
      <c r="L31" s="244">
        <v>0</v>
      </c>
      <c r="M31" s="244">
        <v>0</v>
      </c>
      <c r="N31" s="245">
        <v>0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114.29227610709455</v>
      </c>
      <c r="V31" s="246">
        <v>68.573324500035255</v>
      </c>
      <c r="W31" s="246">
        <v>14.278663535538021</v>
      </c>
      <c r="X31" s="246">
        <v>8.5669431163641949</v>
      </c>
      <c r="Y31" s="250">
        <v>88.991569733048991</v>
      </c>
      <c r="Z31" s="250">
        <v>53.393352525010066</v>
      </c>
      <c r="AA31" s="251">
        <v>0</v>
      </c>
      <c r="AB31" s="252">
        <v>108.9116583824138</v>
      </c>
      <c r="AC31" s="253">
        <v>0</v>
      </c>
      <c r="AD31" s="253">
        <v>8.1393943899207777</v>
      </c>
      <c r="AE31" s="252">
        <v>4.9994264111596269</v>
      </c>
      <c r="AF31" s="252">
        <v>2.9995665611319051</v>
      </c>
      <c r="AG31" s="252">
        <v>0.62500697631284496</v>
      </c>
      <c r="AH31" s="253">
        <v>233.6221755186717</v>
      </c>
      <c r="AI31" s="253">
        <v>1027.1118813196817</v>
      </c>
      <c r="AJ31" s="253">
        <v>2971.6456199645995</v>
      </c>
      <c r="AK31" s="253">
        <v>651.91855796178174</v>
      </c>
      <c r="AL31" s="253">
        <v>2677.090315373739</v>
      </c>
      <c r="AM31" s="253">
        <v>2449.9446353912354</v>
      </c>
      <c r="AN31" s="253">
        <v>501.93663501739508</v>
      </c>
      <c r="AO31" s="253">
        <v>1628.8143310546875</v>
      </c>
      <c r="AP31" s="253">
        <v>80.884539520740503</v>
      </c>
      <c r="AQ31" s="253">
        <v>666.6507356007894</v>
      </c>
    </row>
    <row r="32" spans="1:43">
      <c r="A32" s="232">
        <f t="shared" si="0"/>
        <v>40688</v>
      </c>
      <c r="B32" s="243"/>
      <c r="C32" s="244">
        <v>98.516844503085011</v>
      </c>
      <c r="D32" s="244">
        <v>357.26655879020637</v>
      </c>
      <c r="E32" s="244">
        <v>8.0376064057151471</v>
      </c>
      <c r="F32" s="244">
        <v>0</v>
      </c>
      <c r="G32" s="244">
        <v>1357.5076123555509</v>
      </c>
      <c r="H32" s="245">
        <v>29.275719739993459</v>
      </c>
      <c r="I32" s="243">
        <v>68.473124742507949</v>
      </c>
      <c r="J32" s="244">
        <v>313.67894371350741</v>
      </c>
      <c r="K32" s="244">
        <v>2.5664558534820867</v>
      </c>
      <c r="L32" s="244">
        <v>0</v>
      </c>
      <c r="M32" s="244">
        <v>0</v>
      </c>
      <c r="N32" s="245">
        <v>0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111.23688778806276</v>
      </c>
      <c r="V32" s="246">
        <v>66.747508606029911</v>
      </c>
      <c r="W32" s="246">
        <v>14.013625802824418</v>
      </c>
      <c r="X32" s="246">
        <v>8.4088527418876957</v>
      </c>
      <c r="Y32" s="250">
        <v>88.125638237529472</v>
      </c>
      <c r="Z32" s="250">
        <v>52.879641939268758</v>
      </c>
      <c r="AA32" s="251">
        <v>0</v>
      </c>
      <c r="AB32" s="252">
        <v>105.7434687826383</v>
      </c>
      <c r="AC32" s="253">
        <v>0</v>
      </c>
      <c r="AD32" s="253">
        <v>7.9582030584414785</v>
      </c>
      <c r="AE32" s="252">
        <v>4.8619999199849833</v>
      </c>
      <c r="AF32" s="252">
        <v>2.9174349260834003</v>
      </c>
      <c r="AG32" s="252">
        <v>0.62498112217523993</v>
      </c>
      <c r="AH32" s="253">
        <v>231.91209964752196</v>
      </c>
      <c r="AI32" s="253">
        <v>1024.1592922210693</v>
      </c>
      <c r="AJ32" s="253">
        <v>2966.090296936035</v>
      </c>
      <c r="AK32" s="253">
        <v>651.81202068328867</v>
      </c>
      <c r="AL32" s="253">
        <v>2708.246212514242</v>
      </c>
      <c r="AM32" s="253">
        <v>2417.6955000559487</v>
      </c>
      <c r="AN32" s="253">
        <v>498.38524781862901</v>
      </c>
      <c r="AO32" s="253">
        <v>1753.8033494949339</v>
      </c>
      <c r="AP32" s="253">
        <v>59.758990414937337</v>
      </c>
      <c r="AQ32" s="253">
        <v>692.31777976353953</v>
      </c>
    </row>
    <row r="33" spans="1:43">
      <c r="A33" s="232">
        <f t="shared" si="0"/>
        <v>40689</v>
      </c>
      <c r="B33" s="243"/>
      <c r="C33" s="244">
        <v>95.62509945233667</v>
      </c>
      <c r="D33" s="244">
        <v>390.41283551851888</v>
      </c>
      <c r="E33" s="244">
        <v>8.104730206231288</v>
      </c>
      <c r="F33" s="244">
        <v>0</v>
      </c>
      <c r="G33" s="244">
        <v>1659.2444770812986</v>
      </c>
      <c r="H33" s="245">
        <v>29.874922259648717</v>
      </c>
      <c r="I33" s="243">
        <v>69.857676982879582</v>
      </c>
      <c r="J33" s="244">
        <v>304.42415701548367</v>
      </c>
      <c r="K33" s="244">
        <v>2.564768537878988</v>
      </c>
      <c r="L33" s="244">
        <v>0</v>
      </c>
      <c r="M33" s="244">
        <v>0</v>
      </c>
      <c r="N33" s="245">
        <v>0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110.27183208099721</v>
      </c>
      <c r="V33" s="246">
        <v>61.890083311348988</v>
      </c>
      <c r="W33" s="246">
        <v>12.993643384771598</v>
      </c>
      <c r="X33" s="246">
        <v>7.2926844183633923</v>
      </c>
      <c r="Y33" s="250">
        <v>86.760985463498557</v>
      </c>
      <c r="Z33" s="250">
        <v>48.694616904220247</v>
      </c>
      <c r="AA33" s="251">
        <v>0</v>
      </c>
      <c r="AB33" s="252">
        <v>105.76813125610548</v>
      </c>
      <c r="AC33" s="253">
        <v>0</v>
      </c>
      <c r="AD33" s="253">
        <v>7.6558279497755999</v>
      </c>
      <c r="AE33" s="252">
        <v>4.8444124557636723</v>
      </c>
      <c r="AF33" s="252">
        <v>2.7189272620547813</v>
      </c>
      <c r="AG33" s="252">
        <v>0.64051234461288742</v>
      </c>
      <c r="AH33" s="253">
        <v>220.11638561089833</v>
      </c>
      <c r="AI33" s="253">
        <v>1024.6207271575927</v>
      </c>
      <c r="AJ33" s="253">
        <v>3155.9416942596436</v>
      </c>
      <c r="AK33" s="253">
        <v>647.75718282063804</v>
      </c>
      <c r="AL33" s="253">
        <v>2603.0681343078613</v>
      </c>
      <c r="AM33" s="253">
        <v>2837.6441095987957</v>
      </c>
      <c r="AN33" s="253">
        <v>514.32918160756424</v>
      </c>
      <c r="AO33" s="253">
        <v>1779.6480176289876</v>
      </c>
      <c r="AP33" s="253">
        <v>56.864735436439517</v>
      </c>
      <c r="AQ33" s="253">
        <v>799.57821566263829</v>
      </c>
    </row>
    <row r="34" spans="1:43">
      <c r="A34" s="232">
        <f t="shared" si="0"/>
        <v>40690</v>
      </c>
      <c r="B34" s="243"/>
      <c r="C34" s="244">
        <v>94.905468833446534</v>
      </c>
      <c r="D34" s="244">
        <v>386.16654834747283</v>
      </c>
      <c r="E34" s="244">
        <v>8.1506654620170327</v>
      </c>
      <c r="F34" s="244">
        <v>0</v>
      </c>
      <c r="G34" s="244">
        <v>1541.3632239023823</v>
      </c>
      <c r="H34" s="245">
        <v>30.127187957366363</v>
      </c>
      <c r="I34" s="243">
        <v>90.560539801915652</v>
      </c>
      <c r="J34" s="244">
        <v>364.44398496945581</v>
      </c>
      <c r="K34" s="244">
        <v>3.0747240136067142</v>
      </c>
      <c r="L34" s="244">
        <v>0</v>
      </c>
      <c r="M34" s="244">
        <v>0</v>
      </c>
      <c r="N34" s="245">
        <v>0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128.39030942240424</v>
      </c>
      <c r="V34" s="246">
        <v>68.192027745123255</v>
      </c>
      <c r="W34" s="246">
        <v>15.024836715502625</v>
      </c>
      <c r="X34" s="246">
        <v>7.980151202834568</v>
      </c>
      <c r="Y34" s="250">
        <v>94.394470333859473</v>
      </c>
      <c r="Z34" s="250">
        <v>50.135795831873779</v>
      </c>
      <c r="AA34" s="251">
        <v>0</v>
      </c>
      <c r="AB34" s="252">
        <v>105.75103130870095</v>
      </c>
      <c r="AC34" s="253">
        <v>0</v>
      </c>
      <c r="AD34" s="253">
        <v>8.2659595433208537</v>
      </c>
      <c r="AE34" s="252">
        <v>5.3567370817907278</v>
      </c>
      <c r="AF34" s="252">
        <v>2.845127216751306</v>
      </c>
      <c r="AG34" s="252">
        <v>0.65311213241396149</v>
      </c>
      <c r="AH34" s="253">
        <v>217.33069975376122</v>
      </c>
      <c r="AI34" s="253">
        <v>1017.3018765131634</v>
      </c>
      <c r="AJ34" s="253">
        <v>3162.0365876515702</v>
      </c>
      <c r="AK34" s="253">
        <v>651.52421747843414</v>
      </c>
      <c r="AL34" s="253">
        <v>2568.5280804951985</v>
      </c>
      <c r="AM34" s="253">
        <v>2769.2054107666013</v>
      </c>
      <c r="AN34" s="253">
        <v>559.30822261174512</v>
      </c>
      <c r="AO34" s="253">
        <v>1609.1508992513022</v>
      </c>
      <c r="AP34" s="253">
        <v>82.236103053887689</v>
      </c>
      <c r="AQ34" s="253">
        <v>762.85163288116462</v>
      </c>
    </row>
    <row r="35" spans="1:43">
      <c r="A35" s="232">
        <f t="shared" si="0"/>
        <v>40691</v>
      </c>
      <c r="B35" s="243"/>
      <c r="C35" s="244">
        <v>94.526642930507705</v>
      </c>
      <c r="D35" s="244">
        <v>383.27462313969937</v>
      </c>
      <c r="E35" s="244">
        <v>8.0776564255356043</v>
      </c>
      <c r="F35" s="244">
        <v>0</v>
      </c>
      <c r="G35" s="244">
        <v>1514.9371572494481</v>
      </c>
      <c r="H35" s="245">
        <v>30.556578727563316</v>
      </c>
      <c r="I35" s="243">
        <v>133.3882586161296</v>
      </c>
      <c r="J35" s="244">
        <v>494.28968866666264</v>
      </c>
      <c r="K35" s="244">
        <v>4.0849769661823911</v>
      </c>
      <c r="L35" s="244">
        <v>0</v>
      </c>
      <c r="M35" s="244">
        <v>0</v>
      </c>
      <c r="N35" s="245">
        <v>0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177.38064715514216</v>
      </c>
      <c r="V35" s="246">
        <v>71.524987936851105</v>
      </c>
      <c r="W35" s="246">
        <v>21.413078558634314</v>
      </c>
      <c r="X35" s="246">
        <v>8.634370266208407</v>
      </c>
      <c r="Y35" s="250">
        <v>128.88727903172409</v>
      </c>
      <c r="Z35" s="250">
        <v>51.971064633080999</v>
      </c>
      <c r="AA35" s="251">
        <v>0</v>
      </c>
      <c r="AB35" s="252">
        <v>159.82077246771703</v>
      </c>
      <c r="AC35" s="253">
        <v>0</v>
      </c>
      <c r="AD35" s="253">
        <v>10.467932672633056</v>
      </c>
      <c r="AE35" s="252">
        <v>7.4388530092911678</v>
      </c>
      <c r="AF35" s="252">
        <v>2.9995598746925367</v>
      </c>
      <c r="AG35" s="252">
        <v>0.71264215086807448</v>
      </c>
      <c r="AH35" s="253">
        <v>212.58756630420683</v>
      </c>
      <c r="AI35" s="253">
        <v>1014.1173837661745</v>
      </c>
      <c r="AJ35" s="253">
        <v>2871.9401840209966</v>
      </c>
      <c r="AK35" s="253">
        <v>660.90454893112189</v>
      </c>
      <c r="AL35" s="253">
        <v>2635.7084679921472</v>
      </c>
      <c r="AM35" s="253">
        <v>2285.5872030893966</v>
      </c>
      <c r="AN35" s="253">
        <v>499.96538912455247</v>
      </c>
      <c r="AO35" s="253">
        <v>1608.2727294921874</v>
      </c>
      <c r="AP35" s="253">
        <v>85.617776870727539</v>
      </c>
      <c r="AQ35" s="253">
        <v>712.7979405721029</v>
      </c>
    </row>
    <row r="36" spans="1:43">
      <c r="A36" s="232">
        <f t="shared" si="0"/>
        <v>40692</v>
      </c>
      <c r="B36" s="243"/>
      <c r="C36" s="244">
        <v>94.115283620357701</v>
      </c>
      <c r="D36" s="244">
        <v>381.86343754132525</v>
      </c>
      <c r="E36" s="244">
        <v>8.0602368364731127</v>
      </c>
      <c r="F36" s="244">
        <v>0</v>
      </c>
      <c r="G36" s="244">
        <v>1405.2409848531097</v>
      </c>
      <c r="H36" s="245">
        <v>30.771087008714755</v>
      </c>
      <c r="I36" s="243">
        <v>152.20095117886845</v>
      </c>
      <c r="J36" s="244">
        <v>566.73292973836215</v>
      </c>
      <c r="K36" s="244">
        <v>4.7163816938797636</v>
      </c>
      <c r="L36" s="244">
        <v>0</v>
      </c>
      <c r="M36" s="244">
        <v>0</v>
      </c>
      <c r="N36" s="245">
        <v>0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209.80466179089319</v>
      </c>
      <c r="V36" s="246">
        <v>69.938685122762536</v>
      </c>
      <c r="W36" s="246">
        <v>25.971836683508318</v>
      </c>
      <c r="X36" s="246">
        <v>8.6577490336134453</v>
      </c>
      <c r="Y36" s="250">
        <v>155.52149172951528</v>
      </c>
      <c r="Z36" s="250">
        <v>51.843312474789883</v>
      </c>
      <c r="AA36" s="251">
        <v>0</v>
      </c>
      <c r="AB36" s="252">
        <v>185.29753902223104</v>
      </c>
      <c r="AC36" s="253">
        <v>0</v>
      </c>
      <c r="AD36" s="253">
        <v>12.07586913638645</v>
      </c>
      <c r="AE36" s="252">
        <v>9.0010186458704826</v>
      </c>
      <c r="AF36" s="252">
        <v>3.0005024839966414</v>
      </c>
      <c r="AG36" s="252">
        <v>0.74998981782987861</v>
      </c>
      <c r="AH36" s="253">
        <v>209.63648559252422</v>
      </c>
      <c r="AI36" s="253">
        <v>1011.4924455006918</v>
      </c>
      <c r="AJ36" s="253">
        <v>2853.5767040252686</v>
      </c>
      <c r="AK36" s="253">
        <v>668.56001574198422</v>
      </c>
      <c r="AL36" s="253">
        <v>2670.1599596659344</v>
      </c>
      <c r="AM36" s="253">
        <v>2175.1114700317385</v>
      </c>
      <c r="AN36" s="253">
        <v>513.71570583979292</v>
      </c>
      <c r="AO36" s="253">
        <v>2427.743408203125</v>
      </c>
      <c r="AP36" s="253">
        <v>85.617776870727539</v>
      </c>
      <c r="AQ36" s="253">
        <v>756.72606121699005</v>
      </c>
    </row>
    <row r="37" spans="1:43">
      <c r="A37" s="232">
        <f t="shared" si="0"/>
        <v>40693</v>
      </c>
      <c r="B37" s="243"/>
      <c r="C37" s="244">
        <v>94.290572146574746</v>
      </c>
      <c r="D37" s="244">
        <v>380.7083358605708</v>
      </c>
      <c r="E37" s="244">
        <v>8.0565280839800604</v>
      </c>
      <c r="F37" s="244">
        <v>0</v>
      </c>
      <c r="G37" s="244">
        <v>1206.3750207265221</v>
      </c>
      <c r="H37" s="245">
        <v>30.928699616591246</v>
      </c>
      <c r="I37" s="243">
        <v>150.75465067227674</v>
      </c>
      <c r="J37" s="244">
        <v>562.53273108800249</v>
      </c>
      <c r="K37" s="244">
        <v>4.7063100238641127</v>
      </c>
      <c r="L37" s="244">
        <v>0</v>
      </c>
      <c r="M37" s="244">
        <v>0</v>
      </c>
      <c r="N37" s="245">
        <v>0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207.84606200461948</v>
      </c>
      <c r="V37" s="246">
        <v>69.294800269550208</v>
      </c>
      <c r="W37" s="246">
        <v>25.793920734561041</v>
      </c>
      <c r="X37" s="246">
        <v>8.5995595405136509</v>
      </c>
      <c r="Y37" s="250">
        <v>156.18377850314195</v>
      </c>
      <c r="Z37" s="250">
        <v>52.070862600602702</v>
      </c>
      <c r="AA37" s="251">
        <v>0</v>
      </c>
      <c r="AB37" s="252">
        <v>185.30982491175288</v>
      </c>
      <c r="AC37" s="253">
        <v>0</v>
      </c>
      <c r="AD37" s="253">
        <v>12.074057634671519</v>
      </c>
      <c r="AE37" s="252">
        <v>9.0000158495058233</v>
      </c>
      <c r="AF37" s="252">
        <v>3.0005586572067502</v>
      </c>
      <c r="AG37" s="252">
        <v>0.74996541577835496</v>
      </c>
      <c r="AH37" s="253">
        <v>204.36044984658562</v>
      </c>
      <c r="AI37" s="253">
        <v>1005.3910406748454</v>
      </c>
      <c r="AJ37" s="253">
        <v>2825.1987188975013</v>
      </c>
      <c r="AK37" s="253">
        <v>676.05407342910769</v>
      </c>
      <c r="AL37" s="253">
        <v>2601.9698107401532</v>
      </c>
      <c r="AM37" s="253">
        <v>2196.5637486775713</v>
      </c>
      <c r="AN37" s="253">
        <v>470.59129064877823</v>
      </c>
      <c r="AO37" s="253">
        <v>2427.743408203125</v>
      </c>
      <c r="AP37" s="253">
        <v>96.795043768485385</v>
      </c>
      <c r="AQ37" s="253">
        <v>754.33513364791861</v>
      </c>
    </row>
    <row r="38" spans="1:43" ht="15.75" thickBot="1">
      <c r="A38" s="232">
        <f t="shared" si="0"/>
        <v>40694</v>
      </c>
      <c r="B38" s="257"/>
      <c r="C38" s="258">
        <v>94.07044702768323</v>
      </c>
      <c r="D38" s="258">
        <v>382.11769963900201</v>
      </c>
      <c r="E38" s="258">
        <v>8.1064097707469163</v>
      </c>
      <c r="F38" s="258">
        <v>0</v>
      </c>
      <c r="G38" s="258">
        <v>1484.7995747248317</v>
      </c>
      <c r="H38" s="259">
        <v>30.790973599751862</v>
      </c>
      <c r="I38" s="260">
        <v>147.94006387392676</v>
      </c>
      <c r="J38" s="258">
        <v>561.48403596878165</v>
      </c>
      <c r="K38" s="258">
        <v>4.7124579747517954</v>
      </c>
      <c r="L38" s="258">
        <v>0</v>
      </c>
      <c r="M38" s="258">
        <v>0</v>
      </c>
      <c r="N38" s="259">
        <v>0</v>
      </c>
      <c r="O38" s="260">
        <v>0</v>
      </c>
      <c r="P38" s="258">
        <v>0</v>
      </c>
      <c r="Q38" s="258">
        <v>0</v>
      </c>
      <c r="R38" s="261">
        <v>0</v>
      </c>
      <c r="S38" s="258">
        <v>0</v>
      </c>
      <c r="T38" s="262">
        <v>0</v>
      </c>
      <c r="U38" s="263">
        <v>199.60087608191256</v>
      </c>
      <c r="V38" s="264">
        <v>66.526882156138555</v>
      </c>
      <c r="W38" s="265">
        <v>25.242015850916825</v>
      </c>
      <c r="X38" s="265">
        <v>8.4131525214758192</v>
      </c>
      <c r="Y38" s="264">
        <v>159.75249116639415</v>
      </c>
      <c r="Z38" s="264">
        <v>53.245433399875452</v>
      </c>
      <c r="AA38" s="266">
        <v>0</v>
      </c>
      <c r="AB38" s="267">
        <v>185.29870292875501</v>
      </c>
      <c r="AC38" s="268">
        <v>0</v>
      </c>
      <c r="AD38" s="269">
        <v>12.085762895478139</v>
      </c>
      <c r="AE38" s="267">
        <v>9.0000793811933928</v>
      </c>
      <c r="AF38" s="267">
        <v>2.9997224067434982</v>
      </c>
      <c r="AG38" s="267">
        <v>0.75001900366729013</v>
      </c>
      <c r="AH38" s="268">
        <v>201.74086257616682</v>
      </c>
      <c r="AI38" s="268">
        <v>1003.2589452743528</v>
      </c>
      <c r="AJ38" s="268">
        <v>2923.2071708679196</v>
      </c>
      <c r="AK38" s="268">
        <v>678.56220140457162</v>
      </c>
      <c r="AL38" s="268">
        <v>2545.1234062194831</v>
      </c>
      <c r="AM38" s="268">
        <v>2235.2775717417398</v>
      </c>
      <c r="AN38" s="268">
        <v>630.25252726872759</v>
      </c>
      <c r="AO38" s="268">
        <v>2478.1231063842774</v>
      </c>
      <c r="AP38" s="268">
        <v>84.756308682759595</v>
      </c>
      <c r="AQ38" s="268">
        <v>890.43258819580069</v>
      </c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855.55192348162416</v>
      </c>
      <c r="D39" s="272">
        <f t="shared" si="1"/>
        <v>3343.692347764968</v>
      </c>
      <c r="E39" s="272">
        <f t="shared" si="1"/>
        <v>72.720195812483425</v>
      </c>
      <c r="F39" s="272">
        <f t="shared" si="1"/>
        <v>0</v>
      </c>
      <c r="G39" s="272">
        <f t="shared" si="1"/>
        <v>12982.157271003725</v>
      </c>
      <c r="H39" s="273">
        <f t="shared" si="1"/>
        <v>271.18901449441972</v>
      </c>
      <c r="I39" s="271">
        <f t="shared" si="1"/>
        <v>2570.5607818762442</v>
      </c>
      <c r="J39" s="272">
        <f t="shared" si="1"/>
        <v>10988.947362883884</v>
      </c>
      <c r="K39" s="272">
        <f t="shared" si="1"/>
        <v>92.102593576411408</v>
      </c>
      <c r="L39" s="272">
        <f t="shared" si="1"/>
        <v>0</v>
      </c>
      <c r="M39" s="272">
        <f t="shared" si="1"/>
        <v>0</v>
      </c>
      <c r="N39" s="273">
        <f t="shared" si="1"/>
        <v>0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3595.8515895119667</v>
      </c>
      <c r="V39" s="275">
        <f t="shared" si="1"/>
        <v>594.62760263090047</v>
      </c>
      <c r="W39" s="275">
        <f t="shared" si="1"/>
        <v>455.73606055083638</v>
      </c>
      <c r="X39" s="275">
        <f t="shared" si="1"/>
        <v>72.621570968389904</v>
      </c>
      <c r="Y39" s="275">
        <f t="shared" si="1"/>
        <v>2568.8757180921157</v>
      </c>
      <c r="Z39" s="275">
        <f t="shared" si="1"/>
        <v>455.57620448287184</v>
      </c>
      <c r="AA39" s="277">
        <f t="shared" si="1"/>
        <v>0</v>
      </c>
      <c r="AB39" s="278">
        <f t="shared" si="1"/>
        <v>3511.1547674337853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8657.0708949168529</v>
      </c>
      <c r="AI39" s="278">
        <f t="shared" si="2"/>
        <v>27934.62706244786</v>
      </c>
      <c r="AJ39" s="278">
        <f t="shared" si="2"/>
        <v>72961.867992432904</v>
      </c>
      <c r="AK39" s="278">
        <f t="shared" si="2"/>
        <v>24233.559864068029</v>
      </c>
      <c r="AL39" s="278">
        <f t="shared" si="2"/>
        <v>59619.102867190049</v>
      </c>
      <c r="AM39" s="278">
        <f t="shared" si="2"/>
        <v>69143.19838809967</v>
      </c>
      <c r="AN39" s="278">
        <f t="shared" si="2"/>
        <v>17007.934803660712</v>
      </c>
      <c r="AO39" s="278">
        <f t="shared" si="2"/>
        <v>41258.02062002023</v>
      </c>
      <c r="AP39" s="278">
        <f t="shared" si="2"/>
        <v>2370.0766589065393</v>
      </c>
      <c r="AQ39" s="278">
        <f t="shared" si="2"/>
        <v>23794.948291333505</v>
      </c>
    </row>
    <row r="40" spans="1:43" ht="15.75" thickBot="1">
      <c r="A40" s="280" t="s">
        <v>182</v>
      </c>
      <c r="B40" s="281">
        <f>Projection!$AB$30</f>
        <v>0.91139353199999984</v>
      </c>
      <c r="C40" s="282">
        <f>Projection!$AB$28</f>
        <v>1.3599037199999999</v>
      </c>
      <c r="D40" s="282">
        <f>Projection!$AB$31</f>
        <v>2.0549759999999999</v>
      </c>
      <c r="E40" s="282">
        <f>Projection!$AB$26</f>
        <v>3.1224959999999999</v>
      </c>
      <c r="F40" s="282">
        <f>Projection!$AB$23</f>
        <v>5.8379999999999994E-2</v>
      </c>
      <c r="G40" s="282">
        <f>Projection!$AB$24</f>
        <v>4.9500000000000002E-2</v>
      </c>
      <c r="H40" s="283">
        <f>Projection!$AB$29</f>
        <v>3.6371774160000006</v>
      </c>
      <c r="I40" s="281">
        <f>Projection!$AB$30</f>
        <v>0.91139353199999984</v>
      </c>
      <c r="J40" s="282">
        <f>Projection!$AB$28</f>
        <v>1.3599037199999999</v>
      </c>
      <c r="K40" s="282">
        <f>Projection!$AB$26</f>
        <v>3.1224959999999999</v>
      </c>
      <c r="L40" s="282">
        <f>Projection!$AB$25</f>
        <v>0.37613399999999997</v>
      </c>
      <c r="M40" s="282">
        <f>Projection!$AB$23</f>
        <v>5.8379999999999994E-2</v>
      </c>
      <c r="N40" s="283">
        <f>Projection!$AB$23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Projection!$AB$28</f>
        <v>1.3599037199999999</v>
      </c>
      <c r="T40" s="346">
        <f>Projection!$AB$28</f>
        <v>1.3599037199999999</v>
      </c>
      <c r="U40" s="344">
        <f>Projection!$AB$27</f>
        <v>0.28249999999999997</v>
      </c>
      <c r="V40" s="345">
        <f>Projection!$AB$27</f>
        <v>0.28249999999999997</v>
      </c>
      <c r="W40" s="345">
        <f>Projection!$AB$22</f>
        <v>1.02</v>
      </c>
      <c r="X40" s="345">
        <f>Projection!$AB$22</f>
        <v>1.02</v>
      </c>
      <c r="Y40" s="345">
        <f>Projection!$AB$31</f>
        <v>2.0549759999999999</v>
      </c>
      <c r="Z40" s="345">
        <f>Projection!$AB$31</f>
        <v>2.0549759999999999</v>
      </c>
      <c r="AA40" s="347">
        <v>0</v>
      </c>
      <c r="AB40" s="348">
        <f>Projection!$AB$27</f>
        <v>0.28249999999999997</v>
      </c>
      <c r="AC40" s="348">
        <f>Projection!$AB$30</f>
        <v>0.91139353199999984</v>
      </c>
      <c r="AD40" s="289">
        <f>SUM(AD8:AD38)</f>
        <v>190.20802054156849</v>
      </c>
      <c r="AE40" s="289">
        <f>SUM(AE8:AE38)</f>
        <v>164.18617792709574</v>
      </c>
      <c r="AF40" s="289">
        <f>SUM(AF8:AF38)</f>
        <v>24.436452996172612</v>
      </c>
      <c r="AG40" s="289">
        <f>IF(SUM(AE40:AF40)&gt;0, AE40/(AE40+AF40), "")</f>
        <v>0.87044792622941747</v>
      </c>
      <c r="AH40" s="290">
        <v>8.1000000000000003E-2</v>
      </c>
      <c r="AI40" s="290">
        <f t="shared" ref="AI40:AQ40" si="3">$AH$40</f>
        <v>8.1000000000000003E-2</v>
      </c>
      <c r="AJ40" s="290">
        <f t="shared" si="3"/>
        <v>8.1000000000000003E-2</v>
      </c>
      <c r="AK40" s="290">
        <f t="shared" si="3"/>
        <v>8.1000000000000003E-2</v>
      </c>
      <c r="AL40" s="290">
        <f t="shared" si="3"/>
        <v>8.1000000000000003E-2</v>
      </c>
      <c r="AM40" s="290">
        <f t="shared" si="3"/>
        <v>8.1000000000000003E-2</v>
      </c>
      <c r="AN40" s="290">
        <f t="shared" si="3"/>
        <v>8.1000000000000003E-2</v>
      </c>
      <c r="AO40" s="290">
        <f t="shared" si="3"/>
        <v>8.1000000000000003E-2</v>
      </c>
      <c r="AP40" s="290">
        <f t="shared" si="3"/>
        <v>8.1000000000000003E-2</v>
      </c>
      <c r="AQ40" s="290">
        <f t="shared" si="3"/>
        <v>8.1000000000000003E-2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1163.468243395816</v>
      </c>
      <c r="D41" s="293">
        <f t="shared" si="4"/>
        <v>6871.2075260406627</v>
      </c>
      <c r="E41" s="293">
        <f t="shared" si="4"/>
        <v>227.06852054369625</v>
      </c>
      <c r="F41" s="293">
        <f t="shared" si="4"/>
        <v>0</v>
      </c>
      <c r="G41" s="293">
        <f t="shared" si="4"/>
        <v>642.61678491468444</v>
      </c>
      <c r="H41" s="294">
        <f t="shared" si="4"/>
        <v>986.36255898640024</v>
      </c>
      <c r="I41" s="292">
        <f t="shared" si="4"/>
        <v>2342.7924702148712</v>
      </c>
      <c r="J41" s="293">
        <f t="shared" si="4"/>
        <v>14943.910397669983</v>
      </c>
      <c r="K41" s="293">
        <f t="shared" si="4"/>
        <v>287.5899800319703</v>
      </c>
      <c r="L41" s="293">
        <f t="shared" si="4"/>
        <v>0</v>
      </c>
      <c r="M41" s="293">
        <f t="shared" si="4"/>
        <v>0</v>
      </c>
      <c r="N41" s="294">
        <f t="shared" si="4"/>
        <v>0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1015.8280740371305</v>
      </c>
      <c r="V41" s="296">
        <f t="shared" si="4"/>
        <v>167.98229774322937</v>
      </c>
      <c r="W41" s="296">
        <f t="shared" si="4"/>
        <v>464.85078176185311</v>
      </c>
      <c r="X41" s="296">
        <f t="shared" si="4"/>
        <v>74.074002387757702</v>
      </c>
      <c r="Y41" s="296">
        <f t="shared" si="4"/>
        <v>5278.9779476620633</v>
      </c>
      <c r="Z41" s="296">
        <f t="shared" si="4"/>
        <v>936.19816638339398</v>
      </c>
      <c r="AA41" s="298">
        <f t="shared" si="4"/>
        <v>0</v>
      </c>
      <c r="AB41" s="299">
        <f t="shared" si="4"/>
        <v>991.90122180004425</v>
      </c>
      <c r="AC41" s="299">
        <f t="shared" si="4"/>
        <v>0</v>
      </c>
      <c r="AH41" s="300">
        <f t="shared" ref="AH41:AQ41" si="5">AH40*AH39</f>
        <v>701.22274248826511</v>
      </c>
      <c r="AI41" s="300">
        <f t="shared" si="5"/>
        <v>2262.7047920582768</v>
      </c>
      <c r="AJ41" s="300">
        <f t="shared" si="5"/>
        <v>5909.9113073870658</v>
      </c>
      <c r="AK41" s="300">
        <f t="shared" si="5"/>
        <v>1962.9183489895104</v>
      </c>
      <c r="AL41" s="300">
        <f t="shared" si="5"/>
        <v>4829.1473322423944</v>
      </c>
      <c r="AM41" s="300">
        <f t="shared" si="5"/>
        <v>5600.5990694360735</v>
      </c>
      <c r="AN41" s="300">
        <f t="shared" si="5"/>
        <v>1377.6427190965178</v>
      </c>
      <c r="AO41" s="300">
        <f t="shared" si="5"/>
        <v>3341.8996702216386</v>
      </c>
      <c r="AP41" s="300">
        <f t="shared" si="5"/>
        <v>191.97620937142969</v>
      </c>
      <c r="AQ41" s="300">
        <f t="shared" si="5"/>
        <v>1927.3908115980139</v>
      </c>
    </row>
    <row r="42" spans="1:43" ht="49.5" customHeight="1" thickTop="1" thickBot="1">
      <c r="A42" s="544" t="s">
        <v>56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1150.72</v>
      </c>
      <c r="AI42" s="300" t="s">
        <v>207</v>
      </c>
      <c r="AJ42" s="300">
        <v>1737.9</v>
      </c>
      <c r="AK42" s="300">
        <v>735.09</v>
      </c>
      <c r="AL42" s="300">
        <v>1305.1199999999999</v>
      </c>
      <c r="AM42" s="300">
        <v>5811.48</v>
      </c>
      <c r="AN42" s="300">
        <v>1199.4100000000001</v>
      </c>
      <c r="AO42" s="300" t="s">
        <v>207</v>
      </c>
      <c r="AP42" s="300">
        <v>116.57</v>
      </c>
      <c r="AQ42" s="300">
        <v>412.69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36394.82897357356</v>
      </c>
      <c r="C44" s="309"/>
      <c r="D44" s="307" t="s">
        <v>143</v>
      </c>
      <c r="E44" s="308">
        <f>SUM(B41:H41)+P41+R41+T41+V41+X41+Z41</f>
        <v>11068.97810039564</v>
      </c>
      <c r="F44" s="309"/>
      <c r="G44" s="307" t="s">
        <v>143</v>
      </c>
      <c r="H44" s="308">
        <f>SUM(I41:N41)+O41+Q41+S41+U41+W41+Y41</f>
        <v>24333.949651377872</v>
      </c>
      <c r="I44" s="309"/>
      <c r="J44" s="307" t="s">
        <v>208</v>
      </c>
      <c r="K44" s="308">
        <v>125530.47000000002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28105.413002889189</v>
      </c>
      <c r="C45" s="309"/>
      <c r="D45" s="314" t="s">
        <v>193</v>
      </c>
      <c r="E45" s="315">
        <f>AH41*(1-$AG$40)+AI41+AJ41*0.5+AL41+AM41*(1-$AG$40)+AN41*(1-$AG$40)+AO41*(1-$AG$40)+AP41*0.5+AQ41*0.5</f>
        <v>12534.331876530752</v>
      </c>
      <c r="F45" s="316"/>
      <c r="G45" s="314" t="s">
        <v>193</v>
      </c>
      <c r="H45" s="315">
        <f>AH41*AG40+AJ41*0.5+AK41+AM41*AG40+AN41*AG40+AO41*AG40+AP41*0.5+AQ41*0.5</f>
        <v>15571.081126358436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528.35763151922629</v>
      </c>
      <c r="U45" s="321">
        <f>(T45*8.34*0.895)/27000</f>
        <v>0.14606740255366521</v>
      </c>
    </row>
    <row r="46" spans="1:43" ht="32.25" thickBot="1">
      <c r="A46" s="322" t="s">
        <v>194</v>
      </c>
      <c r="B46" s="323">
        <f>SUM(AH42:AQ42)</f>
        <v>12468.98</v>
      </c>
      <c r="C46" s="309"/>
      <c r="D46" s="322" t="s">
        <v>194</v>
      </c>
      <c r="E46" s="323">
        <f>AH42*(1-$AG$40)+AJ42*0.5+AL42+AM42*(1-$AG$40)+AN42*(1-$AG$40)+AP42*0.5+AQ42*0.5</f>
        <v>3496.0535008067241</v>
      </c>
      <c r="F46" s="324"/>
      <c r="G46" s="322" t="s">
        <v>194</v>
      </c>
      <c r="H46" s="323">
        <f>AH42*AG40+AJ42*0.5+AK42+AM42*AG40+AN42*AG40+AP42*0.5+AQ42*0.5</f>
        <v>8972.926499193276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0</v>
      </c>
      <c r="U46" s="325">
        <f>(((T46*8.34)*0.005)/(8.34*1.055))/400</f>
        <v>0</v>
      </c>
    </row>
    <row r="47" spans="1:43" ht="24.75" thickTop="1" thickBot="1">
      <c r="A47" s="322" t="s">
        <v>195</v>
      </c>
      <c r="B47" s="323">
        <f>K44</f>
        <v>125530.47000000002</v>
      </c>
      <c r="C47" s="309"/>
      <c r="D47" s="322" t="s">
        <v>197</v>
      </c>
      <c r="E47" s="323">
        <f>K44*0.5</f>
        <v>62765.235000000008</v>
      </c>
      <c r="F47" s="316"/>
      <c r="G47" s="322" t="s">
        <v>195</v>
      </c>
      <c r="H47" s="323">
        <f>K44*0.5</f>
        <v>62765.235000000008</v>
      </c>
      <c r="I47" s="309"/>
      <c r="J47" s="307" t="s">
        <v>208</v>
      </c>
      <c r="K47" s="308">
        <v>82862.559999999998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12982.157271003725</v>
      </c>
      <c r="U47" s="321">
        <f>T47/40000</f>
        <v>0.32455393177509312</v>
      </c>
    </row>
    <row r="48" spans="1:43" ht="24" thickBot="1">
      <c r="A48" s="322" t="s">
        <v>196</v>
      </c>
      <c r="B48" s="323">
        <f>K47</f>
        <v>82862.559999999998</v>
      </c>
      <c r="C48" s="309"/>
      <c r="D48" s="322" t="s">
        <v>196</v>
      </c>
      <c r="E48" s="323">
        <f>K47*0.5</f>
        <v>41431.279999999999</v>
      </c>
      <c r="F48" s="324"/>
      <c r="G48" s="322" t="s">
        <v>196</v>
      </c>
      <c r="H48" s="323">
        <f>K47*0.5</f>
        <v>41431.279999999999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190.20802054156849</v>
      </c>
      <c r="C49" s="309"/>
      <c r="D49" s="327" t="s">
        <v>205</v>
      </c>
      <c r="E49" s="328">
        <f>AF40</f>
        <v>24.436452996172612</v>
      </c>
      <c r="F49" s="324"/>
      <c r="G49" s="327" t="s">
        <v>206</v>
      </c>
      <c r="H49" s="328">
        <f>AE40</f>
        <v>164.18617792709574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164.82278938889482</v>
      </c>
      <c r="U49" s="321">
        <f>(T49*8.34*1.04)/45000</f>
        <v>3.1769043245411514E-2</v>
      </c>
    </row>
    <row r="50" spans="1:25" ht="48" thickTop="1" thickBot="1">
      <c r="A50" s="327" t="s">
        <v>200</v>
      </c>
      <c r="B50" s="329">
        <f>(SUM(B44:B48)/AD40)</f>
        <v>1500.2640328413443</v>
      </c>
      <c r="C50" s="309"/>
      <c r="D50" s="327" t="s">
        <v>198</v>
      </c>
      <c r="E50" s="329">
        <f>SUM(E44:E48)/AF40</f>
        <v>5372.951569456397</v>
      </c>
      <c r="F50" s="324"/>
      <c r="G50" s="327" t="s">
        <v>199</v>
      </c>
      <c r="H50" s="329">
        <f>SUM(H44:H48)/AE40</f>
        <v>932.32252683840341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7701.6339595766522</v>
      </c>
      <c r="U50" s="321">
        <f>T50/2000/8</f>
        <v>0.48135212247354076</v>
      </c>
    </row>
    <row r="51" spans="1:25" ht="57" customHeight="1" thickTop="1" thickBot="1">
      <c r="A51" s="330" t="s">
        <v>201</v>
      </c>
      <c r="B51" s="331">
        <f>B50/1000</f>
        <v>1.5002640328413444</v>
      </c>
      <c r="C51" s="309"/>
      <c r="D51" s="330" t="s">
        <v>202</v>
      </c>
      <c r="E51" s="331">
        <f>E50/1000</f>
        <v>5.3729515694563972</v>
      </c>
      <c r="F51" s="309"/>
      <c r="G51" s="330" t="s">
        <v>203</v>
      </c>
      <c r="H51" s="331">
        <f>H50/1000</f>
        <v>0.93232252683840344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11844.499286365508</v>
      </c>
      <c r="U51" s="321">
        <f>(T51*8.34*1.4)/45000</f>
        <v>3.07325274816897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271.18901449441972</v>
      </c>
      <c r="U52" s="321">
        <f>(T52*8.34*1.135)/45000</f>
        <v>5.7045513162282832E-2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2570.5607818762442</v>
      </c>
      <c r="U53" s="321">
        <f>(T53*8.34*1.029*0.03)/3300</f>
        <v>0.2005472068322951</v>
      </c>
    </row>
    <row r="54" spans="1:25" ht="45.75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6368.1442703399553</v>
      </c>
      <c r="U54" s="350">
        <f>(T54*1.54*8.34)/45000</f>
        <v>1.8175532833452945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  <row r="63" spans="1:25">
      <c r="A63" s="309"/>
      <c r="B63" s="309"/>
      <c r="C63" s="309"/>
    </row>
    <row r="64" spans="1:25">
      <c r="A64" s="309"/>
      <c r="B64" s="309"/>
      <c r="C64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zoomScaleNormal="100" workbookViewId="0">
      <selection activeCell="A19" sqref="A19"/>
    </sheetView>
  </sheetViews>
  <sheetFormatPr defaultRowHeight="15"/>
  <cols>
    <col min="1" max="1" width="35.140625" style="208" bestFit="1" customWidth="1"/>
    <col min="2" max="2" width="28.7109375" style="208" bestFit="1" customWidth="1"/>
    <col min="3" max="3" width="27.7109375" style="208" bestFit="1" customWidth="1"/>
    <col min="4" max="4" width="29.5703125" style="208" customWidth="1"/>
    <col min="5" max="5" width="24.140625" style="208" bestFit="1" customWidth="1"/>
    <col min="6" max="6" width="15" style="208" bestFit="1" customWidth="1"/>
    <col min="7" max="7" width="35.5703125" style="208" customWidth="1"/>
    <col min="8" max="8" width="21.85546875" style="208" bestFit="1" customWidth="1"/>
    <col min="9" max="9" width="23" style="208" bestFit="1" customWidth="1"/>
    <col min="10" max="10" width="25.85546875" style="208" bestFit="1" customWidth="1"/>
    <col min="11" max="11" width="19" style="208" bestFit="1" customWidth="1"/>
    <col min="12" max="12" width="17" style="208" bestFit="1" customWidth="1"/>
    <col min="13" max="13" width="16" style="208" bestFit="1" customWidth="1"/>
    <col min="14" max="14" width="19.5703125" style="208" bestFit="1" customWidth="1"/>
    <col min="15" max="16" width="16.140625" style="208" bestFit="1" customWidth="1"/>
    <col min="17" max="17" width="23.85546875" style="208" bestFit="1" customWidth="1"/>
    <col min="18" max="18" width="24.28515625" style="208" bestFit="1" customWidth="1"/>
    <col min="19" max="19" width="25.85546875" style="208" bestFit="1" customWidth="1"/>
    <col min="20" max="20" width="25.7109375" style="208" bestFit="1" customWidth="1"/>
    <col min="21" max="22" width="11.42578125" style="208" bestFit="1" customWidth="1"/>
    <col min="23" max="23" width="20.140625" style="208" bestFit="1" customWidth="1"/>
    <col min="24" max="24" width="19.85546875" style="208" bestFit="1" customWidth="1"/>
    <col min="25" max="25" width="22.42578125" style="208" bestFit="1" customWidth="1"/>
    <col min="26" max="26" width="22.140625" style="208" bestFit="1" customWidth="1"/>
    <col min="27" max="27" width="21.140625" style="208" bestFit="1" customWidth="1"/>
    <col min="28" max="28" width="32.7109375" style="208" bestFit="1" customWidth="1"/>
    <col min="29" max="29" width="36.7109375" style="208" customWidth="1"/>
    <col min="30" max="30" width="33.140625" style="208" bestFit="1" customWidth="1"/>
    <col min="31" max="31" width="26.85546875" style="208" customWidth="1"/>
    <col min="32" max="32" width="23" style="208" customWidth="1"/>
    <col min="33" max="33" width="22.28515625" style="208" customWidth="1"/>
    <col min="34" max="34" width="22.5703125" style="208" bestFit="1" customWidth="1"/>
    <col min="35" max="35" width="16" style="208" bestFit="1" customWidth="1"/>
    <col min="36" max="36" width="16.7109375" style="208" bestFit="1" customWidth="1"/>
    <col min="37" max="38" width="15.140625" style="208" bestFit="1" customWidth="1"/>
    <col min="39" max="39" width="21.28515625" style="208" bestFit="1" customWidth="1"/>
    <col min="40" max="40" width="18.28515625" style="208" bestFit="1" customWidth="1"/>
    <col min="41" max="41" width="15.140625" style="208" customWidth="1"/>
    <col min="42" max="43" width="15.140625" style="208" bestFit="1" customWidth="1"/>
    <col min="44" max="16384" width="9.140625" style="208"/>
  </cols>
  <sheetData>
    <row r="1" spans="1:47" ht="15" customHeight="1">
      <c r="A1" s="206" t="s">
        <v>0</v>
      </c>
      <c r="B1" s="207"/>
      <c r="C1" s="208" t="s">
        <v>1</v>
      </c>
      <c r="O1" s="209"/>
      <c r="P1" s="210"/>
      <c r="Q1" s="210"/>
      <c r="R1" s="210"/>
    </row>
    <row r="2" spans="1:47" ht="15" customHeight="1">
      <c r="A2" s="206" t="s">
        <v>2</v>
      </c>
      <c r="B2" s="211"/>
      <c r="O2" s="210"/>
      <c r="P2" s="210"/>
      <c r="Q2" s="210"/>
      <c r="R2" s="210"/>
    </row>
    <row r="3" spans="1:47" ht="15.75" thickBot="1">
      <c r="A3" s="212"/>
    </row>
    <row r="4" spans="1:47" ht="30" customHeight="1" thickTop="1">
      <c r="A4" s="214"/>
      <c r="B4" s="548" t="s">
        <v>3</v>
      </c>
      <c r="C4" s="549"/>
      <c r="D4" s="549"/>
      <c r="E4" s="549"/>
      <c r="F4" s="549"/>
      <c r="G4" s="549"/>
      <c r="H4" s="550"/>
      <c r="I4" s="548" t="s">
        <v>4</v>
      </c>
      <c r="J4" s="549"/>
      <c r="K4" s="549"/>
      <c r="L4" s="549"/>
      <c r="M4" s="549"/>
      <c r="N4" s="550"/>
      <c r="O4" s="554" t="s">
        <v>5</v>
      </c>
      <c r="P4" s="555"/>
      <c r="Q4" s="556"/>
      <c r="R4" s="556"/>
      <c r="S4" s="556"/>
      <c r="T4" s="557"/>
      <c r="U4" s="548" t="s">
        <v>6</v>
      </c>
      <c r="V4" s="561"/>
      <c r="W4" s="561"/>
      <c r="X4" s="561"/>
      <c r="Y4" s="561"/>
      <c r="Z4" s="561"/>
      <c r="AA4" s="562"/>
      <c r="AB4" s="533" t="s">
        <v>7</v>
      </c>
      <c r="AC4" s="567" t="s">
        <v>8</v>
      </c>
      <c r="AD4" s="546" t="s">
        <v>27</v>
      </c>
      <c r="AE4" s="546" t="s">
        <v>31</v>
      </c>
      <c r="AF4" s="546" t="s">
        <v>32</v>
      </c>
      <c r="AG4" s="546" t="s">
        <v>33</v>
      </c>
      <c r="AH4" s="533" t="s">
        <v>183</v>
      </c>
      <c r="AI4" s="533" t="s">
        <v>184</v>
      </c>
      <c r="AJ4" s="533" t="s">
        <v>185</v>
      </c>
      <c r="AK4" s="533" t="s">
        <v>186</v>
      </c>
      <c r="AL4" s="533" t="s">
        <v>187</v>
      </c>
      <c r="AM4" s="533" t="s">
        <v>188</v>
      </c>
      <c r="AN4" s="533" t="s">
        <v>189</v>
      </c>
      <c r="AO4" s="533" t="s">
        <v>192</v>
      </c>
      <c r="AP4" s="533" t="s">
        <v>190</v>
      </c>
      <c r="AQ4" s="533" t="s">
        <v>191</v>
      </c>
      <c r="AU4" s="342"/>
    </row>
    <row r="5" spans="1:47" ht="30" customHeight="1" thickBot="1">
      <c r="A5" s="214"/>
      <c r="B5" s="551"/>
      <c r="C5" s="552"/>
      <c r="D5" s="552"/>
      <c r="E5" s="552"/>
      <c r="F5" s="552"/>
      <c r="G5" s="552"/>
      <c r="H5" s="553"/>
      <c r="I5" s="551"/>
      <c r="J5" s="552"/>
      <c r="K5" s="552"/>
      <c r="L5" s="552"/>
      <c r="M5" s="552"/>
      <c r="N5" s="553"/>
      <c r="O5" s="558"/>
      <c r="P5" s="559"/>
      <c r="Q5" s="559"/>
      <c r="R5" s="559"/>
      <c r="S5" s="559"/>
      <c r="T5" s="560"/>
      <c r="U5" s="563"/>
      <c r="V5" s="564"/>
      <c r="W5" s="564"/>
      <c r="X5" s="564"/>
      <c r="Y5" s="564"/>
      <c r="Z5" s="564"/>
      <c r="AA5" s="565"/>
      <c r="AB5" s="566"/>
      <c r="AC5" s="568"/>
      <c r="AD5" s="547"/>
      <c r="AE5" s="547"/>
      <c r="AF5" s="547"/>
      <c r="AG5" s="547"/>
      <c r="AH5" s="534"/>
      <c r="AI5" s="534"/>
      <c r="AJ5" s="534"/>
      <c r="AK5" s="534"/>
      <c r="AL5" s="534"/>
      <c r="AM5" s="534"/>
      <c r="AN5" s="534"/>
      <c r="AO5" s="534"/>
      <c r="AP5" s="534"/>
      <c r="AQ5" s="534"/>
    </row>
    <row r="6" spans="1:47" ht="18">
      <c r="A6" s="215"/>
      <c r="B6" s="216" t="s">
        <v>9</v>
      </c>
      <c r="C6" s="217" t="s">
        <v>10</v>
      </c>
      <c r="D6" s="217" t="s">
        <v>11</v>
      </c>
      <c r="E6" s="217" t="s">
        <v>12</v>
      </c>
      <c r="F6" s="217" t="s">
        <v>13</v>
      </c>
      <c r="G6" s="217" t="s">
        <v>14</v>
      </c>
      <c r="H6" s="218" t="s">
        <v>15</v>
      </c>
      <c r="I6" s="219" t="s">
        <v>9</v>
      </c>
      <c r="J6" s="217" t="s">
        <v>16</v>
      </c>
      <c r="K6" s="217" t="s">
        <v>17</v>
      </c>
      <c r="L6" s="220" t="s">
        <v>18</v>
      </c>
      <c r="M6" s="217" t="s">
        <v>19</v>
      </c>
      <c r="N6" s="218" t="s">
        <v>13</v>
      </c>
      <c r="O6" s="216" t="s">
        <v>35</v>
      </c>
      <c r="P6" s="220" t="s">
        <v>36</v>
      </c>
      <c r="Q6" s="220" t="s">
        <v>37</v>
      </c>
      <c r="R6" s="220" t="s">
        <v>38</v>
      </c>
      <c r="S6" s="217" t="s">
        <v>39</v>
      </c>
      <c r="T6" s="221" t="s">
        <v>40</v>
      </c>
      <c r="U6" s="222" t="s">
        <v>41</v>
      </c>
      <c r="V6" s="217" t="s">
        <v>42</v>
      </c>
      <c r="W6" s="217" t="s">
        <v>43</v>
      </c>
      <c r="X6" s="217" t="s">
        <v>44</v>
      </c>
      <c r="Y6" s="217" t="s">
        <v>45</v>
      </c>
      <c r="Z6" s="217" t="s">
        <v>46</v>
      </c>
      <c r="AA6" s="223" t="s">
        <v>20</v>
      </c>
      <c r="AB6" s="224" t="s">
        <v>21</v>
      </c>
      <c r="AC6" s="224" t="s">
        <v>22</v>
      </c>
      <c r="AD6" s="225" t="s">
        <v>30</v>
      </c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</row>
    <row r="7" spans="1:47" ht="15.75" thickBot="1">
      <c r="A7" s="215"/>
      <c r="B7" s="226" t="s">
        <v>23</v>
      </c>
      <c r="C7" s="227" t="s">
        <v>23</v>
      </c>
      <c r="D7" s="227" t="s">
        <v>23</v>
      </c>
      <c r="E7" s="227" t="s">
        <v>23</v>
      </c>
      <c r="F7" s="227" t="s">
        <v>23</v>
      </c>
      <c r="G7" s="227" t="s">
        <v>24</v>
      </c>
      <c r="H7" s="228" t="s">
        <v>23</v>
      </c>
      <c r="I7" s="226" t="s">
        <v>23</v>
      </c>
      <c r="J7" s="227" t="s">
        <v>23</v>
      </c>
      <c r="K7" s="227" t="s">
        <v>23</v>
      </c>
      <c r="L7" s="227" t="s">
        <v>23</v>
      </c>
      <c r="M7" s="227" t="s">
        <v>23</v>
      </c>
      <c r="N7" s="228" t="s">
        <v>23</v>
      </c>
      <c r="O7" s="226" t="s">
        <v>23</v>
      </c>
      <c r="P7" s="227" t="s">
        <v>23</v>
      </c>
      <c r="Q7" s="227" t="s">
        <v>23</v>
      </c>
      <c r="R7" s="227" t="s">
        <v>23</v>
      </c>
      <c r="S7" s="227" t="s">
        <v>23</v>
      </c>
      <c r="T7" s="229" t="s">
        <v>23</v>
      </c>
      <c r="U7" s="226" t="s">
        <v>25</v>
      </c>
      <c r="V7" s="227" t="s">
        <v>25</v>
      </c>
      <c r="W7" s="227" t="s">
        <v>23</v>
      </c>
      <c r="X7" s="227" t="s">
        <v>23</v>
      </c>
      <c r="Y7" s="227" t="s">
        <v>23</v>
      </c>
      <c r="Z7" s="227" t="s">
        <v>23</v>
      </c>
      <c r="AA7" s="228" t="s">
        <v>23</v>
      </c>
      <c r="AB7" s="230" t="s">
        <v>25</v>
      </c>
      <c r="AC7" s="231" t="s">
        <v>23</v>
      </c>
      <c r="AD7" s="230" t="s">
        <v>28</v>
      </c>
      <c r="AE7" s="230" t="s">
        <v>28</v>
      </c>
      <c r="AF7" s="230" t="s">
        <v>28</v>
      </c>
      <c r="AG7" s="230" t="s">
        <v>34</v>
      </c>
      <c r="AH7" s="230" t="s">
        <v>180</v>
      </c>
      <c r="AI7" s="230" t="s">
        <v>180</v>
      </c>
      <c r="AJ7" s="230" t="s">
        <v>180</v>
      </c>
      <c r="AK7" s="230" t="s">
        <v>180</v>
      </c>
      <c r="AL7" s="230" t="s">
        <v>180</v>
      </c>
      <c r="AM7" s="230" t="s">
        <v>180</v>
      </c>
      <c r="AN7" s="230" t="s">
        <v>180</v>
      </c>
      <c r="AO7" s="230" t="s">
        <v>180</v>
      </c>
      <c r="AP7" s="230" t="s">
        <v>180</v>
      </c>
      <c r="AQ7" s="230" t="s">
        <v>180</v>
      </c>
    </row>
    <row r="8" spans="1:47">
      <c r="A8" s="232">
        <v>40695</v>
      </c>
      <c r="B8" s="233"/>
      <c r="C8" s="234">
        <v>94.417382657527938</v>
      </c>
      <c r="D8" s="234">
        <v>433.3752182324717</v>
      </c>
      <c r="E8" s="234">
        <v>8.0910260801513836</v>
      </c>
      <c r="F8" s="234">
        <v>0</v>
      </c>
      <c r="G8" s="234">
        <v>1381.1673937479643</v>
      </c>
      <c r="H8" s="235">
        <v>30.969489800930116</v>
      </c>
      <c r="I8" s="233">
        <v>144.51421093940735</v>
      </c>
      <c r="J8" s="234">
        <v>560.68197323481206</v>
      </c>
      <c r="K8" s="234">
        <v>4.7203947529196757</v>
      </c>
      <c r="L8" s="234">
        <v>0</v>
      </c>
      <c r="M8" s="234">
        <v>0</v>
      </c>
      <c r="N8" s="235">
        <v>0</v>
      </c>
      <c r="O8" s="233">
        <v>0</v>
      </c>
      <c r="P8" s="234">
        <v>0</v>
      </c>
      <c r="Q8" s="234">
        <v>0</v>
      </c>
      <c r="R8" s="234">
        <v>0</v>
      </c>
      <c r="S8" s="234">
        <v>0</v>
      </c>
      <c r="T8" s="236">
        <v>0</v>
      </c>
      <c r="U8" s="237">
        <v>354.52783630982378</v>
      </c>
      <c r="V8" s="238">
        <v>118.18678746989886</v>
      </c>
      <c r="W8" s="238">
        <v>25.603164090524775</v>
      </c>
      <c r="X8" s="238">
        <v>8.5351710162453891</v>
      </c>
      <c r="Y8" s="238">
        <v>164.86757779167215</v>
      </c>
      <c r="Z8" s="238">
        <v>54.960901180445468</v>
      </c>
      <c r="AA8" s="239">
        <v>0</v>
      </c>
      <c r="AB8" s="240">
        <v>185.30654882854864</v>
      </c>
      <c r="AC8" s="241">
        <v>0</v>
      </c>
      <c r="AD8" s="241">
        <v>12.123890910545999</v>
      </c>
      <c r="AE8" s="242">
        <v>8.9992357868226218</v>
      </c>
      <c r="AF8" s="242">
        <v>3.0000204734254936</v>
      </c>
      <c r="AG8" s="242">
        <v>0.74998279823690839</v>
      </c>
      <c r="AH8" s="241">
        <v>179.02685481707255</v>
      </c>
      <c r="AI8" s="241">
        <v>991.0550566991169</v>
      </c>
      <c r="AJ8" s="241">
        <v>3008.2095007578528</v>
      </c>
      <c r="AK8" s="241">
        <v>684.65044946670525</v>
      </c>
      <c r="AL8" s="241">
        <v>2887.1337980906164</v>
      </c>
      <c r="AM8" s="241">
        <v>2371.3368713378904</v>
      </c>
      <c r="AN8" s="241">
        <v>528.99324134190874</v>
      </c>
      <c r="AO8" s="241">
        <v>2633.7569522857666</v>
      </c>
      <c r="AP8" s="241">
        <v>82.447877776622761</v>
      </c>
      <c r="AQ8" s="241">
        <v>888.00767660141003</v>
      </c>
    </row>
    <row r="9" spans="1:47">
      <c r="A9" s="232">
        <f>A8+1</f>
        <v>40696</v>
      </c>
      <c r="B9" s="243"/>
      <c r="C9" s="244">
        <v>93.374647470315281</v>
      </c>
      <c r="D9" s="244">
        <v>460.91015030542951</v>
      </c>
      <c r="E9" s="244">
        <v>8.6534057309229517</v>
      </c>
      <c r="F9" s="244">
        <v>0</v>
      </c>
      <c r="G9" s="244">
        <v>1094.654175186156</v>
      </c>
      <c r="H9" s="245">
        <v>30.803761659065948</v>
      </c>
      <c r="I9" s="243">
        <v>144.80648454030347</v>
      </c>
      <c r="J9" s="244">
        <v>595.23419043223032</v>
      </c>
      <c r="K9" s="244">
        <v>5.020490010579425</v>
      </c>
      <c r="L9" s="244">
        <v>0</v>
      </c>
      <c r="M9" s="244">
        <v>0</v>
      </c>
      <c r="N9" s="245">
        <v>20.59936875253916</v>
      </c>
      <c r="O9" s="243">
        <v>0</v>
      </c>
      <c r="P9" s="244">
        <v>0</v>
      </c>
      <c r="Q9" s="246">
        <v>0</v>
      </c>
      <c r="R9" s="247">
        <v>0</v>
      </c>
      <c r="S9" s="244">
        <v>0</v>
      </c>
      <c r="T9" s="248">
        <v>0</v>
      </c>
      <c r="U9" s="249">
        <v>191.19231782153804</v>
      </c>
      <c r="V9" s="246">
        <v>63.713089638989807</v>
      </c>
      <c r="W9" s="246">
        <v>24.400504940303634</v>
      </c>
      <c r="X9" s="246">
        <v>8.1312448963001582</v>
      </c>
      <c r="Y9" s="250">
        <v>163.80529014615385</v>
      </c>
      <c r="Z9" s="250">
        <v>54.586613381423973</v>
      </c>
      <c r="AA9" s="251">
        <v>0</v>
      </c>
      <c r="AB9" s="252">
        <v>185.31381520165263</v>
      </c>
      <c r="AC9" s="253">
        <v>0</v>
      </c>
      <c r="AD9" s="253">
        <v>12.022570616006861</v>
      </c>
      <c r="AE9" s="252">
        <v>8.8525353853902615</v>
      </c>
      <c r="AF9" s="252">
        <v>2.9500263764162655</v>
      </c>
      <c r="AG9" s="252">
        <v>0.75005202802982596</v>
      </c>
      <c r="AH9" s="253">
        <v>166.02926290829976</v>
      </c>
      <c r="AI9" s="253">
        <v>984.12748781839991</v>
      </c>
      <c r="AJ9" s="253">
        <v>3088.3233903249102</v>
      </c>
      <c r="AK9" s="253">
        <v>682.29759146372476</v>
      </c>
      <c r="AL9" s="253">
        <v>3385.6720382690437</v>
      </c>
      <c r="AM9" s="253">
        <v>2494.4337654113765</v>
      </c>
      <c r="AN9" s="253">
        <v>521.40694370269773</v>
      </c>
      <c r="AO9" s="253">
        <v>2513.7350463867187</v>
      </c>
      <c r="AP9" s="253">
        <v>125.54025119543077</v>
      </c>
      <c r="AQ9" s="253">
        <v>1003.1671958605448</v>
      </c>
    </row>
    <row r="10" spans="1:47">
      <c r="A10" s="232">
        <f t="shared" ref="A10:A37" si="0">A9+1</f>
        <v>40697</v>
      </c>
      <c r="B10" s="243"/>
      <c r="C10" s="244">
        <v>93.131333533922742</v>
      </c>
      <c r="D10" s="244">
        <v>519.96582088470393</v>
      </c>
      <c r="E10" s="244">
        <v>8.1044471835096594</v>
      </c>
      <c r="F10" s="244">
        <v>0</v>
      </c>
      <c r="G10" s="244">
        <v>1795.7127653757727</v>
      </c>
      <c r="H10" s="245">
        <v>30.421885331471866</v>
      </c>
      <c r="I10" s="243">
        <v>139.43533293406151</v>
      </c>
      <c r="J10" s="244">
        <v>567.37411937713728</v>
      </c>
      <c r="K10" s="244">
        <v>4.7940464963515597</v>
      </c>
      <c r="L10" s="244">
        <v>0</v>
      </c>
      <c r="M10" s="244">
        <v>0</v>
      </c>
      <c r="N10" s="245">
        <v>54.570056942602065</v>
      </c>
      <c r="O10" s="243">
        <v>0</v>
      </c>
      <c r="P10" s="244">
        <v>0</v>
      </c>
      <c r="Q10" s="244">
        <v>0</v>
      </c>
      <c r="R10" s="247">
        <v>0</v>
      </c>
      <c r="S10" s="244">
        <v>0</v>
      </c>
      <c r="T10" s="248">
        <v>0</v>
      </c>
      <c r="U10" s="249">
        <v>198.00078705182531</v>
      </c>
      <c r="V10" s="246">
        <v>65.99614650378075</v>
      </c>
      <c r="W10" s="246">
        <v>24.630921348643781</v>
      </c>
      <c r="X10" s="246">
        <v>8.2097951126968027</v>
      </c>
      <c r="Y10" s="250">
        <v>176.22861524709512</v>
      </c>
      <c r="Z10" s="250">
        <v>58.739208480830541</v>
      </c>
      <c r="AA10" s="251">
        <v>0</v>
      </c>
      <c r="AB10" s="252">
        <v>185.3118537267045</v>
      </c>
      <c r="AC10" s="253">
        <v>0</v>
      </c>
      <c r="AD10" s="253">
        <v>12.24469555483924</v>
      </c>
      <c r="AE10" s="252">
        <v>9.0002340964763476</v>
      </c>
      <c r="AF10" s="252">
        <v>2.9998909440895574</v>
      </c>
      <c r="AG10" s="252">
        <v>0.75001169288248615</v>
      </c>
      <c r="AH10" s="253">
        <v>177.09341634114583</v>
      </c>
      <c r="AI10" s="253">
        <v>1002.4263721466066</v>
      </c>
      <c r="AJ10" s="253">
        <v>2813.5337155659986</v>
      </c>
      <c r="AK10" s="253">
        <v>676.12993348439534</v>
      </c>
      <c r="AL10" s="253">
        <v>3187.6604385375977</v>
      </c>
      <c r="AM10" s="253">
        <v>2402.646095148722</v>
      </c>
      <c r="AN10" s="253">
        <v>460.4538179079691</v>
      </c>
      <c r="AO10" s="253">
        <v>2513.7350463867187</v>
      </c>
      <c r="AP10" s="253">
        <v>234.08404638369879</v>
      </c>
      <c r="AQ10" s="253">
        <v>888.18092444737761</v>
      </c>
    </row>
    <row r="11" spans="1:47">
      <c r="A11" s="232">
        <f t="shared" si="0"/>
        <v>40698</v>
      </c>
      <c r="B11" s="243"/>
      <c r="C11" s="244">
        <v>91.744300556183106</v>
      </c>
      <c r="D11" s="244">
        <v>530.3233168601995</v>
      </c>
      <c r="E11" s="244">
        <v>8.0290411065022091</v>
      </c>
      <c r="F11" s="244">
        <v>0</v>
      </c>
      <c r="G11" s="244">
        <v>1804.3853459040329</v>
      </c>
      <c r="H11" s="245">
        <v>30.653711410363545</v>
      </c>
      <c r="I11" s="243">
        <v>136.79338987668336</v>
      </c>
      <c r="J11" s="244">
        <v>564.94951896667351</v>
      </c>
      <c r="K11" s="244">
        <v>4.7943229650457653</v>
      </c>
      <c r="L11" s="244">
        <v>0</v>
      </c>
      <c r="M11" s="244">
        <v>0</v>
      </c>
      <c r="N11" s="245">
        <v>48.95533323039615</v>
      </c>
      <c r="O11" s="243">
        <v>0</v>
      </c>
      <c r="P11" s="244">
        <v>0</v>
      </c>
      <c r="Q11" s="244">
        <v>0</v>
      </c>
      <c r="R11" s="247">
        <v>0</v>
      </c>
      <c r="S11" s="244">
        <v>0</v>
      </c>
      <c r="T11" s="248">
        <v>0</v>
      </c>
      <c r="U11" s="249">
        <v>202.56396984386191</v>
      </c>
      <c r="V11" s="246">
        <v>67.517873235592617</v>
      </c>
      <c r="W11" s="246">
        <v>24.628018727740617</v>
      </c>
      <c r="X11" s="246">
        <v>8.2089201143970314</v>
      </c>
      <c r="Y11" s="250">
        <v>179.03763722640983</v>
      </c>
      <c r="Z11" s="250">
        <v>59.67616306083692</v>
      </c>
      <c r="AA11" s="251">
        <v>0</v>
      </c>
      <c r="AB11" s="252">
        <v>185.3108284102546</v>
      </c>
      <c r="AC11" s="253">
        <v>0</v>
      </c>
      <c r="AD11" s="253">
        <v>12.240996521711336</v>
      </c>
      <c r="AE11" s="252">
        <v>9.0000611100031769</v>
      </c>
      <c r="AF11" s="252">
        <v>2.9998670820194469</v>
      </c>
      <c r="AG11" s="252">
        <v>0.75000958055618072</v>
      </c>
      <c r="AH11" s="253">
        <v>176.29267005125681</v>
      </c>
      <c r="AI11" s="253">
        <v>985.44550488789889</v>
      </c>
      <c r="AJ11" s="253">
        <v>2842.3480392456063</v>
      </c>
      <c r="AK11" s="253">
        <v>671.84156386057543</v>
      </c>
      <c r="AL11" s="253">
        <v>2743.0641815185545</v>
      </c>
      <c r="AM11" s="253">
        <v>2500.7944133758542</v>
      </c>
      <c r="AN11" s="253">
        <v>465.70362466176351</v>
      </c>
      <c r="AO11" s="253">
        <v>2527.4704010009764</v>
      </c>
      <c r="AP11" s="253">
        <v>324.29366547266642</v>
      </c>
      <c r="AQ11" s="253">
        <v>838.7852252642316</v>
      </c>
    </row>
    <row r="12" spans="1:47">
      <c r="A12" s="232">
        <f t="shared" si="0"/>
        <v>40699</v>
      </c>
      <c r="B12" s="243"/>
      <c r="C12" s="244">
        <v>91.858196953932449</v>
      </c>
      <c r="D12" s="244">
        <v>517.05131823221723</v>
      </c>
      <c r="E12" s="244">
        <v>8.0715286806224942</v>
      </c>
      <c r="F12" s="244">
        <v>0</v>
      </c>
      <c r="G12" s="244">
        <v>782.10420112609893</v>
      </c>
      <c r="H12" s="245">
        <v>30.710891813039868</v>
      </c>
      <c r="I12" s="243">
        <v>143.95077411333742</v>
      </c>
      <c r="J12" s="244">
        <v>562.76619745890446</v>
      </c>
      <c r="K12" s="244">
        <v>4.795692754288515</v>
      </c>
      <c r="L12" s="244">
        <v>0</v>
      </c>
      <c r="M12" s="244">
        <v>0</v>
      </c>
      <c r="N12" s="245">
        <v>54.136143135527782</v>
      </c>
      <c r="O12" s="243">
        <v>0</v>
      </c>
      <c r="P12" s="244">
        <v>0</v>
      </c>
      <c r="Q12" s="244">
        <v>0</v>
      </c>
      <c r="R12" s="247">
        <v>0</v>
      </c>
      <c r="S12" s="244">
        <v>0</v>
      </c>
      <c r="T12" s="248">
        <v>0</v>
      </c>
      <c r="U12" s="249">
        <v>202.0475896631097</v>
      </c>
      <c r="V12" s="246">
        <v>64.257226561727862</v>
      </c>
      <c r="W12" s="246">
        <v>24.229192847403539</v>
      </c>
      <c r="X12" s="246">
        <v>7.705613993214925</v>
      </c>
      <c r="Y12" s="250">
        <v>179.71046517653812</v>
      </c>
      <c r="Z12" s="250">
        <v>57.153347365423777</v>
      </c>
      <c r="AA12" s="251">
        <v>0</v>
      </c>
      <c r="AB12" s="252">
        <v>185.30810781055033</v>
      </c>
      <c r="AC12" s="253">
        <v>0</v>
      </c>
      <c r="AD12" s="253">
        <v>12.098329767915926</v>
      </c>
      <c r="AE12" s="252">
        <v>8.9996167698231329</v>
      </c>
      <c r="AF12" s="252">
        <v>2.8621495297790034</v>
      </c>
      <c r="AG12" s="252">
        <v>0.75870798180579524</v>
      </c>
      <c r="AH12" s="253">
        <v>169.29048438072206</v>
      </c>
      <c r="AI12" s="253">
        <v>992.56211573282883</v>
      </c>
      <c r="AJ12" s="253">
        <v>2898.301500447591</v>
      </c>
      <c r="AK12" s="253">
        <v>676.64263432820655</v>
      </c>
      <c r="AL12" s="253">
        <v>2793.7666688283284</v>
      </c>
      <c r="AM12" s="253">
        <v>2560.4641143798826</v>
      </c>
      <c r="AN12" s="253">
        <v>474.8151050249736</v>
      </c>
      <c r="AO12" s="253">
        <v>2569.2310829162598</v>
      </c>
      <c r="AP12" s="253">
        <v>335.32132239341735</v>
      </c>
      <c r="AQ12" s="253">
        <v>887.22946211497003</v>
      </c>
    </row>
    <row r="13" spans="1:47">
      <c r="A13" s="232">
        <f t="shared" si="0"/>
        <v>40700</v>
      </c>
      <c r="B13" s="243"/>
      <c r="C13" s="244">
        <v>91.535909144083789</v>
      </c>
      <c r="D13" s="244">
        <v>502.14052085876313</v>
      </c>
      <c r="E13" s="244">
        <v>7.9867369607090053</v>
      </c>
      <c r="F13" s="244">
        <v>0</v>
      </c>
      <c r="G13" s="244">
        <v>825.64691855112756</v>
      </c>
      <c r="H13" s="245">
        <v>30.710570804278102</v>
      </c>
      <c r="I13" s="243">
        <v>148.40218806266793</v>
      </c>
      <c r="J13" s="244">
        <v>559.86670977274548</v>
      </c>
      <c r="K13" s="244">
        <v>4.7691122988859833</v>
      </c>
      <c r="L13" s="244">
        <v>0</v>
      </c>
      <c r="M13" s="244">
        <v>0</v>
      </c>
      <c r="N13" s="245">
        <v>54.70538059373694</v>
      </c>
      <c r="O13" s="243">
        <v>0</v>
      </c>
      <c r="P13" s="244">
        <v>0</v>
      </c>
      <c r="Q13" s="244">
        <v>0</v>
      </c>
      <c r="R13" s="247">
        <v>0</v>
      </c>
      <c r="S13" s="244">
        <v>0</v>
      </c>
      <c r="T13" s="248">
        <v>0</v>
      </c>
      <c r="U13" s="249">
        <v>201.34676159991704</v>
      </c>
      <c r="V13" s="246">
        <v>67.119254480732721</v>
      </c>
      <c r="W13" s="246">
        <v>23.858924912618846</v>
      </c>
      <c r="X13" s="246">
        <v>7.9534095315065541</v>
      </c>
      <c r="Y13" s="250">
        <v>176.59200874417056</v>
      </c>
      <c r="Z13" s="250">
        <v>58.867219318458829</v>
      </c>
      <c r="AA13" s="251">
        <v>0</v>
      </c>
      <c r="AB13" s="252">
        <v>185.30503205193332</v>
      </c>
      <c r="AC13" s="253">
        <v>0</v>
      </c>
      <c r="AD13" s="253">
        <v>12.036046486430688</v>
      </c>
      <c r="AE13" s="252">
        <v>8.84597649984787</v>
      </c>
      <c r="AF13" s="252">
        <v>2.9488199517389968</v>
      </c>
      <c r="AG13" s="252">
        <v>0.74998975490227615</v>
      </c>
      <c r="AH13" s="253">
        <v>174.72086323102315</v>
      </c>
      <c r="AI13" s="253">
        <v>1002.4227336883545</v>
      </c>
      <c r="AJ13" s="253">
        <v>2929.7267606099444</v>
      </c>
      <c r="AK13" s="253">
        <v>681.58449789683016</v>
      </c>
      <c r="AL13" s="253">
        <v>3116.4035804748537</v>
      </c>
      <c r="AM13" s="253">
        <v>2564.314563115438</v>
      </c>
      <c r="AN13" s="253">
        <v>497.51546985308329</v>
      </c>
      <c r="AO13" s="253">
        <v>2603.7749699910482</v>
      </c>
      <c r="AP13" s="253">
        <v>342.67647031148277</v>
      </c>
      <c r="AQ13" s="253">
        <v>986.56790796915675</v>
      </c>
    </row>
    <row r="14" spans="1:47">
      <c r="A14" s="232">
        <f t="shared" si="0"/>
        <v>40701</v>
      </c>
      <c r="B14" s="243"/>
      <c r="C14" s="244">
        <v>108.56998805602386</v>
      </c>
      <c r="D14" s="244">
        <v>527.40409584045449</v>
      </c>
      <c r="E14" s="244">
        <v>8.0371733258167968</v>
      </c>
      <c r="F14" s="244">
        <v>0</v>
      </c>
      <c r="G14" s="244">
        <v>1268.337147649127</v>
      </c>
      <c r="H14" s="245">
        <v>30.781413624684081</v>
      </c>
      <c r="I14" s="243">
        <v>145.24361173311868</v>
      </c>
      <c r="J14" s="244">
        <v>569.92923539479364</v>
      </c>
      <c r="K14" s="244">
        <v>4.7949864317973363</v>
      </c>
      <c r="L14" s="244">
        <v>0</v>
      </c>
      <c r="M14" s="244">
        <v>0</v>
      </c>
      <c r="N14" s="245">
        <v>54.842983544866186</v>
      </c>
      <c r="O14" s="243">
        <v>0</v>
      </c>
      <c r="P14" s="244">
        <v>0</v>
      </c>
      <c r="Q14" s="244">
        <v>0</v>
      </c>
      <c r="R14" s="247">
        <v>0</v>
      </c>
      <c r="S14" s="244">
        <v>0</v>
      </c>
      <c r="T14" s="248">
        <v>0</v>
      </c>
      <c r="U14" s="249">
        <v>206.55096304853205</v>
      </c>
      <c r="V14" s="246">
        <v>71.032197849890764</v>
      </c>
      <c r="W14" s="246">
        <v>22.368960429472544</v>
      </c>
      <c r="X14" s="246">
        <v>7.6926120288741195</v>
      </c>
      <c r="Y14" s="250">
        <v>170.04459636622857</v>
      </c>
      <c r="Z14" s="250">
        <v>58.477778239904495</v>
      </c>
      <c r="AA14" s="251">
        <v>0</v>
      </c>
      <c r="AB14" s="252">
        <v>65.373655054304336</v>
      </c>
      <c r="AC14" s="253">
        <v>0</v>
      </c>
      <c r="AD14" s="253">
        <v>11.731963712970398</v>
      </c>
      <c r="AE14" s="252">
        <v>8.5873000631111651</v>
      </c>
      <c r="AF14" s="252">
        <v>2.9531442897991695</v>
      </c>
      <c r="AG14" s="252">
        <v>0.74410480225101305</v>
      </c>
      <c r="AH14" s="253">
        <v>198.3703493674596</v>
      </c>
      <c r="AI14" s="253">
        <v>1000.4773848215739</v>
      </c>
      <c r="AJ14" s="253">
        <v>2897.4451718648274</v>
      </c>
      <c r="AK14" s="253">
        <v>683.00875002543148</v>
      </c>
      <c r="AL14" s="253">
        <v>3085.0263587951663</v>
      </c>
      <c r="AM14" s="253">
        <v>2521.4875611623129</v>
      </c>
      <c r="AN14" s="253">
        <v>552.78038390477491</v>
      </c>
      <c r="AO14" s="253">
        <v>2761.3936154683433</v>
      </c>
      <c r="AP14" s="253">
        <v>353.36699217160543</v>
      </c>
      <c r="AQ14" s="253">
        <v>967.30315742492678</v>
      </c>
    </row>
    <row r="15" spans="1:47">
      <c r="A15" s="232">
        <f t="shared" si="0"/>
        <v>40702</v>
      </c>
      <c r="B15" s="243"/>
      <c r="C15" s="244">
        <v>119.09923342068953</v>
      </c>
      <c r="D15" s="244">
        <v>539.44062153498351</v>
      </c>
      <c r="E15" s="244">
        <v>8.1055602709452454</v>
      </c>
      <c r="F15" s="244">
        <v>0</v>
      </c>
      <c r="G15" s="244">
        <v>1298.5653812408395</v>
      </c>
      <c r="H15" s="245">
        <v>30.838326730330788</v>
      </c>
      <c r="I15" s="243">
        <v>159.14408763249705</v>
      </c>
      <c r="J15" s="244">
        <v>578.44862947464014</v>
      </c>
      <c r="K15" s="244">
        <v>4.8736376042167402</v>
      </c>
      <c r="L15" s="244">
        <v>0</v>
      </c>
      <c r="M15" s="244">
        <v>0</v>
      </c>
      <c r="N15" s="245">
        <v>54.915579139192879</v>
      </c>
      <c r="O15" s="243">
        <v>0</v>
      </c>
      <c r="P15" s="244">
        <v>0</v>
      </c>
      <c r="Q15" s="244">
        <v>0</v>
      </c>
      <c r="R15" s="247">
        <v>0</v>
      </c>
      <c r="S15" s="244">
        <v>0</v>
      </c>
      <c r="T15" s="248">
        <v>0</v>
      </c>
      <c r="U15" s="249">
        <v>234.38448090754699</v>
      </c>
      <c r="V15" s="246">
        <v>78.120609011224289</v>
      </c>
      <c r="W15" s="246">
        <v>23.721290445177239</v>
      </c>
      <c r="X15" s="246">
        <v>7.9063325734451935</v>
      </c>
      <c r="Y15" s="250">
        <v>173.63477940464256</v>
      </c>
      <c r="Z15" s="250">
        <v>57.872665716168996</v>
      </c>
      <c r="AA15" s="251">
        <v>0</v>
      </c>
      <c r="AB15" s="252">
        <v>0</v>
      </c>
      <c r="AC15" s="253">
        <v>0</v>
      </c>
      <c r="AD15" s="253">
        <v>11.908078498310498</v>
      </c>
      <c r="AE15" s="252">
        <v>8.876249901527892</v>
      </c>
      <c r="AF15" s="252">
        <v>2.8920931549723523</v>
      </c>
      <c r="AG15" s="252">
        <v>0.75001812280391977</v>
      </c>
      <c r="AH15" s="253">
        <v>523.50789748827617</v>
      </c>
      <c r="AI15" s="253">
        <v>1303.78675587972</v>
      </c>
      <c r="AJ15" s="253">
        <v>2848.9850322723387</v>
      </c>
      <c r="AK15" s="253">
        <v>678.85078751246135</v>
      </c>
      <c r="AL15" s="253">
        <v>3048.1135514577231</v>
      </c>
      <c r="AM15" s="253">
        <v>2600.3500415802005</v>
      </c>
      <c r="AN15" s="253">
        <v>522.28815744717917</v>
      </c>
      <c r="AO15" s="253">
        <v>2595.5434722900391</v>
      </c>
      <c r="AP15" s="253">
        <v>360.81290823618571</v>
      </c>
      <c r="AQ15" s="253">
        <v>913.36693865458187</v>
      </c>
    </row>
    <row r="16" spans="1:47">
      <c r="A16" s="232">
        <f t="shared" si="0"/>
        <v>40703</v>
      </c>
      <c r="B16" s="243"/>
      <c r="C16" s="244">
        <v>116.93089507420841</v>
      </c>
      <c r="D16" s="244">
        <v>537.66880448659219</v>
      </c>
      <c r="E16" s="244">
        <v>8.9700987214844101</v>
      </c>
      <c r="F16" s="244">
        <v>0</v>
      </c>
      <c r="G16" s="244">
        <v>1574.6248811085986</v>
      </c>
      <c r="H16" s="245">
        <v>30.413287848234255</v>
      </c>
      <c r="I16" s="243">
        <v>202.13132357597345</v>
      </c>
      <c r="J16" s="244">
        <v>560.50836162566998</v>
      </c>
      <c r="K16" s="244">
        <v>4.7378912443916024</v>
      </c>
      <c r="L16" s="244">
        <v>0</v>
      </c>
      <c r="M16" s="244">
        <v>0</v>
      </c>
      <c r="N16" s="245">
        <v>54.540421759585513</v>
      </c>
      <c r="O16" s="243">
        <v>0</v>
      </c>
      <c r="P16" s="244">
        <v>0</v>
      </c>
      <c r="Q16" s="244">
        <v>0</v>
      </c>
      <c r="R16" s="247">
        <v>0</v>
      </c>
      <c r="S16" s="244">
        <v>0</v>
      </c>
      <c r="T16" s="248">
        <v>0</v>
      </c>
      <c r="U16" s="249">
        <v>233.86197382096461</v>
      </c>
      <c r="V16" s="246">
        <v>77.960772159189005</v>
      </c>
      <c r="W16" s="246">
        <v>24.007650931174293</v>
      </c>
      <c r="X16" s="246">
        <v>8.0032464181435721</v>
      </c>
      <c r="Y16" s="250">
        <v>149.20112204977369</v>
      </c>
      <c r="Z16" s="250">
        <v>49.738033473208539</v>
      </c>
      <c r="AA16" s="251">
        <v>0</v>
      </c>
      <c r="AB16" s="252">
        <v>0</v>
      </c>
      <c r="AC16" s="253">
        <v>0</v>
      </c>
      <c r="AD16" s="253">
        <v>11.949250786834293</v>
      </c>
      <c r="AE16" s="252">
        <v>8.8628458749018328</v>
      </c>
      <c r="AF16" s="252">
        <v>2.9545389386997867</v>
      </c>
      <c r="AG16" s="252">
        <v>0.7499836905286219</v>
      </c>
      <c r="AH16" s="253">
        <v>528.67987778186807</v>
      </c>
      <c r="AI16" s="253">
        <v>1298.2610632578535</v>
      </c>
      <c r="AJ16" s="253">
        <v>2915.114524841309</v>
      </c>
      <c r="AK16" s="253">
        <v>671.10683037439992</v>
      </c>
      <c r="AL16" s="253">
        <v>3211.145893859863</v>
      </c>
      <c r="AM16" s="253">
        <v>2554.0792828877766</v>
      </c>
      <c r="AN16" s="253">
        <v>562.0160917758941</v>
      </c>
      <c r="AO16" s="253">
        <v>2523.3927098592121</v>
      </c>
      <c r="AP16" s="253">
        <v>339.44952278137208</v>
      </c>
      <c r="AQ16" s="253">
        <v>773.19723383585608</v>
      </c>
    </row>
    <row r="17" spans="1:43">
      <c r="A17" s="232">
        <f t="shared" si="0"/>
        <v>40704</v>
      </c>
      <c r="B17" s="233"/>
      <c r="C17" s="234">
        <v>115.66382397015859</v>
      </c>
      <c r="D17" s="234">
        <v>539.08929856618283</v>
      </c>
      <c r="E17" s="234">
        <v>9.3613519420226581</v>
      </c>
      <c r="F17" s="234">
        <v>0</v>
      </c>
      <c r="G17" s="234">
        <v>1055.4228282928468</v>
      </c>
      <c r="H17" s="235">
        <v>30.174148925145523</v>
      </c>
      <c r="I17" s="233">
        <v>218.65005532900466</v>
      </c>
      <c r="J17" s="234">
        <v>594.16865619023633</v>
      </c>
      <c r="K17" s="234">
        <v>5.092838267485293</v>
      </c>
      <c r="L17" s="244">
        <v>0</v>
      </c>
      <c r="M17" s="234">
        <v>0</v>
      </c>
      <c r="N17" s="235">
        <v>53.334287668267862</v>
      </c>
      <c r="O17" s="233">
        <v>0</v>
      </c>
      <c r="P17" s="234">
        <v>0</v>
      </c>
      <c r="Q17" s="234">
        <v>0</v>
      </c>
      <c r="R17" s="254">
        <v>0</v>
      </c>
      <c r="S17" s="234">
        <v>0</v>
      </c>
      <c r="T17" s="236">
        <v>0</v>
      </c>
      <c r="U17" s="255">
        <v>253.78502199560452</v>
      </c>
      <c r="V17" s="250">
        <v>78.85526264863401</v>
      </c>
      <c r="W17" s="246">
        <v>26.583800203745305</v>
      </c>
      <c r="X17" s="246">
        <v>8.2600325692248813</v>
      </c>
      <c r="Y17" s="250">
        <v>156.78434047696416</v>
      </c>
      <c r="Z17" s="250">
        <v>48.715524069493732</v>
      </c>
      <c r="AA17" s="251">
        <v>0</v>
      </c>
      <c r="AB17" s="252">
        <v>0</v>
      </c>
      <c r="AC17" s="253">
        <v>0</v>
      </c>
      <c r="AD17" s="253">
        <v>12.771017728249221</v>
      </c>
      <c r="AE17" s="252">
        <v>9.6540862539988623</v>
      </c>
      <c r="AF17" s="252">
        <v>2.9996865110693283</v>
      </c>
      <c r="AG17" s="252">
        <v>0.76294133245776186</v>
      </c>
      <c r="AH17" s="253">
        <v>195.98200165430703</v>
      </c>
      <c r="AI17" s="253">
        <v>991.33483225504563</v>
      </c>
      <c r="AJ17" s="253">
        <v>2974.6436046600338</v>
      </c>
      <c r="AK17" s="253">
        <v>670.46531429290769</v>
      </c>
      <c r="AL17" s="253">
        <v>3443.7981137593588</v>
      </c>
      <c r="AM17" s="253">
        <v>2453.8687711079915</v>
      </c>
      <c r="AN17" s="253">
        <v>483.60134898821508</v>
      </c>
      <c r="AO17" s="253">
        <v>2675.6955022176103</v>
      </c>
      <c r="AP17" s="253">
        <v>337.93100080490115</v>
      </c>
      <c r="AQ17" s="253">
        <v>815.56605688730872</v>
      </c>
    </row>
    <row r="18" spans="1:43">
      <c r="A18" s="232">
        <f t="shared" si="0"/>
        <v>40705</v>
      </c>
      <c r="B18" s="243"/>
      <c r="C18" s="244">
        <v>114.43242234388974</v>
      </c>
      <c r="D18" s="244">
        <v>535.76225426991812</v>
      </c>
      <c r="E18" s="244">
        <v>9.3227136855324328</v>
      </c>
      <c r="F18" s="244">
        <v>0</v>
      </c>
      <c r="G18" s="244">
        <v>900.45646533966124</v>
      </c>
      <c r="H18" s="245">
        <v>30.193179827928589</v>
      </c>
      <c r="I18" s="243">
        <v>232.7895576159161</v>
      </c>
      <c r="J18" s="244">
        <v>611.86675634384187</v>
      </c>
      <c r="K18" s="244">
        <v>5.2833485578497204</v>
      </c>
      <c r="L18" s="244">
        <v>0</v>
      </c>
      <c r="M18" s="244">
        <v>0</v>
      </c>
      <c r="N18" s="245">
        <v>54.805989030500214</v>
      </c>
      <c r="O18" s="243">
        <v>0</v>
      </c>
      <c r="P18" s="244">
        <v>0</v>
      </c>
      <c r="Q18" s="244">
        <v>0</v>
      </c>
      <c r="R18" s="247">
        <v>0</v>
      </c>
      <c r="S18" s="244">
        <v>0</v>
      </c>
      <c r="T18" s="248">
        <v>0</v>
      </c>
      <c r="U18" s="249">
        <v>261.85559608030189</v>
      </c>
      <c r="V18" s="246">
        <v>79.016200792580022</v>
      </c>
      <c r="W18" s="246">
        <v>27.528095912613121</v>
      </c>
      <c r="X18" s="246">
        <v>8.3067369444393808</v>
      </c>
      <c r="Y18" s="250">
        <v>173.88761781009447</v>
      </c>
      <c r="Z18" s="250">
        <v>52.471435134089255</v>
      </c>
      <c r="AA18" s="251">
        <v>0</v>
      </c>
      <c r="AB18" s="252">
        <v>0</v>
      </c>
      <c r="AC18" s="253">
        <v>0</v>
      </c>
      <c r="AD18" s="253">
        <v>13.074830804930814</v>
      </c>
      <c r="AE18" s="252">
        <v>9.9424916592656984</v>
      </c>
      <c r="AF18" s="252">
        <v>3.0001952568016503</v>
      </c>
      <c r="AG18" s="252">
        <v>0.76819378570634056</v>
      </c>
      <c r="AH18" s="253">
        <v>187.23619680404664</v>
      </c>
      <c r="AI18" s="253">
        <v>985.01826210021966</v>
      </c>
      <c r="AJ18" s="253">
        <v>2836.824472935994</v>
      </c>
      <c r="AK18" s="253">
        <v>672.36517769495651</v>
      </c>
      <c r="AL18" s="253">
        <v>3351.2961538950599</v>
      </c>
      <c r="AM18" s="253">
        <v>2244.4985373179115</v>
      </c>
      <c r="AN18" s="253">
        <v>472.18455939292909</v>
      </c>
      <c r="AO18" s="253">
        <v>2909.5068969726563</v>
      </c>
      <c r="AP18" s="253">
        <v>338.74504213333131</v>
      </c>
      <c r="AQ18" s="253">
        <v>844.08319578170801</v>
      </c>
    </row>
    <row r="19" spans="1:43">
      <c r="A19" s="232">
        <f t="shared" si="0"/>
        <v>40706</v>
      </c>
      <c r="B19" s="243"/>
      <c r="C19" s="244">
        <v>113.46420149803166</v>
      </c>
      <c r="D19" s="244">
        <v>532.54897098541221</v>
      </c>
      <c r="E19" s="244">
        <v>9.2602413892745705</v>
      </c>
      <c r="F19" s="244">
        <v>0</v>
      </c>
      <c r="G19" s="244">
        <v>964.61271514892667</v>
      </c>
      <c r="H19" s="245">
        <v>30.327196381489546</v>
      </c>
      <c r="I19" s="243">
        <v>192.10125088691751</v>
      </c>
      <c r="J19" s="244">
        <v>610.48014885584541</v>
      </c>
      <c r="K19" s="244">
        <v>5.2790964966018921</v>
      </c>
      <c r="L19" s="244">
        <v>0</v>
      </c>
      <c r="M19" s="244">
        <v>0</v>
      </c>
      <c r="N19" s="245">
        <v>54.941222567856336</v>
      </c>
      <c r="O19" s="243">
        <v>0</v>
      </c>
      <c r="P19" s="244">
        <v>0</v>
      </c>
      <c r="Q19" s="244">
        <v>0</v>
      </c>
      <c r="R19" s="247">
        <v>0</v>
      </c>
      <c r="S19" s="244">
        <v>0</v>
      </c>
      <c r="T19" s="248">
        <v>0</v>
      </c>
      <c r="U19" s="249">
        <v>263.98808587716928</v>
      </c>
      <c r="V19" s="246">
        <v>79.206212527940508</v>
      </c>
      <c r="W19" s="246">
        <v>28.028204385394666</v>
      </c>
      <c r="X19" s="246">
        <v>8.4095003982833862</v>
      </c>
      <c r="Y19" s="250">
        <v>177.13825367568404</v>
      </c>
      <c r="Z19" s="250">
        <v>53.148043105220587</v>
      </c>
      <c r="AA19" s="251">
        <v>0</v>
      </c>
      <c r="AB19" s="252">
        <v>0</v>
      </c>
      <c r="AC19" s="253">
        <v>0</v>
      </c>
      <c r="AD19" s="253">
        <v>13.127372386720459</v>
      </c>
      <c r="AE19" s="252">
        <v>9.9993646466117845</v>
      </c>
      <c r="AF19" s="252">
        <v>3.0001800979473812</v>
      </c>
      <c r="AG19" s="252">
        <v>0.76920883331679146</v>
      </c>
      <c r="AH19" s="253">
        <v>192.94461125532786</v>
      </c>
      <c r="AI19" s="253">
        <v>997.52132237752289</v>
      </c>
      <c r="AJ19" s="253">
        <v>2863.067154184977</v>
      </c>
      <c r="AK19" s="253">
        <v>680.12781718571966</v>
      </c>
      <c r="AL19" s="253">
        <v>3445.9328227996821</v>
      </c>
      <c r="AM19" s="253">
        <v>2248.0112735748289</v>
      </c>
      <c r="AN19" s="253">
        <v>487.00654250780741</v>
      </c>
      <c r="AO19" s="253">
        <v>2909.5068969726563</v>
      </c>
      <c r="AP19" s="253">
        <v>336.82081732749936</v>
      </c>
      <c r="AQ19" s="253">
        <v>825.76384929021208</v>
      </c>
    </row>
    <row r="20" spans="1:43">
      <c r="A20" s="232">
        <f t="shared" si="0"/>
        <v>40707</v>
      </c>
      <c r="B20" s="243"/>
      <c r="C20" s="244">
        <v>113.17637135982488</v>
      </c>
      <c r="D20" s="244">
        <v>590.2621608734139</v>
      </c>
      <c r="E20" s="244">
        <v>9.2863965481520445</v>
      </c>
      <c r="F20" s="244">
        <v>0</v>
      </c>
      <c r="G20" s="244">
        <v>732.65464115142777</v>
      </c>
      <c r="H20" s="245">
        <v>30.254248438278921</v>
      </c>
      <c r="I20" s="243">
        <v>189.4344207445782</v>
      </c>
      <c r="J20" s="244">
        <v>608.3028936386097</v>
      </c>
      <c r="K20" s="244">
        <v>5.2718284850319259</v>
      </c>
      <c r="L20" s="244">
        <v>0</v>
      </c>
      <c r="M20" s="244">
        <v>0</v>
      </c>
      <c r="N20" s="245">
        <v>31.82387878249089</v>
      </c>
      <c r="O20" s="243">
        <v>0</v>
      </c>
      <c r="P20" s="244">
        <v>0</v>
      </c>
      <c r="Q20" s="244">
        <v>0</v>
      </c>
      <c r="R20" s="247">
        <v>0</v>
      </c>
      <c r="S20" s="244">
        <v>0</v>
      </c>
      <c r="T20" s="248">
        <v>0</v>
      </c>
      <c r="U20" s="249">
        <v>262.45071022204121</v>
      </c>
      <c r="V20" s="246">
        <v>79.432696692561919</v>
      </c>
      <c r="W20" s="246">
        <v>27.823129786340427</v>
      </c>
      <c r="X20" s="246">
        <v>8.4208811151106495</v>
      </c>
      <c r="Y20" s="250">
        <v>184.98454711350499</v>
      </c>
      <c r="Z20" s="250">
        <v>55.986975273362972</v>
      </c>
      <c r="AA20" s="251">
        <v>0</v>
      </c>
      <c r="AB20" s="252">
        <v>0</v>
      </c>
      <c r="AC20" s="253">
        <v>0</v>
      </c>
      <c r="AD20" s="253">
        <v>13.045554230610509</v>
      </c>
      <c r="AE20" s="252">
        <v>9.9110330590742244</v>
      </c>
      <c r="AF20" s="252">
        <v>2.9996492759549072</v>
      </c>
      <c r="AG20" s="252">
        <v>0.76766144514172663</v>
      </c>
      <c r="AH20" s="253">
        <v>188.16893739700319</v>
      </c>
      <c r="AI20" s="253">
        <v>999.28564243316623</v>
      </c>
      <c r="AJ20" s="253">
        <v>2879.0251523335769</v>
      </c>
      <c r="AK20" s="253">
        <v>684.17684450149534</v>
      </c>
      <c r="AL20" s="253">
        <v>3334.9017971038816</v>
      </c>
      <c r="AM20" s="253">
        <v>2431.5243653615312</v>
      </c>
      <c r="AN20" s="253">
        <v>476.13692814509074</v>
      </c>
      <c r="AO20" s="253">
        <v>2801.8960571289062</v>
      </c>
      <c r="AP20" s="253">
        <v>368.64004042943316</v>
      </c>
      <c r="AQ20" s="253">
        <v>911.89506797790511</v>
      </c>
    </row>
    <row r="21" spans="1:43">
      <c r="A21" s="232">
        <f t="shared" si="0"/>
        <v>40708</v>
      </c>
      <c r="B21" s="243"/>
      <c r="C21" s="244">
        <v>126.82783534526841</v>
      </c>
      <c r="D21" s="244">
        <v>588.91325947443647</v>
      </c>
      <c r="E21" s="244">
        <v>9.5495219926039159</v>
      </c>
      <c r="F21" s="244">
        <v>0</v>
      </c>
      <c r="G21" s="244">
        <v>848.63</v>
      </c>
      <c r="H21" s="245">
        <v>30.619181595246062</v>
      </c>
      <c r="I21" s="243">
        <v>194.53150328000385</v>
      </c>
      <c r="J21" s="244">
        <v>619.52484318415429</v>
      </c>
      <c r="K21" s="244">
        <v>5.2700520232319814</v>
      </c>
      <c r="L21" s="244">
        <v>0</v>
      </c>
      <c r="M21" s="244">
        <v>0</v>
      </c>
      <c r="N21" s="245">
        <v>0</v>
      </c>
      <c r="O21" s="243">
        <v>0</v>
      </c>
      <c r="P21" s="244">
        <v>0</v>
      </c>
      <c r="Q21" s="244">
        <v>0</v>
      </c>
      <c r="R21" s="247">
        <v>0</v>
      </c>
      <c r="S21" s="244">
        <v>0</v>
      </c>
      <c r="T21" s="248">
        <v>0</v>
      </c>
      <c r="U21" s="249">
        <v>259.34312868410495</v>
      </c>
      <c r="V21" s="246">
        <v>75.737135608721246</v>
      </c>
      <c r="W21" s="246">
        <v>27.661815404788989</v>
      </c>
      <c r="X21" s="246">
        <v>8.0782038649953307</v>
      </c>
      <c r="Y21" s="250">
        <v>188.06176640942763</v>
      </c>
      <c r="Z21" s="250">
        <v>54.920520075608401</v>
      </c>
      <c r="AA21" s="251">
        <v>0</v>
      </c>
      <c r="AB21" s="252">
        <v>0</v>
      </c>
      <c r="AC21" s="253">
        <v>0</v>
      </c>
      <c r="AD21" s="253">
        <v>12.838562206427282</v>
      </c>
      <c r="AE21" s="252">
        <v>9.831777032031054</v>
      </c>
      <c r="AF21" s="252">
        <v>2.8712178885473794</v>
      </c>
      <c r="AG21" s="252">
        <v>0.77397315306360548</v>
      </c>
      <c r="AH21" s="253">
        <v>236.76371748447414</v>
      </c>
      <c r="AI21" s="253">
        <v>1048.0403261184695</v>
      </c>
      <c r="AJ21" s="253">
        <v>2859.1811429341628</v>
      </c>
      <c r="AK21" s="253">
        <v>695.84279438654585</v>
      </c>
      <c r="AL21" s="253">
        <v>3644.1046754201252</v>
      </c>
      <c r="AM21" s="253">
        <v>2657.1458976745603</v>
      </c>
      <c r="AN21" s="253">
        <v>477.45995278358458</v>
      </c>
      <c r="AO21" s="253">
        <v>2783.6531912485757</v>
      </c>
      <c r="AP21" s="253">
        <v>366.99512756665547</v>
      </c>
      <c r="AQ21" s="253">
        <v>941.66946668624871</v>
      </c>
    </row>
    <row r="22" spans="1:43">
      <c r="A22" s="232">
        <f t="shared" si="0"/>
        <v>40709</v>
      </c>
      <c r="B22" s="243"/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5">
        <v>0</v>
      </c>
      <c r="I22" s="243">
        <v>274.38847724596621</v>
      </c>
      <c r="J22" s="244">
        <v>871.15732469558702</v>
      </c>
      <c r="K22" s="244">
        <v>7.4741588160395755</v>
      </c>
      <c r="L22" s="244">
        <v>0</v>
      </c>
      <c r="M22" s="244">
        <v>0</v>
      </c>
      <c r="N22" s="245">
        <v>40.741351588567113</v>
      </c>
      <c r="O22" s="243">
        <v>0</v>
      </c>
      <c r="P22" s="244">
        <v>0</v>
      </c>
      <c r="Q22" s="244">
        <v>0</v>
      </c>
      <c r="R22" s="247">
        <v>0</v>
      </c>
      <c r="S22" s="244">
        <v>0</v>
      </c>
      <c r="T22" s="248">
        <v>0</v>
      </c>
      <c r="U22" s="249">
        <v>352.88065506616545</v>
      </c>
      <c r="V22" s="246">
        <v>0</v>
      </c>
      <c r="W22" s="246">
        <v>36.926153685649254</v>
      </c>
      <c r="X22" s="246">
        <v>0</v>
      </c>
      <c r="Y22" s="250">
        <v>259.38792668978374</v>
      </c>
      <c r="Z22" s="250">
        <v>0</v>
      </c>
      <c r="AA22" s="251">
        <v>0</v>
      </c>
      <c r="AB22" s="252">
        <v>0</v>
      </c>
      <c r="AC22" s="253">
        <v>0</v>
      </c>
      <c r="AD22" s="253">
        <v>13.651343527767409</v>
      </c>
      <c r="AE22" s="252">
        <v>13.37</v>
      </c>
      <c r="AF22" s="252">
        <v>0</v>
      </c>
      <c r="AG22" s="252">
        <v>1</v>
      </c>
      <c r="AH22" s="253">
        <v>263.20441818237305</v>
      </c>
      <c r="AI22" s="253">
        <v>920.99893894195554</v>
      </c>
      <c r="AJ22" s="253">
        <v>2110.0983357747396</v>
      </c>
      <c r="AK22" s="253">
        <v>720.54068075815837</v>
      </c>
      <c r="AL22" s="253">
        <v>2586.2115478515611</v>
      </c>
      <c r="AM22" s="253">
        <v>2207.3947797139485</v>
      </c>
      <c r="AN22" s="253">
        <v>522.82536988258369</v>
      </c>
      <c r="AO22" s="253">
        <v>2625.7273941040039</v>
      </c>
      <c r="AP22" s="253">
        <v>327.2083698590597</v>
      </c>
      <c r="AQ22" s="253">
        <v>943.7795600255331</v>
      </c>
    </row>
    <row r="23" spans="1:43">
      <c r="A23" s="232">
        <f t="shared" si="0"/>
        <v>40710</v>
      </c>
      <c r="B23" s="243"/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5">
        <v>0</v>
      </c>
      <c r="I23" s="243">
        <v>401.54866092999799</v>
      </c>
      <c r="J23" s="244">
        <v>1044.4629193623864</v>
      </c>
      <c r="K23" s="244">
        <v>8.4857494061192043</v>
      </c>
      <c r="L23" s="244">
        <v>0</v>
      </c>
      <c r="M23" s="244">
        <v>0</v>
      </c>
      <c r="N23" s="245">
        <v>69.684589168429298</v>
      </c>
      <c r="O23" s="243">
        <v>0</v>
      </c>
      <c r="P23" s="244">
        <v>0</v>
      </c>
      <c r="Q23" s="244">
        <v>0</v>
      </c>
      <c r="R23" s="247">
        <v>0</v>
      </c>
      <c r="S23" s="244">
        <v>0</v>
      </c>
      <c r="T23" s="248">
        <v>0</v>
      </c>
      <c r="U23" s="249">
        <v>395.27256577809572</v>
      </c>
      <c r="V23" s="246">
        <v>0</v>
      </c>
      <c r="W23" s="246">
        <v>40.334246319532376</v>
      </c>
      <c r="X23" s="246">
        <v>0</v>
      </c>
      <c r="Y23" s="250">
        <v>295.47324067751623</v>
      </c>
      <c r="Z23" s="250">
        <v>0</v>
      </c>
      <c r="AA23" s="251">
        <v>0</v>
      </c>
      <c r="AB23" s="252">
        <v>0</v>
      </c>
      <c r="AC23" s="253">
        <v>0</v>
      </c>
      <c r="AD23" s="253">
        <v>15.302303076452674</v>
      </c>
      <c r="AE23" s="252">
        <v>14.999653138569983</v>
      </c>
      <c r="AF23" s="252">
        <v>0</v>
      </c>
      <c r="AG23" s="252">
        <v>1</v>
      </c>
      <c r="AH23" s="253">
        <v>225.20633474985758</v>
      </c>
      <c r="AI23" s="253">
        <v>568.17238470713301</v>
      </c>
      <c r="AJ23" s="253">
        <v>973.66994377772016</v>
      </c>
      <c r="AK23" s="253">
        <v>899.32843767801899</v>
      </c>
      <c r="AL23" s="253">
        <v>1241.4860241254171</v>
      </c>
      <c r="AM23" s="253">
        <v>1912.6557272593182</v>
      </c>
      <c r="AN23" s="253">
        <v>492.45141161282857</v>
      </c>
      <c r="AO23" s="253">
        <v>2379.4749755859375</v>
      </c>
      <c r="AP23" s="253">
        <v>312.57515179316198</v>
      </c>
      <c r="AQ23" s="253">
        <v>992.11575161615997</v>
      </c>
    </row>
    <row r="24" spans="1:43">
      <c r="A24" s="232">
        <f t="shared" si="0"/>
        <v>40711</v>
      </c>
      <c r="B24" s="243"/>
      <c r="C24" s="244">
        <v>0</v>
      </c>
      <c r="D24" s="244">
        <v>0</v>
      </c>
      <c r="E24" s="244">
        <v>0</v>
      </c>
      <c r="F24" s="244">
        <v>0</v>
      </c>
      <c r="G24" s="244">
        <v>0</v>
      </c>
      <c r="H24" s="245">
        <v>0</v>
      </c>
      <c r="I24" s="243">
        <v>353.74919702212054</v>
      </c>
      <c r="J24" s="244">
        <v>940.13547824223792</v>
      </c>
      <c r="K24" s="244">
        <v>7.0600996439655805</v>
      </c>
      <c r="L24" s="244">
        <v>0</v>
      </c>
      <c r="M24" s="244">
        <v>0</v>
      </c>
      <c r="N24" s="245">
        <v>93.496514463921429</v>
      </c>
      <c r="O24" s="243">
        <v>0</v>
      </c>
      <c r="P24" s="244">
        <v>0</v>
      </c>
      <c r="Q24" s="244">
        <v>0</v>
      </c>
      <c r="R24" s="247">
        <v>0</v>
      </c>
      <c r="S24" s="244">
        <v>0</v>
      </c>
      <c r="T24" s="248">
        <v>0</v>
      </c>
      <c r="U24" s="249">
        <v>322.72535130182968</v>
      </c>
      <c r="V24" s="246">
        <v>0</v>
      </c>
      <c r="W24" s="246">
        <v>35.201079093416524</v>
      </c>
      <c r="X24" s="246">
        <v>0</v>
      </c>
      <c r="Y24" s="250">
        <v>246.98341097036993</v>
      </c>
      <c r="Z24" s="250">
        <v>0</v>
      </c>
      <c r="AA24" s="251">
        <v>0</v>
      </c>
      <c r="AB24" s="252">
        <v>0</v>
      </c>
      <c r="AC24" s="253">
        <v>0</v>
      </c>
      <c r="AD24" s="253">
        <v>13.154198194874681</v>
      </c>
      <c r="AE24" s="252">
        <v>12.868000278448392</v>
      </c>
      <c r="AF24" s="252">
        <v>0</v>
      </c>
      <c r="AG24" s="252">
        <v>1</v>
      </c>
      <c r="AH24" s="253">
        <v>212.7219021320343</v>
      </c>
      <c r="AI24" s="253">
        <v>555.67679646809904</v>
      </c>
      <c r="AJ24" s="253">
        <v>919.36814101537061</v>
      </c>
      <c r="AK24" s="253">
        <v>989.84646542867017</v>
      </c>
      <c r="AL24" s="253">
        <v>1180.0102127075195</v>
      </c>
      <c r="AM24" s="253">
        <v>2037.9203116099038</v>
      </c>
      <c r="AN24" s="253">
        <v>496.81290117899579</v>
      </c>
      <c r="AO24" s="253">
        <v>2208.8188766479493</v>
      </c>
      <c r="AP24" s="253">
        <v>305.4049756526947</v>
      </c>
      <c r="AQ24" s="253">
        <v>855.94055487314859</v>
      </c>
    </row>
    <row r="25" spans="1:43">
      <c r="A25" s="232">
        <f t="shared" si="0"/>
        <v>40712</v>
      </c>
      <c r="B25" s="243"/>
      <c r="C25" s="244">
        <v>0</v>
      </c>
      <c r="D25" s="244">
        <v>0</v>
      </c>
      <c r="E25" s="244">
        <v>0</v>
      </c>
      <c r="F25" s="244">
        <v>0</v>
      </c>
      <c r="G25" s="244">
        <v>0</v>
      </c>
      <c r="H25" s="245">
        <v>0</v>
      </c>
      <c r="I25" s="243">
        <v>304.38779369990044</v>
      </c>
      <c r="J25" s="244">
        <v>789.38795064290366</v>
      </c>
      <c r="K25" s="244">
        <v>5.8539197991291738</v>
      </c>
      <c r="L25" s="244">
        <v>0</v>
      </c>
      <c r="M25" s="244">
        <v>0</v>
      </c>
      <c r="N25" s="245">
        <v>87.926698945959373</v>
      </c>
      <c r="O25" s="243">
        <v>0</v>
      </c>
      <c r="P25" s="244">
        <v>0</v>
      </c>
      <c r="Q25" s="244">
        <v>0</v>
      </c>
      <c r="R25" s="247">
        <v>0</v>
      </c>
      <c r="S25" s="244">
        <v>0</v>
      </c>
      <c r="T25" s="248">
        <v>0</v>
      </c>
      <c r="U25" s="249">
        <v>274.69006695217826</v>
      </c>
      <c r="V25" s="246">
        <v>0</v>
      </c>
      <c r="W25" s="246">
        <v>29.14686195254329</v>
      </c>
      <c r="X25" s="246">
        <v>0</v>
      </c>
      <c r="Y25" s="250">
        <v>208.25518276691446</v>
      </c>
      <c r="Z25" s="250">
        <v>0</v>
      </c>
      <c r="AA25" s="251">
        <v>0</v>
      </c>
      <c r="AB25" s="252">
        <v>0</v>
      </c>
      <c r="AC25" s="253">
        <v>0</v>
      </c>
      <c r="AD25" s="253">
        <v>11.222092152304109</v>
      </c>
      <c r="AE25" s="252">
        <v>11.000289897506505</v>
      </c>
      <c r="AF25" s="252">
        <v>0</v>
      </c>
      <c r="AG25" s="252">
        <v>1</v>
      </c>
      <c r="AH25" s="253">
        <v>199.96996307373047</v>
      </c>
      <c r="AI25" s="253">
        <v>554.39851296742756</v>
      </c>
      <c r="AJ25" s="253">
        <v>985.34752953847226</v>
      </c>
      <c r="AK25" s="253">
        <v>982.56038570404064</v>
      </c>
      <c r="AL25" s="253">
        <v>1190.1293259302774</v>
      </c>
      <c r="AM25" s="253">
        <v>2190.5159306844075</v>
      </c>
      <c r="AN25" s="253">
        <v>488.94718111356099</v>
      </c>
      <c r="AO25" s="253">
        <v>1567.51396484375</v>
      </c>
      <c r="AP25" s="253">
        <v>288.80792574882503</v>
      </c>
      <c r="AQ25" s="253">
        <v>722.1119440396626</v>
      </c>
    </row>
    <row r="26" spans="1:43">
      <c r="A26" s="232">
        <f t="shared" si="0"/>
        <v>40713</v>
      </c>
      <c r="B26" s="243"/>
      <c r="C26" s="244">
        <v>0</v>
      </c>
      <c r="D26" s="244">
        <v>0</v>
      </c>
      <c r="E26" s="244">
        <v>0</v>
      </c>
      <c r="F26" s="244">
        <v>0</v>
      </c>
      <c r="G26" s="244">
        <v>0</v>
      </c>
      <c r="H26" s="245">
        <v>0</v>
      </c>
      <c r="I26" s="243">
        <v>378.86517020861254</v>
      </c>
      <c r="J26" s="244">
        <v>788.10154177347761</v>
      </c>
      <c r="K26" s="244">
        <v>5.8507558976610525</v>
      </c>
      <c r="L26" s="244">
        <v>0</v>
      </c>
      <c r="M26" s="244">
        <v>0</v>
      </c>
      <c r="N26" s="245">
        <v>91.284257012605821</v>
      </c>
      <c r="O26" s="243">
        <v>0</v>
      </c>
      <c r="P26" s="244">
        <v>0</v>
      </c>
      <c r="Q26" s="244">
        <v>0</v>
      </c>
      <c r="R26" s="247">
        <v>0</v>
      </c>
      <c r="S26" s="244">
        <v>0</v>
      </c>
      <c r="T26" s="248">
        <v>0</v>
      </c>
      <c r="U26" s="249">
        <v>274.99929544661245</v>
      </c>
      <c r="V26" s="246">
        <v>0</v>
      </c>
      <c r="W26" s="246">
        <v>29.196197158098197</v>
      </c>
      <c r="X26" s="246">
        <v>0</v>
      </c>
      <c r="Y26" s="250">
        <v>206.47154412269614</v>
      </c>
      <c r="Z26" s="250">
        <v>0</v>
      </c>
      <c r="AA26" s="251">
        <v>0</v>
      </c>
      <c r="AB26" s="252">
        <v>0</v>
      </c>
      <c r="AC26" s="253">
        <v>0</v>
      </c>
      <c r="AD26" s="253">
        <v>11.213599551386286</v>
      </c>
      <c r="AE26" s="252">
        <v>10.998503473130306</v>
      </c>
      <c r="AF26" s="252">
        <v>0</v>
      </c>
      <c r="AG26" s="252">
        <v>1</v>
      </c>
      <c r="AH26" s="253">
        <v>205.88750836054484</v>
      </c>
      <c r="AI26" s="253">
        <v>559.01286675135293</v>
      </c>
      <c r="AJ26" s="253">
        <v>1001.2318453470865</v>
      </c>
      <c r="AK26" s="253">
        <v>991.49761021931965</v>
      </c>
      <c r="AL26" s="253">
        <v>1207.5109544436139</v>
      </c>
      <c r="AM26" s="253">
        <v>2187.078089904785</v>
      </c>
      <c r="AN26" s="253">
        <v>482.96139089266467</v>
      </c>
      <c r="AO26" s="253">
        <v>1681.7773590087891</v>
      </c>
      <c r="AP26" s="253">
        <v>332.42420431772865</v>
      </c>
      <c r="AQ26" s="253">
        <v>790.53506921132407</v>
      </c>
    </row>
    <row r="27" spans="1:43">
      <c r="A27" s="232">
        <f t="shared" si="0"/>
        <v>40714</v>
      </c>
      <c r="B27" s="243"/>
      <c r="C27" s="244">
        <v>0</v>
      </c>
      <c r="D27" s="244">
        <v>0</v>
      </c>
      <c r="E27" s="244">
        <v>0</v>
      </c>
      <c r="F27" s="244">
        <v>0</v>
      </c>
      <c r="G27" s="244">
        <v>0</v>
      </c>
      <c r="H27" s="245">
        <v>0</v>
      </c>
      <c r="I27" s="243">
        <v>362.55955311457234</v>
      </c>
      <c r="J27" s="244">
        <v>817.85486179987493</v>
      </c>
      <c r="K27" s="244">
        <v>10.027581590910753</v>
      </c>
      <c r="L27" s="244">
        <v>0</v>
      </c>
      <c r="M27" s="244">
        <v>0</v>
      </c>
      <c r="N27" s="245">
        <v>93.398996707796968</v>
      </c>
      <c r="O27" s="243">
        <v>0</v>
      </c>
      <c r="P27" s="244">
        <v>0</v>
      </c>
      <c r="Q27" s="244">
        <v>0</v>
      </c>
      <c r="R27" s="247">
        <v>0</v>
      </c>
      <c r="S27" s="244">
        <v>0</v>
      </c>
      <c r="T27" s="248">
        <v>0</v>
      </c>
      <c r="U27" s="249">
        <v>261.28522768020605</v>
      </c>
      <c r="V27" s="246">
        <v>0</v>
      </c>
      <c r="W27" s="246">
        <v>27.867831379175151</v>
      </c>
      <c r="X27" s="246">
        <v>0</v>
      </c>
      <c r="Y27" s="246">
        <v>180.85840148131024</v>
      </c>
      <c r="Z27" s="246">
        <v>0</v>
      </c>
      <c r="AA27" s="256">
        <v>0</v>
      </c>
      <c r="AB27" s="253">
        <v>0</v>
      </c>
      <c r="AC27" s="253">
        <v>0</v>
      </c>
      <c r="AD27" s="253">
        <v>10.640639551480605</v>
      </c>
      <c r="AE27" s="253">
        <v>10.415990712747954</v>
      </c>
      <c r="AF27" s="253">
        <v>0</v>
      </c>
      <c r="AG27" s="253">
        <v>1</v>
      </c>
      <c r="AH27" s="253">
        <v>219.0673089981079</v>
      </c>
      <c r="AI27" s="253">
        <v>548.96122357050581</v>
      </c>
      <c r="AJ27" s="253">
        <v>1790.480132675171</v>
      </c>
      <c r="AK27" s="253">
        <v>1015.0838214238485</v>
      </c>
      <c r="AL27" s="253">
        <v>1241.8588660558069</v>
      </c>
      <c r="AM27" s="253">
        <v>2177.3297086079915</v>
      </c>
      <c r="AN27" s="253">
        <v>471.8598610719045</v>
      </c>
      <c r="AO27" s="253">
        <v>1914.4319442749024</v>
      </c>
      <c r="AP27" s="253">
        <v>1184.8391060988108</v>
      </c>
      <c r="AQ27" s="253">
        <v>678.16960929234835</v>
      </c>
    </row>
    <row r="28" spans="1:43">
      <c r="A28" s="232">
        <f t="shared" si="0"/>
        <v>40715</v>
      </c>
      <c r="B28" s="243"/>
      <c r="C28" s="244">
        <v>0</v>
      </c>
      <c r="D28" s="244">
        <v>0</v>
      </c>
      <c r="E28" s="244">
        <v>0</v>
      </c>
      <c r="F28" s="244">
        <v>0</v>
      </c>
      <c r="G28" s="244">
        <v>0</v>
      </c>
      <c r="H28" s="245">
        <v>0</v>
      </c>
      <c r="I28" s="243">
        <v>216.7505869865418</v>
      </c>
      <c r="J28" s="244">
        <v>528.80665874481338</v>
      </c>
      <c r="K28" s="244">
        <v>7.593235984444604</v>
      </c>
      <c r="L28" s="244">
        <v>0</v>
      </c>
      <c r="M28" s="244">
        <v>0</v>
      </c>
      <c r="N28" s="245">
        <v>51.090093117455652</v>
      </c>
      <c r="O28" s="243">
        <v>0</v>
      </c>
      <c r="P28" s="244">
        <v>0</v>
      </c>
      <c r="Q28" s="244">
        <v>0</v>
      </c>
      <c r="R28" s="247">
        <v>0</v>
      </c>
      <c r="S28" s="244">
        <v>0</v>
      </c>
      <c r="T28" s="248">
        <v>0</v>
      </c>
      <c r="U28" s="249">
        <v>172.46731215582849</v>
      </c>
      <c r="V28" s="246">
        <v>0</v>
      </c>
      <c r="W28" s="246">
        <v>18.013135817647008</v>
      </c>
      <c r="X28" s="246">
        <v>0</v>
      </c>
      <c r="Y28" s="250">
        <v>128.09774482250239</v>
      </c>
      <c r="Z28" s="250">
        <v>0</v>
      </c>
      <c r="AA28" s="251">
        <v>0</v>
      </c>
      <c r="AB28" s="252">
        <v>0</v>
      </c>
      <c r="AC28" s="253">
        <v>0</v>
      </c>
      <c r="AD28" s="253">
        <v>7.1076819615231503</v>
      </c>
      <c r="AE28" s="252">
        <v>6.9982557986760581</v>
      </c>
      <c r="AF28" s="252">
        <v>0</v>
      </c>
      <c r="AG28" s="252">
        <v>1</v>
      </c>
      <c r="AH28" s="253">
        <v>217.95665585199993</v>
      </c>
      <c r="AI28" s="253">
        <v>575.29275321960461</v>
      </c>
      <c r="AJ28" s="253">
        <v>2839.4061328887938</v>
      </c>
      <c r="AK28" s="253">
        <v>1025.7118729273477</v>
      </c>
      <c r="AL28" s="253">
        <v>1205.2014965693156</v>
      </c>
      <c r="AM28" s="253">
        <v>1872.7425011952716</v>
      </c>
      <c r="AN28" s="253">
        <v>467.70782001813257</v>
      </c>
      <c r="AO28" s="253">
        <v>1498.0044479370117</v>
      </c>
      <c r="AP28" s="253">
        <v>2727.8703296025587</v>
      </c>
      <c r="AQ28" s="253">
        <v>762.33903764088939</v>
      </c>
    </row>
    <row r="29" spans="1:43">
      <c r="A29" s="232">
        <f t="shared" si="0"/>
        <v>40716</v>
      </c>
      <c r="B29" s="243"/>
      <c r="C29" s="244">
        <v>0</v>
      </c>
      <c r="D29" s="244">
        <v>0</v>
      </c>
      <c r="E29" s="244">
        <v>0</v>
      </c>
      <c r="F29" s="244">
        <v>0</v>
      </c>
      <c r="G29" s="244">
        <v>0</v>
      </c>
      <c r="H29" s="245">
        <v>0</v>
      </c>
      <c r="I29" s="243">
        <v>294.87668668429058</v>
      </c>
      <c r="J29" s="244">
        <v>724.15276323954333</v>
      </c>
      <c r="K29" s="244">
        <v>10.844911153117815</v>
      </c>
      <c r="L29" s="244">
        <v>0</v>
      </c>
      <c r="M29" s="244">
        <v>0</v>
      </c>
      <c r="N29" s="245">
        <v>0</v>
      </c>
      <c r="O29" s="243">
        <v>0</v>
      </c>
      <c r="P29" s="244">
        <v>0</v>
      </c>
      <c r="Q29" s="244">
        <v>0</v>
      </c>
      <c r="R29" s="247">
        <v>0</v>
      </c>
      <c r="S29" s="244">
        <v>0</v>
      </c>
      <c r="T29" s="248">
        <v>0</v>
      </c>
      <c r="U29" s="249">
        <v>247.32588177787224</v>
      </c>
      <c r="V29" s="246">
        <v>0</v>
      </c>
      <c r="W29" s="246">
        <v>25.140571559468896</v>
      </c>
      <c r="X29" s="246">
        <v>0</v>
      </c>
      <c r="Y29" s="250">
        <v>167.17320737044028</v>
      </c>
      <c r="Z29" s="250">
        <v>0</v>
      </c>
      <c r="AA29" s="251">
        <v>0</v>
      </c>
      <c r="AB29" s="252">
        <v>0</v>
      </c>
      <c r="AC29" s="253">
        <v>0</v>
      </c>
      <c r="AD29" s="253">
        <v>10.149857364760503</v>
      </c>
      <c r="AE29" s="252">
        <v>10.010340248672117</v>
      </c>
      <c r="AF29" s="252">
        <v>0</v>
      </c>
      <c r="AG29" s="252">
        <v>1</v>
      </c>
      <c r="AH29" s="253">
        <v>319.75692291259764</v>
      </c>
      <c r="AI29" s="253">
        <v>689.9968355814616</v>
      </c>
      <c r="AJ29" s="253">
        <v>2948.5899973551436</v>
      </c>
      <c r="AK29" s="253">
        <v>1019.0741149902345</v>
      </c>
      <c r="AL29" s="253">
        <v>1194.3518212954205</v>
      </c>
      <c r="AM29" s="253">
        <v>1922.728023656209</v>
      </c>
      <c r="AN29" s="253">
        <v>462.51960231463107</v>
      </c>
      <c r="AO29" s="253">
        <v>1672.9057715098065</v>
      </c>
      <c r="AP29" s="253">
        <v>2561.9538341522216</v>
      </c>
      <c r="AQ29" s="253">
        <v>963.25570936202996</v>
      </c>
    </row>
    <row r="30" spans="1:43">
      <c r="A30" s="232">
        <f t="shared" si="0"/>
        <v>40717</v>
      </c>
      <c r="B30" s="243"/>
      <c r="C30" s="244">
        <v>0</v>
      </c>
      <c r="D30" s="244">
        <v>0</v>
      </c>
      <c r="E30" s="244">
        <v>0</v>
      </c>
      <c r="F30" s="244">
        <v>0</v>
      </c>
      <c r="G30" s="244">
        <v>0</v>
      </c>
      <c r="H30" s="245">
        <v>0</v>
      </c>
      <c r="I30" s="243">
        <v>308.69537528355875</v>
      </c>
      <c r="J30" s="244">
        <v>802.35588715871188</v>
      </c>
      <c r="K30" s="244">
        <v>11.640463632841914</v>
      </c>
      <c r="L30" s="244">
        <v>0</v>
      </c>
      <c r="M30" s="244">
        <v>0</v>
      </c>
      <c r="N30" s="245">
        <v>0</v>
      </c>
      <c r="O30" s="243">
        <v>0</v>
      </c>
      <c r="P30" s="244">
        <v>0</v>
      </c>
      <c r="Q30" s="244">
        <v>0</v>
      </c>
      <c r="R30" s="247">
        <v>0</v>
      </c>
      <c r="S30" s="244">
        <v>0</v>
      </c>
      <c r="T30" s="248">
        <v>0</v>
      </c>
      <c r="U30" s="249">
        <v>272.6931400722994</v>
      </c>
      <c r="V30" s="246">
        <v>0</v>
      </c>
      <c r="W30" s="246">
        <v>28.252381132046434</v>
      </c>
      <c r="X30" s="246">
        <v>0</v>
      </c>
      <c r="Y30" s="250">
        <v>185.59977193673453</v>
      </c>
      <c r="Z30" s="250">
        <v>0</v>
      </c>
      <c r="AA30" s="251">
        <v>0</v>
      </c>
      <c r="AB30" s="252">
        <v>0</v>
      </c>
      <c r="AC30" s="253">
        <v>0</v>
      </c>
      <c r="AD30" s="253">
        <v>11.195161697599643</v>
      </c>
      <c r="AE30" s="252">
        <v>10.999107859863503</v>
      </c>
      <c r="AF30" s="252">
        <v>0</v>
      </c>
      <c r="AG30" s="252">
        <v>1</v>
      </c>
      <c r="AH30" s="253">
        <v>331.83097697893777</v>
      </c>
      <c r="AI30" s="253">
        <v>686.31711718241365</v>
      </c>
      <c r="AJ30" s="253">
        <v>1733.297256660461</v>
      </c>
      <c r="AK30" s="253">
        <v>1000.7837827046711</v>
      </c>
      <c r="AL30" s="253">
        <v>1181.2888133684789</v>
      </c>
      <c r="AM30" s="253">
        <v>2025.4769961039226</v>
      </c>
      <c r="AN30" s="253">
        <v>464.62402852376295</v>
      </c>
      <c r="AO30" s="253">
        <v>1728.5717478434246</v>
      </c>
      <c r="AP30" s="253">
        <v>641.29477734963109</v>
      </c>
      <c r="AQ30" s="253">
        <v>1062.0260272661844</v>
      </c>
    </row>
    <row r="31" spans="1:43">
      <c r="A31" s="232">
        <f t="shared" si="0"/>
        <v>40718</v>
      </c>
      <c r="B31" s="243"/>
      <c r="C31" s="244">
        <v>0</v>
      </c>
      <c r="D31" s="244">
        <v>0</v>
      </c>
      <c r="E31" s="244">
        <v>0</v>
      </c>
      <c r="F31" s="244">
        <v>0</v>
      </c>
      <c r="G31" s="244">
        <v>0</v>
      </c>
      <c r="H31" s="245">
        <v>0</v>
      </c>
      <c r="I31" s="243">
        <v>404.37107159296659</v>
      </c>
      <c r="J31" s="244">
        <v>1075.4097464879351</v>
      </c>
      <c r="K31" s="244">
        <v>15.327935715516441</v>
      </c>
      <c r="L31" s="244">
        <v>0</v>
      </c>
      <c r="M31" s="244">
        <v>0</v>
      </c>
      <c r="N31" s="245">
        <v>0</v>
      </c>
      <c r="O31" s="243">
        <v>0</v>
      </c>
      <c r="P31" s="244">
        <v>0</v>
      </c>
      <c r="Q31" s="244">
        <v>0</v>
      </c>
      <c r="R31" s="247">
        <v>0</v>
      </c>
      <c r="S31" s="244">
        <v>0</v>
      </c>
      <c r="T31" s="248">
        <v>0</v>
      </c>
      <c r="U31" s="249">
        <v>333.39999110963805</v>
      </c>
      <c r="V31" s="246">
        <v>0</v>
      </c>
      <c r="W31" s="246">
        <v>35.207264523704836</v>
      </c>
      <c r="X31" s="246">
        <v>0</v>
      </c>
      <c r="Y31" s="250">
        <v>240.19768804709091</v>
      </c>
      <c r="Z31" s="250">
        <v>0</v>
      </c>
      <c r="AA31" s="251">
        <v>0</v>
      </c>
      <c r="AB31" s="252">
        <v>0</v>
      </c>
      <c r="AC31" s="253">
        <v>0</v>
      </c>
      <c r="AD31" s="253">
        <v>14.203888149393912</v>
      </c>
      <c r="AE31" s="252">
        <v>14.00699745096764</v>
      </c>
      <c r="AF31" s="252">
        <v>0</v>
      </c>
      <c r="AG31" s="252">
        <v>1</v>
      </c>
      <c r="AH31" s="253">
        <v>211.82241991360982</v>
      </c>
      <c r="AI31" s="253">
        <v>579.71246852874754</v>
      </c>
      <c r="AJ31" s="253">
        <v>1404.7183243433635</v>
      </c>
      <c r="AK31" s="253">
        <v>1009.3266785303753</v>
      </c>
      <c r="AL31" s="253">
        <v>1193.7576551119489</v>
      </c>
      <c r="AM31" s="253">
        <v>2050.127953720093</v>
      </c>
      <c r="AN31" s="253">
        <v>525.55111551284779</v>
      </c>
      <c r="AO31" s="253">
        <v>2043.1794765472412</v>
      </c>
      <c r="AP31" s="253">
        <v>99.557969359556836</v>
      </c>
      <c r="AQ31" s="253">
        <v>1038.2049558321633</v>
      </c>
    </row>
    <row r="32" spans="1:43">
      <c r="A32" s="232">
        <f t="shared" si="0"/>
        <v>40719</v>
      </c>
      <c r="B32" s="243"/>
      <c r="C32" s="244">
        <v>0</v>
      </c>
      <c r="D32" s="244">
        <v>0</v>
      </c>
      <c r="E32" s="244">
        <v>0</v>
      </c>
      <c r="F32" s="244">
        <v>0</v>
      </c>
      <c r="G32" s="244">
        <v>0</v>
      </c>
      <c r="H32" s="245">
        <v>0</v>
      </c>
      <c r="I32" s="243">
        <v>384.35120984713308</v>
      </c>
      <c r="J32" s="244">
        <v>1008.8236962000527</v>
      </c>
      <c r="K32" s="244">
        <v>14.698496406277023</v>
      </c>
      <c r="L32" s="244">
        <v>0</v>
      </c>
      <c r="M32" s="244">
        <v>0</v>
      </c>
      <c r="N32" s="245">
        <v>0</v>
      </c>
      <c r="O32" s="243">
        <v>0</v>
      </c>
      <c r="P32" s="244">
        <v>0</v>
      </c>
      <c r="Q32" s="244">
        <v>0</v>
      </c>
      <c r="R32" s="247">
        <v>0</v>
      </c>
      <c r="S32" s="244">
        <v>0</v>
      </c>
      <c r="T32" s="248">
        <v>0</v>
      </c>
      <c r="U32" s="249">
        <v>346.27597715590377</v>
      </c>
      <c r="V32" s="246">
        <v>0</v>
      </c>
      <c r="W32" s="246">
        <v>36.944277669986064</v>
      </c>
      <c r="X32" s="246">
        <v>0</v>
      </c>
      <c r="Y32" s="250">
        <v>256.46224195162432</v>
      </c>
      <c r="Z32" s="250">
        <v>0</v>
      </c>
      <c r="AA32" s="251">
        <v>0</v>
      </c>
      <c r="AB32" s="252">
        <v>0</v>
      </c>
      <c r="AC32" s="253">
        <v>0</v>
      </c>
      <c r="AD32" s="253">
        <v>14.145112715164826</v>
      </c>
      <c r="AE32" s="252">
        <v>13.999755212022112</v>
      </c>
      <c r="AF32" s="252">
        <v>0</v>
      </c>
      <c r="AG32" s="252">
        <v>1</v>
      </c>
      <c r="AH32" s="253">
        <v>185.66472926139832</v>
      </c>
      <c r="AI32" s="253">
        <v>537.41158857345579</v>
      </c>
      <c r="AJ32" s="253">
        <v>1217.7481346766158</v>
      </c>
      <c r="AK32" s="253">
        <v>985.0427125930787</v>
      </c>
      <c r="AL32" s="253">
        <v>1196.0147461891174</v>
      </c>
      <c r="AM32" s="253">
        <v>1914.0993164062502</v>
      </c>
      <c r="AN32" s="253">
        <v>487.62116659482308</v>
      </c>
      <c r="AO32" s="253">
        <v>1929.3633562723794</v>
      </c>
      <c r="AP32" s="253">
        <v>101.3753178159396</v>
      </c>
      <c r="AQ32" s="253">
        <v>862.30896253585809</v>
      </c>
    </row>
    <row r="33" spans="1:43">
      <c r="A33" s="232">
        <f t="shared" si="0"/>
        <v>40720</v>
      </c>
      <c r="B33" s="243"/>
      <c r="C33" s="244">
        <v>0</v>
      </c>
      <c r="D33" s="244">
        <v>0</v>
      </c>
      <c r="E33" s="244">
        <v>0</v>
      </c>
      <c r="F33" s="244">
        <v>0</v>
      </c>
      <c r="G33" s="244">
        <v>0</v>
      </c>
      <c r="H33" s="245">
        <v>0</v>
      </c>
      <c r="I33" s="243">
        <v>339.08844068845121</v>
      </c>
      <c r="J33" s="244">
        <v>920.56885957717986</v>
      </c>
      <c r="K33" s="244">
        <v>13.47921806772551</v>
      </c>
      <c r="L33" s="244">
        <v>0</v>
      </c>
      <c r="M33" s="244">
        <v>0</v>
      </c>
      <c r="N33" s="245">
        <v>0</v>
      </c>
      <c r="O33" s="243">
        <v>0</v>
      </c>
      <c r="P33" s="244">
        <v>0</v>
      </c>
      <c r="Q33" s="244">
        <v>0</v>
      </c>
      <c r="R33" s="247">
        <v>0</v>
      </c>
      <c r="S33" s="244">
        <v>0</v>
      </c>
      <c r="T33" s="248">
        <v>0</v>
      </c>
      <c r="U33" s="249">
        <v>316.47041518952631</v>
      </c>
      <c r="V33" s="246">
        <v>0</v>
      </c>
      <c r="W33" s="246">
        <v>33.364163035154341</v>
      </c>
      <c r="X33" s="246">
        <v>0</v>
      </c>
      <c r="Y33" s="250">
        <v>240.62457134723627</v>
      </c>
      <c r="Z33" s="250">
        <v>0</v>
      </c>
      <c r="AA33" s="251">
        <v>0</v>
      </c>
      <c r="AB33" s="252">
        <v>0</v>
      </c>
      <c r="AC33" s="253">
        <v>0</v>
      </c>
      <c r="AD33" s="253">
        <v>12.981351589163156</v>
      </c>
      <c r="AE33" s="252">
        <v>12.806502990131261</v>
      </c>
      <c r="AF33" s="252">
        <v>0</v>
      </c>
      <c r="AG33" s="252">
        <v>1</v>
      </c>
      <c r="AH33" s="253">
        <v>187.42951946258546</v>
      </c>
      <c r="AI33" s="253">
        <v>534.2719586372375</v>
      </c>
      <c r="AJ33" s="253">
        <v>1137.2936047871906</v>
      </c>
      <c r="AK33" s="253">
        <v>989.76722637812293</v>
      </c>
      <c r="AL33" s="253">
        <v>1197.3810904184977</v>
      </c>
      <c r="AM33" s="253">
        <v>1929.8176153818767</v>
      </c>
      <c r="AN33" s="253">
        <v>493.71150414148968</v>
      </c>
      <c r="AO33" s="253">
        <v>1853.1854522705078</v>
      </c>
      <c r="AP33" s="253">
        <v>111.15671227773029</v>
      </c>
      <c r="AQ33" s="253">
        <v>946.61138455073035</v>
      </c>
    </row>
    <row r="34" spans="1:43">
      <c r="A34" s="232">
        <f t="shared" si="0"/>
        <v>40721</v>
      </c>
      <c r="B34" s="243"/>
      <c r="C34" s="244">
        <v>0</v>
      </c>
      <c r="D34" s="244">
        <v>0</v>
      </c>
      <c r="E34" s="244">
        <v>0</v>
      </c>
      <c r="F34" s="244">
        <v>0</v>
      </c>
      <c r="G34" s="244">
        <v>0</v>
      </c>
      <c r="H34" s="245">
        <v>0</v>
      </c>
      <c r="I34" s="243">
        <v>304.49600694974271</v>
      </c>
      <c r="J34" s="244">
        <v>775.60422156651919</v>
      </c>
      <c r="K34" s="244">
        <v>10.855022059877721</v>
      </c>
      <c r="L34" s="244">
        <v>0</v>
      </c>
      <c r="M34" s="244">
        <v>0</v>
      </c>
      <c r="N34" s="245">
        <v>0</v>
      </c>
      <c r="O34" s="243">
        <v>0</v>
      </c>
      <c r="P34" s="244">
        <v>0</v>
      </c>
      <c r="Q34" s="244">
        <v>0</v>
      </c>
      <c r="R34" s="247">
        <v>0</v>
      </c>
      <c r="S34" s="244">
        <v>0</v>
      </c>
      <c r="T34" s="248">
        <v>0</v>
      </c>
      <c r="U34" s="249">
        <v>240.23846064673759</v>
      </c>
      <c r="V34" s="246">
        <v>0</v>
      </c>
      <c r="W34" s="246">
        <v>27.399224635958667</v>
      </c>
      <c r="X34" s="246">
        <v>0</v>
      </c>
      <c r="Y34" s="250">
        <v>173.62510601679489</v>
      </c>
      <c r="Z34" s="250">
        <v>0</v>
      </c>
      <c r="AA34" s="251">
        <v>0</v>
      </c>
      <c r="AB34" s="252">
        <v>0</v>
      </c>
      <c r="AC34" s="253">
        <v>0</v>
      </c>
      <c r="AD34" s="253">
        <v>10.29969893627695</v>
      </c>
      <c r="AE34" s="252">
        <v>10.218392650039963</v>
      </c>
      <c r="AF34" s="252">
        <v>0</v>
      </c>
      <c r="AG34" s="252">
        <v>1</v>
      </c>
      <c r="AH34" s="253">
        <v>343.7586809317271</v>
      </c>
      <c r="AI34" s="253">
        <v>687.82226470311468</v>
      </c>
      <c r="AJ34" s="253">
        <v>1977.4473670959476</v>
      </c>
      <c r="AK34" s="253">
        <v>979.97039349873887</v>
      </c>
      <c r="AL34" s="253">
        <v>1205.5685971577959</v>
      </c>
      <c r="AM34" s="253">
        <v>1760.6794151306153</v>
      </c>
      <c r="AN34" s="253">
        <v>459.40758061409008</v>
      </c>
      <c r="AO34" s="253">
        <v>1659.9489374796551</v>
      </c>
      <c r="AP34" s="253">
        <v>1190.7705411434172</v>
      </c>
      <c r="AQ34" s="253">
        <v>916.2533309618633</v>
      </c>
    </row>
    <row r="35" spans="1:43">
      <c r="A35" s="232">
        <f t="shared" si="0"/>
        <v>40722</v>
      </c>
      <c r="B35" s="243"/>
      <c r="C35" s="244">
        <v>0</v>
      </c>
      <c r="D35" s="244">
        <v>0</v>
      </c>
      <c r="E35" s="244">
        <v>0</v>
      </c>
      <c r="F35" s="244">
        <v>0</v>
      </c>
      <c r="G35" s="244">
        <v>0</v>
      </c>
      <c r="H35" s="245">
        <v>0</v>
      </c>
      <c r="I35" s="243">
        <v>383.71649429003486</v>
      </c>
      <c r="J35" s="244">
        <v>931.07745087941487</v>
      </c>
      <c r="K35" s="244">
        <v>12.952663015325857</v>
      </c>
      <c r="L35" s="244">
        <v>0</v>
      </c>
      <c r="M35" s="244">
        <v>0</v>
      </c>
      <c r="N35" s="245">
        <v>0</v>
      </c>
      <c r="O35" s="243">
        <v>0</v>
      </c>
      <c r="P35" s="244">
        <v>0</v>
      </c>
      <c r="Q35" s="244">
        <v>0</v>
      </c>
      <c r="R35" s="247">
        <v>0</v>
      </c>
      <c r="S35" s="244">
        <v>0</v>
      </c>
      <c r="T35" s="248">
        <v>0</v>
      </c>
      <c r="U35" s="249">
        <v>275.97752948337342</v>
      </c>
      <c r="V35" s="246">
        <v>0</v>
      </c>
      <c r="W35" s="246">
        <v>31.349423019091368</v>
      </c>
      <c r="X35" s="246">
        <v>0</v>
      </c>
      <c r="Y35" s="250">
        <v>211.3417584975561</v>
      </c>
      <c r="Z35" s="250">
        <v>0</v>
      </c>
      <c r="AA35" s="251">
        <v>0</v>
      </c>
      <c r="AB35" s="252">
        <v>0</v>
      </c>
      <c r="AC35" s="253">
        <v>0</v>
      </c>
      <c r="AD35" s="253">
        <v>11.943990441163393</v>
      </c>
      <c r="AE35" s="252">
        <v>11.806352702596865</v>
      </c>
      <c r="AF35" s="252">
        <v>0</v>
      </c>
      <c r="AG35" s="252">
        <v>1</v>
      </c>
      <c r="AH35" s="253">
        <v>186.78909444014232</v>
      </c>
      <c r="AI35" s="253">
        <v>565.07789204915355</v>
      </c>
      <c r="AJ35" s="253">
        <v>3249.5307706197109</v>
      </c>
      <c r="AK35" s="253">
        <v>993.26113764444972</v>
      </c>
      <c r="AL35" s="253">
        <v>1182.391301441193</v>
      </c>
      <c r="AM35" s="253">
        <v>1673.3185491561887</v>
      </c>
      <c r="AN35" s="253">
        <v>457.4526441097259</v>
      </c>
      <c r="AO35" s="253">
        <v>2122.4718500773115</v>
      </c>
      <c r="AP35" s="253">
        <v>2352.5911701202394</v>
      </c>
      <c r="AQ35" s="253">
        <v>1019.9909155845643</v>
      </c>
    </row>
    <row r="36" spans="1:43">
      <c r="A36" s="232">
        <f t="shared" si="0"/>
        <v>40723</v>
      </c>
      <c r="B36" s="243"/>
      <c r="C36" s="244">
        <v>0</v>
      </c>
      <c r="D36" s="244">
        <v>0</v>
      </c>
      <c r="E36" s="244">
        <v>0</v>
      </c>
      <c r="F36" s="244">
        <v>0</v>
      </c>
      <c r="G36" s="244">
        <v>0</v>
      </c>
      <c r="H36" s="245">
        <v>0</v>
      </c>
      <c r="I36" s="243">
        <v>444.52220575014854</v>
      </c>
      <c r="J36" s="244">
        <v>996.43399264017751</v>
      </c>
      <c r="K36" s="244">
        <v>13.865994276603082</v>
      </c>
      <c r="L36" s="244">
        <v>0</v>
      </c>
      <c r="M36" s="244">
        <v>0</v>
      </c>
      <c r="N36" s="245">
        <v>8.0474370787541059</v>
      </c>
      <c r="O36" s="243">
        <v>0</v>
      </c>
      <c r="P36" s="244">
        <v>0</v>
      </c>
      <c r="Q36" s="244">
        <v>0</v>
      </c>
      <c r="R36" s="247">
        <v>0</v>
      </c>
      <c r="S36" s="244">
        <v>0</v>
      </c>
      <c r="T36" s="248">
        <v>0</v>
      </c>
      <c r="U36" s="249">
        <v>315.91061225466882</v>
      </c>
      <c r="V36" s="246">
        <v>0</v>
      </c>
      <c r="W36" s="246">
        <v>35.293403881788294</v>
      </c>
      <c r="X36" s="246">
        <v>0</v>
      </c>
      <c r="Y36" s="250">
        <v>246.76744357744809</v>
      </c>
      <c r="Z36" s="250">
        <v>0</v>
      </c>
      <c r="AA36" s="251">
        <v>0</v>
      </c>
      <c r="AB36" s="252">
        <v>0</v>
      </c>
      <c r="AC36" s="253">
        <v>0</v>
      </c>
      <c r="AD36" s="253">
        <v>13.618045833375739</v>
      </c>
      <c r="AE36" s="252">
        <v>13.470006375103516</v>
      </c>
      <c r="AF36" s="252">
        <v>0</v>
      </c>
      <c r="AG36" s="252">
        <v>1</v>
      </c>
      <c r="AH36" s="253">
        <v>284.23666812578841</v>
      </c>
      <c r="AI36" s="253">
        <v>669.72175210316982</v>
      </c>
      <c r="AJ36" s="253">
        <v>3233.9450358072918</v>
      </c>
      <c r="AK36" s="253">
        <v>999.79923044840518</v>
      </c>
      <c r="AL36" s="253">
        <v>1180.9285938898724</v>
      </c>
      <c r="AM36" s="253">
        <v>1681.8665812174477</v>
      </c>
      <c r="AN36" s="253">
        <v>529.04621392885849</v>
      </c>
      <c r="AO36" s="253">
        <v>2020.91748046875</v>
      </c>
      <c r="AP36" s="253">
        <v>2364.6776714324951</v>
      </c>
      <c r="AQ36" s="253">
        <v>1043.0402346293131</v>
      </c>
    </row>
    <row r="37" spans="1:43">
      <c r="A37" s="232">
        <f t="shared" si="0"/>
        <v>40724</v>
      </c>
      <c r="B37" s="243"/>
      <c r="C37" s="244">
        <v>0</v>
      </c>
      <c r="D37" s="244">
        <v>0</v>
      </c>
      <c r="E37" s="244">
        <v>0</v>
      </c>
      <c r="F37" s="244">
        <v>0</v>
      </c>
      <c r="G37" s="244">
        <v>0</v>
      </c>
      <c r="H37" s="245">
        <v>0</v>
      </c>
      <c r="I37" s="243">
        <v>424.28794082005726</v>
      </c>
      <c r="J37" s="244">
        <v>1034.8222326596569</v>
      </c>
      <c r="K37" s="244">
        <v>14.456318444013615</v>
      </c>
      <c r="L37" s="244">
        <v>0</v>
      </c>
      <c r="M37" s="244">
        <v>0</v>
      </c>
      <c r="N37" s="245">
        <v>0</v>
      </c>
      <c r="O37" s="243">
        <v>0</v>
      </c>
      <c r="P37" s="244">
        <v>0</v>
      </c>
      <c r="Q37" s="244">
        <v>0</v>
      </c>
      <c r="R37" s="247">
        <v>0</v>
      </c>
      <c r="S37" s="244">
        <v>0</v>
      </c>
      <c r="T37" s="248">
        <v>0</v>
      </c>
      <c r="U37" s="249">
        <v>327.87715539932577</v>
      </c>
      <c r="V37" s="246">
        <v>0</v>
      </c>
      <c r="W37" s="246">
        <v>37.041914051771123</v>
      </c>
      <c r="X37" s="246">
        <v>0</v>
      </c>
      <c r="Y37" s="250">
        <v>265.59189634323144</v>
      </c>
      <c r="Z37" s="250">
        <v>0</v>
      </c>
      <c r="AA37" s="251">
        <v>0</v>
      </c>
      <c r="AB37" s="252">
        <v>0</v>
      </c>
      <c r="AC37" s="253">
        <v>0</v>
      </c>
      <c r="AD37" s="253">
        <v>14.198321208026705</v>
      </c>
      <c r="AE37" s="252">
        <v>13.996565006745648</v>
      </c>
      <c r="AF37" s="252">
        <v>0</v>
      </c>
      <c r="AG37" s="252">
        <v>1</v>
      </c>
      <c r="AH37" s="253">
        <v>293.37295089562735</v>
      </c>
      <c r="AI37" s="253">
        <v>660.967124334971</v>
      </c>
      <c r="AJ37" s="253">
        <v>3064.6437455495197</v>
      </c>
      <c r="AK37" s="253">
        <v>1013.7151575088501</v>
      </c>
      <c r="AL37" s="253">
        <v>1176.7808135986329</v>
      </c>
      <c r="AM37" s="253">
        <v>1685.8880077362064</v>
      </c>
      <c r="AN37" s="253">
        <v>493.87210160891215</v>
      </c>
      <c r="AO37" s="253">
        <v>2294.1660725911456</v>
      </c>
      <c r="AP37" s="253">
        <v>2325.2483943939205</v>
      </c>
      <c r="AQ37" s="253">
        <v>955.64968659083036</v>
      </c>
    </row>
    <row r="38" spans="1:43" ht="15.75" thickBot="1">
      <c r="A38" s="232"/>
      <c r="B38" s="257"/>
      <c r="C38" s="258"/>
      <c r="D38" s="258"/>
      <c r="E38" s="258"/>
      <c r="F38" s="258"/>
      <c r="G38" s="258"/>
      <c r="H38" s="259"/>
      <c r="I38" s="260"/>
      <c r="J38" s="258"/>
      <c r="K38" s="258"/>
      <c r="L38" s="258"/>
      <c r="M38" s="258"/>
      <c r="N38" s="259"/>
      <c r="O38" s="260"/>
      <c r="P38" s="258"/>
      <c r="Q38" s="258"/>
      <c r="R38" s="261"/>
      <c r="S38" s="258"/>
      <c r="T38" s="262"/>
      <c r="U38" s="263"/>
      <c r="V38" s="264"/>
      <c r="W38" s="265"/>
      <c r="X38" s="265"/>
      <c r="Y38" s="264"/>
      <c r="Z38" s="264"/>
      <c r="AA38" s="266"/>
      <c r="AB38" s="267"/>
      <c r="AC38" s="268"/>
      <c r="AD38" s="269"/>
      <c r="AE38" s="267"/>
      <c r="AF38" s="267"/>
      <c r="AG38" s="267"/>
      <c r="AH38" s="268"/>
      <c r="AI38" s="268"/>
      <c r="AJ38" s="268"/>
      <c r="AK38" s="268"/>
      <c r="AL38" s="268"/>
      <c r="AM38" s="268"/>
      <c r="AN38" s="268"/>
      <c r="AO38" s="268"/>
      <c r="AP38" s="268"/>
      <c r="AQ38" s="268"/>
    </row>
    <row r="39" spans="1:43" ht="15.75" thickTop="1">
      <c r="A39" s="270" t="s">
        <v>181</v>
      </c>
      <c r="B39" s="271">
        <f>SUM(B8:B38)</f>
        <v>0</v>
      </c>
      <c r="C39" s="272">
        <f t="shared" ref="C39:AC39" si="1">SUM(C8:C38)</f>
        <v>1484.2265413840601</v>
      </c>
      <c r="D39" s="272">
        <f t="shared" si="1"/>
        <v>7354.8558114051793</v>
      </c>
      <c r="E39" s="272">
        <f t="shared" si="1"/>
        <v>120.82924361824975</v>
      </c>
      <c r="F39" s="272">
        <f t="shared" si="1"/>
        <v>0</v>
      </c>
      <c r="G39" s="272">
        <f t="shared" si="1"/>
        <v>16326.974859822581</v>
      </c>
      <c r="H39" s="273">
        <f t="shared" si="1"/>
        <v>427.87129419048722</v>
      </c>
      <c r="I39" s="271">
        <f t="shared" si="1"/>
        <v>7972.583062378566</v>
      </c>
      <c r="J39" s="272">
        <f t="shared" si="1"/>
        <v>22213.257819620769</v>
      </c>
      <c r="K39" s="272">
        <f t="shared" si="1"/>
        <v>239.96426229824638</v>
      </c>
      <c r="L39" s="272">
        <f t="shared" si="1"/>
        <v>0</v>
      </c>
      <c r="M39" s="272">
        <f t="shared" si="1"/>
        <v>0</v>
      </c>
      <c r="N39" s="273">
        <f t="shared" si="1"/>
        <v>1127.8405832310516</v>
      </c>
      <c r="O39" s="274">
        <f t="shared" si="1"/>
        <v>0</v>
      </c>
      <c r="P39" s="275">
        <f t="shared" si="1"/>
        <v>0</v>
      </c>
      <c r="Q39" s="275">
        <f t="shared" si="1"/>
        <v>0</v>
      </c>
      <c r="R39" s="275">
        <f t="shared" si="1"/>
        <v>0</v>
      </c>
      <c r="S39" s="275">
        <f t="shared" si="1"/>
        <v>0</v>
      </c>
      <c r="T39" s="276">
        <f t="shared" si="1"/>
        <v>0</v>
      </c>
      <c r="U39" s="274">
        <f t="shared" si="1"/>
        <v>8056.3888603966034</v>
      </c>
      <c r="V39" s="275">
        <f t="shared" si="1"/>
        <v>1066.1514651814641</v>
      </c>
      <c r="W39" s="275">
        <f t="shared" si="1"/>
        <v>861.75180328097349</v>
      </c>
      <c r="X39" s="275">
        <f t="shared" si="1"/>
        <v>113.82170057687736</v>
      </c>
      <c r="Y39" s="275">
        <f t="shared" si="1"/>
        <v>5926.8897542576096</v>
      </c>
      <c r="Z39" s="275">
        <f t="shared" si="1"/>
        <v>775.31442787447634</v>
      </c>
      <c r="AA39" s="277">
        <f t="shared" si="1"/>
        <v>0</v>
      </c>
      <c r="AB39" s="278">
        <f t="shared" si="1"/>
        <v>1177.2298410839485</v>
      </c>
      <c r="AC39" s="278">
        <f t="shared" si="1"/>
        <v>0</v>
      </c>
      <c r="AD39" s="279" t="s">
        <v>29</v>
      </c>
      <c r="AE39" s="279" t="s">
        <v>29</v>
      </c>
      <c r="AF39" s="279" t="s">
        <v>29</v>
      </c>
      <c r="AG39" s="279" t="s">
        <v>167</v>
      </c>
      <c r="AH39" s="278">
        <f t="shared" ref="AH39:AQ39" si="2">SUM(AH8:AH38)</f>
        <v>7182.7831952333454</v>
      </c>
      <c r="AI39" s="278">
        <f t="shared" si="2"/>
        <v>24475.577338536583</v>
      </c>
      <c r="AJ39" s="278">
        <f t="shared" si="2"/>
        <v>71241.545460891706</v>
      </c>
      <c r="AK39" s="278">
        <f t="shared" si="2"/>
        <v>25124.400694910692</v>
      </c>
      <c r="AL39" s="278">
        <f t="shared" si="2"/>
        <v>65238.89193296434</v>
      </c>
      <c r="AM39" s="278">
        <f t="shared" si="2"/>
        <v>65834.595060920721</v>
      </c>
      <c r="AN39" s="278">
        <f t="shared" si="2"/>
        <v>14779.734060557683</v>
      </c>
      <c r="AO39" s="278">
        <f t="shared" si="2"/>
        <v>68522.750948588058</v>
      </c>
      <c r="AP39" s="278">
        <f t="shared" si="2"/>
        <v>21474.881536102293</v>
      </c>
      <c r="AQ39" s="278">
        <f t="shared" si="2"/>
        <v>27037.116092809043</v>
      </c>
    </row>
    <row r="40" spans="1:43" ht="15.75" thickBot="1">
      <c r="A40" s="280" t="s">
        <v>182</v>
      </c>
      <c r="B40" s="281">
        <f>Projection!$AB$30</f>
        <v>0.91139353199999984</v>
      </c>
      <c r="C40" s="282">
        <f>Projection!$AB$28</f>
        <v>1.3599037199999999</v>
      </c>
      <c r="D40" s="282">
        <f>Projection!$AB$31</f>
        <v>2.0549759999999999</v>
      </c>
      <c r="E40" s="282">
        <f>Projection!$AB$26</f>
        <v>3.1224959999999999</v>
      </c>
      <c r="F40" s="282">
        <f>Projection!$AB$23</f>
        <v>5.8379999999999994E-2</v>
      </c>
      <c r="G40" s="282">
        <f>Projection!$AB$24</f>
        <v>4.9500000000000002E-2</v>
      </c>
      <c r="H40" s="283">
        <f>Projection!$AB$29</f>
        <v>3.6371774160000006</v>
      </c>
      <c r="I40" s="281">
        <f>Projection!$AB$30</f>
        <v>0.91139353199999984</v>
      </c>
      <c r="J40" s="282">
        <f>Projection!$AB$28</f>
        <v>1.3599037199999999</v>
      </c>
      <c r="K40" s="282">
        <f>Projection!$AB$26</f>
        <v>3.1224959999999999</v>
      </c>
      <c r="L40" s="282">
        <f>Projection!$AB$25</f>
        <v>0.37613399999999997</v>
      </c>
      <c r="M40" s="282">
        <f>Projection!$AB$23</f>
        <v>5.8379999999999994E-2</v>
      </c>
      <c r="N40" s="283">
        <f>Projection!$AB$23</f>
        <v>5.8379999999999994E-2</v>
      </c>
      <c r="O40" s="344">
        <v>15.77</v>
      </c>
      <c r="P40" s="345">
        <v>15.77</v>
      </c>
      <c r="Q40" s="345">
        <v>15.77</v>
      </c>
      <c r="R40" s="345">
        <v>15.77</v>
      </c>
      <c r="S40" s="345">
        <f>Projection!$AB$28</f>
        <v>1.3599037199999999</v>
      </c>
      <c r="T40" s="346">
        <f>Projection!$AB$28</f>
        <v>1.3599037199999999</v>
      </c>
      <c r="U40" s="344">
        <f>Projection!$AB$27</f>
        <v>0.28249999999999997</v>
      </c>
      <c r="V40" s="345">
        <f>Projection!$AB$27</f>
        <v>0.28249999999999997</v>
      </c>
      <c r="W40" s="345">
        <f>Projection!$AB$22</f>
        <v>1.02</v>
      </c>
      <c r="X40" s="345">
        <f>Projection!$AB$22</f>
        <v>1.02</v>
      </c>
      <c r="Y40" s="345">
        <f>Projection!$AB$31</f>
        <v>2.0549759999999999</v>
      </c>
      <c r="Z40" s="345">
        <f>Projection!$AB$31</f>
        <v>2.0549759999999999</v>
      </c>
      <c r="AA40" s="347">
        <v>0</v>
      </c>
      <c r="AB40" s="348">
        <f>Projection!$AB$27</f>
        <v>0.28249999999999997</v>
      </c>
      <c r="AC40" s="348">
        <f>Projection!$AB$30</f>
        <v>0.91139353199999984</v>
      </c>
      <c r="AD40" s="289">
        <f>SUM(AD8:AD38)</f>
        <v>368.24044616321731</v>
      </c>
      <c r="AE40" s="289">
        <f>SUM(AE8:AE38)</f>
        <v>321.32752193410778</v>
      </c>
      <c r="AF40" s="289">
        <f>SUM(AF8:AF38)</f>
        <v>41.431479771260712</v>
      </c>
      <c r="AG40" s="289">
        <f>IF(SUM(AE40:AF40)&gt;0, AE40/(AE40+AF40), "")</f>
        <v>0.88578786583796143</v>
      </c>
      <c r="AH40" s="290">
        <v>7.3999999999999996E-2</v>
      </c>
      <c r="AI40" s="290">
        <f t="shared" ref="AI40:AQ40" si="3">$AH$40</f>
        <v>7.3999999999999996E-2</v>
      </c>
      <c r="AJ40" s="290">
        <f t="shared" si="3"/>
        <v>7.3999999999999996E-2</v>
      </c>
      <c r="AK40" s="290">
        <f t="shared" si="3"/>
        <v>7.3999999999999996E-2</v>
      </c>
      <c r="AL40" s="290">
        <f t="shared" si="3"/>
        <v>7.3999999999999996E-2</v>
      </c>
      <c r="AM40" s="290">
        <f t="shared" si="3"/>
        <v>7.3999999999999996E-2</v>
      </c>
      <c r="AN40" s="290">
        <f t="shared" si="3"/>
        <v>7.3999999999999996E-2</v>
      </c>
      <c r="AO40" s="290">
        <f t="shared" si="3"/>
        <v>7.3999999999999996E-2</v>
      </c>
      <c r="AP40" s="290">
        <f t="shared" si="3"/>
        <v>7.3999999999999996E-2</v>
      </c>
      <c r="AQ40" s="290">
        <f t="shared" si="3"/>
        <v>7.3999999999999996E-2</v>
      </c>
    </row>
    <row r="41" spans="1:43" ht="16.5" thickTop="1" thickBot="1">
      <c r="A41" s="291" t="s">
        <v>26</v>
      </c>
      <c r="B41" s="292">
        <f t="shared" ref="B41:AC41" si="4">B40*B39</f>
        <v>0</v>
      </c>
      <c r="C41" s="293">
        <f t="shared" si="4"/>
        <v>2018.4051949509171</v>
      </c>
      <c r="D41" s="293">
        <f t="shared" si="4"/>
        <v>15114.052175898169</v>
      </c>
      <c r="E41" s="293">
        <f t="shared" si="4"/>
        <v>377.28882988101037</v>
      </c>
      <c r="F41" s="293">
        <f t="shared" si="4"/>
        <v>0</v>
      </c>
      <c r="G41" s="293">
        <f t="shared" si="4"/>
        <v>808.18525556121779</v>
      </c>
      <c r="H41" s="294">
        <f t="shared" si="4"/>
        <v>1556.2438081843325</v>
      </c>
      <c r="I41" s="292">
        <f t="shared" si="4"/>
        <v>7266.1606363845767</v>
      </c>
      <c r="J41" s="293">
        <f t="shared" si="4"/>
        <v>30207.891942221369</v>
      </c>
      <c r="K41" s="293">
        <f t="shared" si="4"/>
        <v>749.28744916922517</v>
      </c>
      <c r="L41" s="293">
        <f t="shared" si="4"/>
        <v>0</v>
      </c>
      <c r="M41" s="293">
        <f t="shared" si="4"/>
        <v>0</v>
      </c>
      <c r="N41" s="294">
        <f t="shared" si="4"/>
        <v>65.843333249028788</v>
      </c>
      <c r="O41" s="295">
        <f t="shared" si="4"/>
        <v>0</v>
      </c>
      <c r="P41" s="296">
        <f t="shared" si="4"/>
        <v>0</v>
      </c>
      <c r="Q41" s="296">
        <f t="shared" si="4"/>
        <v>0</v>
      </c>
      <c r="R41" s="296">
        <f t="shared" si="4"/>
        <v>0</v>
      </c>
      <c r="S41" s="296">
        <f t="shared" si="4"/>
        <v>0</v>
      </c>
      <c r="T41" s="297">
        <f t="shared" si="4"/>
        <v>0</v>
      </c>
      <c r="U41" s="295">
        <f t="shared" si="4"/>
        <v>2275.9298530620404</v>
      </c>
      <c r="V41" s="296">
        <f t="shared" si="4"/>
        <v>301.1877889137636</v>
      </c>
      <c r="W41" s="296">
        <f t="shared" si="4"/>
        <v>878.986839346593</v>
      </c>
      <c r="X41" s="296">
        <f t="shared" si="4"/>
        <v>116.09813458841491</v>
      </c>
      <c r="Y41" s="296">
        <f t="shared" si="4"/>
        <v>12179.616199645285</v>
      </c>
      <c r="Z41" s="296">
        <f t="shared" si="4"/>
        <v>1593.2525417357799</v>
      </c>
      <c r="AA41" s="298">
        <f t="shared" si="4"/>
        <v>0</v>
      </c>
      <c r="AB41" s="299">
        <f t="shared" si="4"/>
        <v>332.5674301062154</v>
      </c>
      <c r="AC41" s="299">
        <f t="shared" si="4"/>
        <v>0</v>
      </c>
      <c r="AH41" s="300">
        <f t="shared" ref="AH41:AQ41" si="5">AH40*AH39</f>
        <v>531.5259564472675</v>
      </c>
      <c r="AI41" s="300">
        <f t="shared" si="5"/>
        <v>1811.1927230517069</v>
      </c>
      <c r="AJ41" s="300">
        <f t="shared" si="5"/>
        <v>5271.8743641059864</v>
      </c>
      <c r="AK41" s="300">
        <f t="shared" si="5"/>
        <v>1859.2056514233911</v>
      </c>
      <c r="AL41" s="300">
        <f t="shared" si="5"/>
        <v>4827.6780030393611</v>
      </c>
      <c r="AM41" s="300">
        <f t="shared" si="5"/>
        <v>4871.7600345081328</v>
      </c>
      <c r="AN41" s="300">
        <f t="shared" si="5"/>
        <v>1093.7003204812684</v>
      </c>
      <c r="AO41" s="300">
        <f t="shared" si="5"/>
        <v>5070.683570195516</v>
      </c>
      <c r="AP41" s="300">
        <f t="shared" si="5"/>
        <v>1589.1412336715696</v>
      </c>
      <c r="AQ41" s="300">
        <f t="shared" si="5"/>
        <v>2000.7465908678691</v>
      </c>
    </row>
    <row r="42" spans="1:43" ht="49.5" customHeight="1" thickTop="1" thickBot="1">
      <c r="A42" s="544" t="s">
        <v>57</v>
      </c>
      <c r="B42" s="545"/>
      <c r="C42" s="545"/>
      <c r="D42" s="545"/>
      <c r="E42" s="545"/>
      <c r="F42" s="545"/>
      <c r="G42" s="545"/>
      <c r="H42" s="545"/>
      <c r="I42" s="545"/>
      <c r="J42" s="545"/>
      <c r="K42" s="529"/>
      <c r="L42" s="301"/>
      <c r="M42" s="301"/>
      <c r="N42" s="301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G42" s="303" t="s">
        <v>194</v>
      </c>
      <c r="AH42" s="304">
        <v>673.54</v>
      </c>
      <c r="AI42" s="300" t="s">
        <v>207</v>
      </c>
      <c r="AJ42" s="300">
        <v>22.55</v>
      </c>
      <c r="AK42" s="300">
        <v>569.79</v>
      </c>
      <c r="AL42" s="300">
        <v>506.72</v>
      </c>
      <c r="AM42" s="300">
        <v>3159.19</v>
      </c>
      <c r="AN42" s="300">
        <v>662.08</v>
      </c>
      <c r="AO42" s="300" t="s">
        <v>207</v>
      </c>
      <c r="AP42" s="300">
        <v>32.479999999999997</v>
      </c>
      <c r="AQ42" s="300">
        <v>159.79</v>
      </c>
    </row>
    <row r="43" spans="1:43" ht="38.25" customHeight="1" thickTop="1" thickBot="1">
      <c r="A43" s="532" t="s">
        <v>49</v>
      </c>
      <c r="B43" s="528"/>
      <c r="C43" s="305"/>
      <c r="D43" s="528" t="s">
        <v>47</v>
      </c>
      <c r="E43" s="528"/>
      <c r="F43" s="305"/>
      <c r="G43" s="528" t="s">
        <v>48</v>
      </c>
      <c r="H43" s="528"/>
      <c r="I43" s="306"/>
      <c r="J43" s="528" t="s">
        <v>50</v>
      </c>
      <c r="K43" s="529"/>
      <c r="L43" s="301"/>
      <c r="M43" s="301"/>
      <c r="N43" s="301"/>
      <c r="O43" s="302"/>
      <c r="P43" s="302"/>
      <c r="Q43" s="302"/>
      <c r="R43" s="538" t="s">
        <v>176</v>
      </c>
      <c r="S43" s="539"/>
      <c r="T43" s="539"/>
      <c r="U43" s="540"/>
      <c r="AC43" s="302"/>
      <c r="AQ43" s="342" t="s">
        <v>231</v>
      </c>
    </row>
    <row r="44" spans="1:43" ht="24.75" thickTop="1" thickBot="1">
      <c r="A44" s="307" t="s">
        <v>143</v>
      </c>
      <c r="B44" s="308">
        <f>SUM(B41:AC41)</f>
        <v>75840.997412897937</v>
      </c>
      <c r="C44" s="309"/>
      <c r="D44" s="307" t="s">
        <v>143</v>
      </c>
      <c r="E44" s="308">
        <f>SUM(B41:H41)+P41+R41+T41+V41+X41+Z41</f>
        <v>21884.713729713603</v>
      </c>
      <c r="F44" s="309"/>
      <c r="G44" s="307" t="s">
        <v>143</v>
      </c>
      <c r="H44" s="308">
        <f>SUM(I41:N41)+O41+Q41+S41+U41+W41+Y41</f>
        <v>53623.716253078128</v>
      </c>
      <c r="I44" s="309"/>
      <c r="J44" s="307" t="s">
        <v>208</v>
      </c>
      <c r="K44" s="308">
        <v>121873.83000000003</v>
      </c>
      <c r="L44" s="309"/>
      <c r="M44" s="309"/>
      <c r="N44" s="309"/>
      <c r="O44" s="309"/>
      <c r="P44" s="309"/>
      <c r="Q44" s="309"/>
      <c r="R44" s="310" t="s">
        <v>143</v>
      </c>
      <c r="S44" s="311"/>
      <c r="T44" s="312" t="s">
        <v>177</v>
      </c>
      <c r="U44" s="313" t="s">
        <v>178</v>
      </c>
    </row>
    <row r="45" spans="1:43" ht="24" thickBot="1">
      <c r="A45" s="314" t="s">
        <v>193</v>
      </c>
      <c r="B45" s="315">
        <f>SUM(AH41:AQ41)</f>
        <v>28927.508447792068</v>
      </c>
      <c r="C45" s="309"/>
      <c r="D45" s="314" t="s">
        <v>193</v>
      </c>
      <c r="E45" s="315">
        <f>AH41*(1-$AG$40)+AI41+AJ41*0.5+AL41+AM41*(1-$AG$40)+AN41*(1-$AG$40)+AO41*(1-$AG$40)+AP41*0.5+AQ41*0.5</f>
        <v>12390.920084876929</v>
      </c>
      <c r="F45" s="316"/>
      <c r="G45" s="314" t="s">
        <v>193</v>
      </c>
      <c r="H45" s="315">
        <f>AH41*AG40+AJ41*0.5+AK41+AM41*AG40+AN41*AG40+AO41*AG40+AP41*0.5+AQ41*0.5</f>
        <v>16536.588362915143</v>
      </c>
      <c r="I45" s="309"/>
      <c r="J45" s="309"/>
      <c r="K45" s="317"/>
      <c r="L45" s="309"/>
      <c r="M45" s="309"/>
      <c r="N45" s="309"/>
      <c r="O45" s="309"/>
      <c r="P45" s="309"/>
      <c r="Q45" s="309"/>
      <c r="R45" s="318" t="s">
        <v>149</v>
      </c>
      <c r="S45" s="319"/>
      <c r="T45" s="320">
        <f>$W$39+$X$39</f>
        <v>975.57350385785082</v>
      </c>
      <c r="U45" s="321">
        <f>(T45*8.34*0.895)/27000</f>
        <v>0.2697027149943021</v>
      </c>
    </row>
    <row r="46" spans="1:43" ht="32.25" thickBot="1">
      <c r="A46" s="322" t="s">
        <v>194</v>
      </c>
      <c r="B46" s="323">
        <f>SUM(AH42:AQ42)</f>
        <v>5786.1399999999994</v>
      </c>
      <c r="C46" s="309"/>
      <c r="D46" s="322" t="s">
        <v>194</v>
      </c>
      <c r="E46" s="323">
        <f>AH42*(1-$AG$40)+AJ42*0.5+AL42+AM42*(1-$AG$40)+AN42*(1-$AG$40)+AP42*0.5+AQ42*0.5</f>
        <v>1127.4918427528726</v>
      </c>
      <c r="F46" s="324"/>
      <c r="G46" s="322" t="s">
        <v>194</v>
      </c>
      <c r="H46" s="323">
        <f>AH42*AG40+AJ42*0.5+AK42+AM42*AG40+AN42*AG40+AP42*0.5+AQ42*0.5</f>
        <v>4658.6481572471275</v>
      </c>
      <c r="I46" s="309"/>
      <c r="J46" s="530" t="s">
        <v>209</v>
      </c>
      <c r="K46" s="531"/>
      <c r="L46" s="309"/>
      <c r="M46" s="309"/>
      <c r="N46" s="309"/>
      <c r="O46" s="309"/>
      <c r="P46" s="309"/>
      <c r="Q46" s="309"/>
      <c r="R46" s="318" t="s">
        <v>153</v>
      </c>
      <c r="S46" s="319"/>
      <c r="T46" s="320">
        <f>$M$39+$N$39+$F$39</f>
        <v>1127.8405832310516</v>
      </c>
      <c r="U46" s="325">
        <f>(((T46*8.34)*0.005)/(8.34*1.055))/400</f>
        <v>1.3363040085675966E-2</v>
      </c>
    </row>
    <row r="47" spans="1:43" ht="24.75" thickTop="1" thickBot="1">
      <c r="A47" s="322" t="s">
        <v>195</v>
      </c>
      <c r="B47" s="323">
        <f>K44</f>
        <v>121873.83000000003</v>
      </c>
      <c r="C47" s="309"/>
      <c r="D47" s="322" t="s">
        <v>197</v>
      </c>
      <c r="E47" s="323">
        <f>K44*0.5</f>
        <v>60936.915000000015</v>
      </c>
      <c r="F47" s="316"/>
      <c r="G47" s="322" t="s">
        <v>195</v>
      </c>
      <c r="H47" s="323">
        <f>K44*0.5</f>
        <v>60936.915000000015</v>
      </c>
      <c r="I47" s="309"/>
      <c r="J47" s="307" t="s">
        <v>208</v>
      </c>
      <c r="K47" s="308">
        <v>33230.009999999995</v>
      </c>
      <c r="L47" s="309"/>
      <c r="M47" s="309"/>
      <c r="N47" s="309"/>
      <c r="O47" s="309"/>
      <c r="P47" s="309"/>
      <c r="Q47" s="309"/>
      <c r="R47" s="318" t="s">
        <v>156</v>
      </c>
      <c r="S47" s="319"/>
      <c r="T47" s="320">
        <f>$G$39</f>
        <v>16326.974859822581</v>
      </c>
      <c r="U47" s="321">
        <f>T47/40000</f>
        <v>0.40817437149556451</v>
      </c>
    </row>
    <row r="48" spans="1:43" ht="24" thickBot="1">
      <c r="A48" s="322" t="s">
        <v>196</v>
      </c>
      <c r="B48" s="323">
        <f>K47</f>
        <v>33230.009999999995</v>
      </c>
      <c r="C48" s="309"/>
      <c r="D48" s="322" t="s">
        <v>196</v>
      </c>
      <c r="E48" s="323">
        <f>K47*0.5</f>
        <v>16615.004999999997</v>
      </c>
      <c r="F48" s="324"/>
      <c r="G48" s="322" t="s">
        <v>196</v>
      </c>
      <c r="H48" s="323">
        <f>K47*0.5</f>
        <v>16615.004999999997</v>
      </c>
      <c r="I48" s="309"/>
      <c r="J48" s="309"/>
      <c r="K48" s="326"/>
      <c r="L48" s="309"/>
      <c r="M48" s="309"/>
      <c r="N48" s="309"/>
      <c r="O48" s="309"/>
      <c r="P48" s="309"/>
      <c r="Q48" s="309"/>
      <c r="R48" s="318" t="s">
        <v>158</v>
      </c>
      <c r="S48" s="319"/>
      <c r="T48" s="320">
        <f>$L$39</f>
        <v>0</v>
      </c>
      <c r="U48" s="321">
        <f>T48*9.34*0.107</f>
        <v>0</v>
      </c>
    </row>
    <row r="49" spans="1:25" ht="48" thickTop="1" thickBot="1">
      <c r="A49" s="327" t="s">
        <v>204</v>
      </c>
      <c r="B49" s="328">
        <f>AD40</f>
        <v>368.24044616321731</v>
      </c>
      <c r="C49" s="309"/>
      <c r="D49" s="327" t="s">
        <v>205</v>
      </c>
      <c r="E49" s="328">
        <f>AF40</f>
        <v>41.431479771260712</v>
      </c>
      <c r="F49" s="324"/>
      <c r="G49" s="327" t="s">
        <v>206</v>
      </c>
      <c r="H49" s="328">
        <f>AE40</f>
        <v>321.32752193410778</v>
      </c>
      <c r="I49" s="309"/>
      <c r="J49" s="309"/>
      <c r="K49" s="326"/>
      <c r="L49" s="309"/>
      <c r="M49" s="309"/>
      <c r="N49" s="309"/>
      <c r="O49" s="309"/>
      <c r="P49" s="309"/>
      <c r="Q49" s="309"/>
      <c r="R49" s="318" t="s">
        <v>160</v>
      </c>
      <c r="S49" s="319"/>
      <c r="T49" s="320">
        <f>$E$39+$K$39</f>
        <v>360.79350591649614</v>
      </c>
      <c r="U49" s="321">
        <f>(T49*8.34*1.04)/45000</f>
        <v>6.9541745620384912E-2</v>
      </c>
    </row>
    <row r="50" spans="1:25" ht="48" thickTop="1" thickBot="1">
      <c r="A50" s="327" t="s">
        <v>200</v>
      </c>
      <c r="B50" s="329">
        <f>(SUM(B44:B48)/AD40)</f>
        <v>721.42668907950622</v>
      </c>
      <c r="C50" s="309"/>
      <c r="D50" s="327" t="s">
        <v>198</v>
      </c>
      <c r="E50" s="329">
        <f>SUM(E44:E48)/AF40</f>
        <v>2726.3097113826871</v>
      </c>
      <c r="F50" s="324"/>
      <c r="G50" s="327" t="s">
        <v>199</v>
      </c>
      <c r="H50" s="329">
        <f>SUM(H44:H48)/AE40</f>
        <v>474.19178990987882</v>
      </c>
      <c r="I50" s="309"/>
      <c r="J50" s="309"/>
      <c r="K50" s="326"/>
      <c r="L50" s="309"/>
      <c r="M50" s="309"/>
      <c r="N50" s="309"/>
      <c r="O50" s="309"/>
      <c r="P50" s="309"/>
      <c r="Q50" s="309"/>
      <c r="R50" s="318" t="s">
        <v>161</v>
      </c>
      <c r="S50" s="319"/>
      <c r="T50" s="320">
        <f>$U$39+$V$39+$AB$39</f>
        <v>10299.770166662016</v>
      </c>
      <c r="U50" s="321">
        <f>T50/2000/8</f>
        <v>0.64373563541637602</v>
      </c>
    </row>
    <row r="51" spans="1:25" ht="47.25" customHeight="1" thickTop="1" thickBot="1">
      <c r="A51" s="330" t="s">
        <v>201</v>
      </c>
      <c r="B51" s="331">
        <f>B50/1000</f>
        <v>0.72142668907950624</v>
      </c>
      <c r="C51" s="309"/>
      <c r="D51" s="330" t="s">
        <v>202</v>
      </c>
      <c r="E51" s="331">
        <f>E50/1000</f>
        <v>2.7263097113826871</v>
      </c>
      <c r="F51" s="309"/>
      <c r="G51" s="330" t="s">
        <v>203</v>
      </c>
      <c r="H51" s="331">
        <f>H50/1000</f>
        <v>0.47419178990987881</v>
      </c>
      <c r="I51" s="309"/>
      <c r="J51" s="309"/>
      <c r="K51" s="326"/>
      <c r="L51" s="309"/>
      <c r="M51" s="309"/>
      <c r="N51" s="309"/>
      <c r="O51" s="309"/>
      <c r="P51" s="309"/>
      <c r="Q51" s="309"/>
      <c r="R51" s="318" t="s">
        <v>162</v>
      </c>
      <c r="S51" s="319"/>
      <c r="T51" s="320">
        <f>$C$39+$J$39+$S$39+$T$39</f>
        <v>23697.48436100483</v>
      </c>
      <c r="U51" s="321">
        <f>(T51*8.34*1.4)/45000</f>
        <v>6.1487072755353864</v>
      </c>
    </row>
    <row r="52" spans="1:25" ht="16.5" thickTop="1" thickBot="1">
      <c r="A52" s="332"/>
      <c r="B52" s="309"/>
      <c r="C52" s="309"/>
      <c r="D52" s="309"/>
      <c r="E52" s="309"/>
      <c r="F52" s="309"/>
      <c r="G52" s="309"/>
      <c r="H52" s="309"/>
      <c r="I52" s="309"/>
      <c r="J52" s="309"/>
      <c r="K52" s="326"/>
      <c r="L52" s="309"/>
      <c r="M52" s="309"/>
      <c r="N52" s="309"/>
      <c r="O52" s="309"/>
      <c r="P52" s="309"/>
      <c r="Q52" s="309"/>
      <c r="R52" s="318" t="s">
        <v>163</v>
      </c>
      <c r="S52" s="319"/>
      <c r="T52" s="320">
        <f>$H$39</f>
        <v>427.87129419048722</v>
      </c>
      <c r="U52" s="321">
        <f>(T52*8.34*1.135)/45000</f>
        <v>9.0004152970616286E-2</v>
      </c>
    </row>
    <row r="53" spans="1:25" ht="48" customHeight="1" thickTop="1" thickBot="1">
      <c r="A53" s="541" t="s">
        <v>51</v>
      </c>
      <c r="B53" s="542"/>
      <c r="C53" s="542"/>
      <c r="D53" s="542"/>
      <c r="E53" s="543"/>
      <c r="F53" s="309"/>
      <c r="G53" s="309"/>
      <c r="H53" s="309"/>
      <c r="I53" s="309"/>
      <c r="J53" s="309"/>
      <c r="K53" s="326"/>
      <c r="L53" s="309"/>
      <c r="M53" s="309"/>
      <c r="N53" s="309"/>
      <c r="O53" s="309"/>
      <c r="P53" s="309"/>
      <c r="Q53" s="309"/>
      <c r="R53" s="318" t="s">
        <v>164</v>
      </c>
      <c r="S53" s="319"/>
      <c r="T53" s="320">
        <f>$B$39+$I$39+$AC$39</f>
        <v>7972.583062378566</v>
      </c>
      <c r="U53" s="321">
        <f>(T53*8.34*1.029*0.03)/3300</f>
        <v>0.6219962879973101</v>
      </c>
    </row>
    <row r="54" spans="1:25" ht="54" customHeight="1" thickBot="1">
      <c r="A54" s="525" t="s">
        <v>210</v>
      </c>
      <c r="B54" s="526"/>
      <c r="C54" s="526"/>
      <c r="D54" s="526"/>
      <c r="E54" s="527"/>
      <c r="F54" s="333"/>
      <c r="G54" s="333"/>
      <c r="H54" s="333"/>
      <c r="I54" s="333"/>
      <c r="J54" s="333"/>
      <c r="K54" s="334"/>
      <c r="L54" s="309"/>
      <c r="M54" s="309"/>
      <c r="N54" s="309"/>
      <c r="O54" s="309"/>
      <c r="P54" s="309"/>
      <c r="Q54" s="309"/>
      <c r="R54" s="535" t="s">
        <v>166</v>
      </c>
      <c r="S54" s="536"/>
      <c r="T54" s="349">
        <f>$D$39+$Y$39+$Z$39</f>
        <v>14057.059993537267</v>
      </c>
      <c r="U54" s="350">
        <f>(T54*1.54*8.34)/45000</f>
        <v>4.0120723496221169</v>
      </c>
    </row>
    <row r="55" spans="1:25" ht="24" thickTop="1">
      <c r="A55" s="571"/>
      <c r="B55" s="572"/>
      <c r="C55" s="309"/>
      <c r="D55" s="309"/>
      <c r="E55" s="309"/>
      <c r="F55" s="309"/>
      <c r="G55" s="309"/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</row>
    <row r="56" spans="1:25">
      <c r="A56" s="573"/>
      <c r="B56" s="574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</row>
    <row r="57" spans="1:25">
      <c r="A57" s="569"/>
      <c r="B57" s="570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</row>
    <row r="58" spans="1:25">
      <c r="A58" s="570"/>
      <c r="B58" s="570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</row>
    <row r="59" spans="1:25">
      <c r="A59" s="569"/>
      <c r="B59" s="570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</row>
    <row r="60" spans="1:25">
      <c r="A60" s="570"/>
      <c r="B60" s="570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25">
      <c r="A61" s="309"/>
      <c r="B61" s="309"/>
      <c r="C61" s="309"/>
    </row>
    <row r="62" spans="1:25">
      <c r="A62" s="309"/>
      <c r="B62" s="309"/>
      <c r="C62" s="309"/>
    </row>
  </sheetData>
  <sheetProtection password="A25B" sheet="1" objects="1" scenario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Yearly Summary 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Peter Bong</cp:lastModifiedBy>
  <cp:lastPrinted>2011-10-21T15:13:53Z</cp:lastPrinted>
  <dcterms:created xsi:type="dcterms:W3CDTF">2010-10-11T23:47:50Z</dcterms:created>
  <dcterms:modified xsi:type="dcterms:W3CDTF">2012-08-28T23:53:48Z</dcterms:modified>
</cp:coreProperties>
</file>