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emf" ContentType="image/x-emf"/>
  <Override PartName="/xl/comments6.xml" ContentType="application/vnd.openxmlformats-officedocument.spreadsheetml.comments+xml"/>
  <Override PartName="/xl/comments7.xml" ContentType="application/vnd.openxmlformats-officedocument.spreadsheetml.comment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Default Extension="docx" ContentType="application/vnd.openxmlformats-officedocument.wordprocessingml.document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omments14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0" yWindow="-270" windowWidth="19320" windowHeight="11760" tabRatio="677" activeTab="3"/>
  </bookViews>
  <sheets>
    <sheet name="Instructions" sheetId="1" r:id="rId1"/>
    <sheet name="Yearly Summary " sheetId="2" r:id="rId2"/>
    <sheet name="Projection Instructions" sheetId="3" r:id="rId3"/>
    <sheet name="Projection" sheetId="4" r:id="rId4"/>
    <sheet name="JANUARY" sheetId="5" r:id="rId5"/>
    <sheet name="FEBRUARY" sheetId="6" r:id="rId6"/>
    <sheet name="MARCH" sheetId="7" r:id="rId7"/>
    <sheet name="APRIL" sheetId="8" r:id="rId8"/>
    <sheet name="MAY" sheetId="9" r:id="rId9"/>
    <sheet name="JUNE" sheetId="10" r:id="rId10"/>
    <sheet name="JULY" sheetId="11" r:id="rId11"/>
    <sheet name="AUGUST" sheetId="12" r:id="rId12"/>
    <sheet name="SEPTEMBER" sheetId="13" r:id="rId13"/>
    <sheet name="OCTOBER" sheetId="14" r:id="rId14"/>
    <sheet name="NOVEMBER" sheetId="15" r:id="rId15"/>
    <sheet name="DECEMBER" sheetId="16" r:id="rId16"/>
  </sheets>
  <externalReferences>
    <externalReference r:id="rId17"/>
  </externalReferences>
  <definedNames>
    <definedName name="_xlnm.Print_Area" localSheetId="7">APRIL!$A$42:$K$54</definedName>
    <definedName name="_xlnm.Print_Area" localSheetId="11">AUGUST!$A$42:$K$54</definedName>
    <definedName name="_xlnm.Print_Area" localSheetId="15">DECEMBER!$A$42:$K$54</definedName>
    <definedName name="_xlnm.Print_Area" localSheetId="10">JULY!$A$42:$K$54</definedName>
    <definedName name="_xlnm.Print_Area" localSheetId="9">JUNE!$A$42:$K$54</definedName>
    <definedName name="_xlnm.Print_Area" localSheetId="6">MARCH!$A$42:$K$54</definedName>
    <definedName name="_xlnm.Print_Area" localSheetId="8">MAY!$A$42:$K$54</definedName>
    <definedName name="_xlnm.Print_Area" localSheetId="14">NOVEMBER!$A$42:$K$54</definedName>
    <definedName name="_xlnm.Print_Area" localSheetId="13">OCTOBER!$A$42:$K$54</definedName>
    <definedName name="_xlnm.Print_Area" localSheetId="12">SEPTEMBER!$A$42:$K$54</definedName>
    <definedName name="Z_322E6371_A03C_4BCA_B267_212DFC76880A_.wvu.PrintArea" localSheetId="7" hidden="1">APRIL!$A$42:$K$54</definedName>
    <definedName name="Z_322E6371_A03C_4BCA_B267_212DFC76880A_.wvu.PrintArea" localSheetId="11" hidden="1">AUGUST!$A$42:$K$54</definedName>
    <definedName name="Z_322E6371_A03C_4BCA_B267_212DFC76880A_.wvu.PrintArea" localSheetId="15" hidden="1">DECEMBER!$A$42:$K$54</definedName>
    <definedName name="Z_322E6371_A03C_4BCA_B267_212DFC76880A_.wvu.PrintArea" localSheetId="10" hidden="1">JULY!$A$42:$K$54</definedName>
    <definedName name="Z_322E6371_A03C_4BCA_B267_212DFC76880A_.wvu.PrintArea" localSheetId="9" hidden="1">JUNE!$A$42:$K$54</definedName>
    <definedName name="Z_322E6371_A03C_4BCA_B267_212DFC76880A_.wvu.PrintArea" localSheetId="6" hidden="1">MARCH!$A$42:$K$54</definedName>
    <definedName name="Z_322E6371_A03C_4BCA_B267_212DFC76880A_.wvu.PrintArea" localSheetId="8" hidden="1">MAY!$A$42:$K$54</definedName>
    <definedName name="Z_322E6371_A03C_4BCA_B267_212DFC76880A_.wvu.PrintArea" localSheetId="14" hidden="1">NOVEMBER!$A$42:$K$54</definedName>
    <definedName name="Z_322E6371_A03C_4BCA_B267_212DFC76880A_.wvu.PrintArea" localSheetId="13" hidden="1">OCTOBER!$A$42:$K$54</definedName>
    <definedName name="Z_322E6371_A03C_4BCA_B267_212DFC76880A_.wvu.PrintArea" localSheetId="12" hidden="1">SEPTEMBER!$A$42:$K$54</definedName>
  </definedNames>
  <calcPr calcId="125725"/>
  <customWorkbookViews>
    <customWorkbookView name="rpindill - Personal View" guid="{322E6371-A03C-4BCA-B267-212DFC76880A}" mergeInterval="0" personalView="1" maximized="1" xWindow="1" yWindow="1" windowWidth="1676" windowHeight="829" activeSheetId="10"/>
  </customWorkbookViews>
</workbook>
</file>

<file path=xl/calcChain.xml><?xml version="1.0" encoding="utf-8"?>
<calcChain xmlns="http://schemas.openxmlformats.org/spreadsheetml/2006/main">
  <c r="B47" i="16"/>
  <c r="E41" i="2"/>
  <c r="AI22" i="4"/>
  <c r="AH22"/>
  <c r="AG22"/>
  <c r="AF22"/>
  <c r="AH19" l="1"/>
  <c r="AF19"/>
  <c r="AI10"/>
  <c r="AG10"/>
  <c r="AB28" l="1"/>
  <c r="T40" i="10" s="1"/>
  <c r="C40" i="8" l="1"/>
  <c r="S40"/>
  <c r="C40" i="9"/>
  <c r="S40"/>
  <c r="C40" i="10"/>
  <c r="S40"/>
  <c r="J40" i="8"/>
  <c r="T40"/>
  <c r="J40" i="9"/>
  <c r="T40"/>
  <c r="J40" i="10"/>
  <c r="AD9" i="4"/>
  <c r="AF40" i="11" l="1"/>
  <c r="AE40"/>
  <c r="AD40"/>
  <c r="AG40"/>
  <c r="H48" i="16"/>
  <c r="E48"/>
  <c r="B48"/>
  <c r="H47"/>
  <c r="E47"/>
  <c r="B46"/>
  <c r="AF40"/>
  <c r="E49" s="1"/>
  <c r="AE40"/>
  <c r="AG40" s="1"/>
  <c r="AD40"/>
  <c r="B49" s="1"/>
  <c r="AQ39"/>
  <c r="AP39"/>
  <c r="AO39"/>
  <c r="AN39"/>
  <c r="AM39"/>
  <c r="AL39"/>
  <c r="AK39"/>
  <c r="AJ39"/>
  <c r="AI39"/>
  <c r="AH39"/>
  <c r="AH41" s="1"/>
  <c r="AC39"/>
  <c r="AB39"/>
  <c r="AA39"/>
  <c r="AA41" s="1"/>
  <c r="Z39"/>
  <c r="Y39"/>
  <c r="X39"/>
  <c r="W39"/>
  <c r="V39"/>
  <c r="U39"/>
  <c r="T39"/>
  <c r="S39"/>
  <c r="R39"/>
  <c r="R41" s="1"/>
  <c r="Q39"/>
  <c r="Q41" s="1"/>
  <c r="P39"/>
  <c r="P41" s="1"/>
  <c r="O39"/>
  <c r="O41" s="1"/>
  <c r="N39"/>
  <c r="M39"/>
  <c r="L39"/>
  <c r="K39"/>
  <c r="J39"/>
  <c r="I39"/>
  <c r="H39"/>
  <c r="T52" s="1"/>
  <c r="U52" s="1"/>
  <c r="G39"/>
  <c r="T47" s="1"/>
  <c r="U47" s="1"/>
  <c r="F39"/>
  <c r="E39"/>
  <c r="T49" s="1"/>
  <c r="U49" s="1"/>
  <c r="D39"/>
  <c r="T54" s="1"/>
  <c r="U54" s="1"/>
  <c r="C39"/>
  <c r="T51" s="1"/>
  <c r="U51" s="1"/>
  <c r="B39"/>
  <c r="H48" i="15"/>
  <c r="E48"/>
  <c r="B48"/>
  <c r="H47"/>
  <c r="E47"/>
  <c r="B47"/>
  <c r="B46"/>
  <c r="AQ40"/>
  <c r="AP40"/>
  <c r="AO40"/>
  <c r="AN40"/>
  <c r="AM40"/>
  <c r="AL40"/>
  <c r="AK40"/>
  <c r="AJ40"/>
  <c r="AI40"/>
  <c r="AF40"/>
  <c r="E49" s="1"/>
  <c r="AE40"/>
  <c r="AD40"/>
  <c r="B49" s="1"/>
  <c r="AQ39"/>
  <c r="AP39"/>
  <c r="AO39"/>
  <c r="AN39"/>
  <c r="AM39"/>
  <c r="AL39"/>
  <c r="AK39"/>
  <c r="AJ39"/>
  <c r="AI39"/>
  <c r="AH39"/>
  <c r="AH41" s="1"/>
  <c r="AC39"/>
  <c r="AB39"/>
  <c r="AA39"/>
  <c r="AA41" s="1"/>
  <c r="Z39"/>
  <c r="Y39"/>
  <c r="X39"/>
  <c r="W39"/>
  <c r="V39"/>
  <c r="U39"/>
  <c r="T39"/>
  <c r="S39"/>
  <c r="R39"/>
  <c r="R41" s="1"/>
  <c r="Q39"/>
  <c r="Q41" s="1"/>
  <c r="P39"/>
  <c r="P41" s="1"/>
  <c r="O39"/>
  <c r="O41" s="1"/>
  <c r="N39"/>
  <c r="M39"/>
  <c r="L39"/>
  <c r="K39"/>
  <c r="J39"/>
  <c r="I39"/>
  <c r="H39"/>
  <c r="T52" s="1"/>
  <c r="U52" s="1"/>
  <c r="G39"/>
  <c r="T47" s="1"/>
  <c r="U47" s="1"/>
  <c r="F39"/>
  <c r="E39"/>
  <c r="T49" s="1"/>
  <c r="U49" s="1"/>
  <c r="D39"/>
  <c r="C39"/>
  <c r="B39"/>
  <c r="H48" i="14"/>
  <c r="E48"/>
  <c r="B48"/>
  <c r="H47"/>
  <c r="E47"/>
  <c r="B47"/>
  <c r="B46"/>
  <c r="AQ40"/>
  <c r="AP40"/>
  <c r="AO40"/>
  <c r="AN40"/>
  <c r="AM40"/>
  <c r="AL40"/>
  <c r="AK40"/>
  <c r="AJ40"/>
  <c r="AI40"/>
  <c r="AF40"/>
  <c r="E49" s="1"/>
  <c r="AE40"/>
  <c r="AD40"/>
  <c r="B49" s="1"/>
  <c r="AQ39"/>
  <c r="AP39"/>
  <c r="AO39"/>
  <c r="AN39"/>
  <c r="AM39"/>
  <c r="AL39"/>
  <c r="AK39"/>
  <c r="AJ39"/>
  <c r="AI39"/>
  <c r="AH39"/>
  <c r="AH41" s="1"/>
  <c r="AC39"/>
  <c r="AB39"/>
  <c r="AA39"/>
  <c r="AA41" s="1"/>
  <c r="Z39"/>
  <c r="Y39"/>
  <c r="X39"/>
  <c r="W39"/>
  <c r="V39"/>
  <c r="U39"/>
  <c r="T39"/>
  <c r="S39"/>
  <c r="R39"/>
  <c r="R41" s="1"/>
  <c r="Q39"/>
  <c r="Q41" s="1"/>
  <c r="P39"/>
  <c r="P41" s="1"/>
  <c r="O39"/>
  <c r="O41" s="1"/>
  <c r="N39"/>
  <c r="M39"/>
  <c r="L39"/>
  <c r="K39"/>
  <c r="J39"/>
  <c r="I39"/>
  <c r="H39"/>
  <c r="T52" s="1"/>
  <c r="U52" s="1"/>
  <c r="G39"/>
  <c r="T47" s="1"/>
  <c r="U47" s="1"/>
  <c r="F39"/>
  <c r="E39"/>
  <c r="T49" s="1"/>
  <c r="U49" s="1"/>
  <c r="D39"/>
  <c r="C39"/>
  <c r="T51" s="1"/>
  <c r="U51" s="1"/>
  <c r="B39"/>
  <c r="AF40" i="12"/>
  <c r="AE40"/>
  <c r="AG40" s="1"/>
  <c r="AD40"/>
  <c r="H49"/>
  <c r="E49"/>
  <c r="B49"/>
  <c r="H48"/>
  <c r="E48"/>
  <c r="B48"/>
  <c r="H47"/>
  <c r="E47"/>
  <c r="B47"/>
  <c r="B46"/>
  <c r="AQ40"/>
  <c r="AP40"/>
  <c r="AO40"/>
  <c r="AN40"/>
  <c r="AM40"/>
  <c r="AL40"/>
  <c r="AK40"/>
  <c r="AJ40"/>
  <c r="AI40"/>
  <c r="AQ39"/>
  <c r="AP39"/>
  <c r="AO39"/>
  <c r="AN39"/>
  <c r="AM39"/>
  <c r="AL39"/>
  <c r="AK39"/>
  <c r="AJ39"/>
  <c r="AI39"/>
  <c r="AH39"/>
  <c r="AH41" s="1"/>
  <c r="AC39"/>
  <c r="AB39"/>
  <c r="AA39"/>
  <c r="AA41" s="1"/>
  <c r="Z39"/>
  <c r="Y39"/>
  <c r="X39"/>
  <c r="W39"/>
  <c r="V39"/>
  <c r="U39"/>
  <c r="T39"/>
  <c r="S39"/>
  <c r="R39"/>
  <c r="R41" s="1"/>
  <c r="Q39"/>
  <c r="Q41" s="1"/>
  <c r="P39"/>
  <c r="P41" s="1"/>
  <c r="O39"/>
  <c r="O41" s="1"/>
  <c r="N39"/>
  <c r="M39"/>
  <c r="L39"/>
  <c r="K39"/>
  <c r="J39"/>
  <c r="I39"/>
  <c r="H39"/>
  <c r="T52" s="1"/>
  <c r="U52" s="1"/>
  <c r="G39"/>
  <c r="T47" s="1"/>
  <c r="U47" s="1"/>
  <c r="F39"/>
  <c r="E39"/>
  <c r="T49" s="1"/>
  <c r="U49" s="1"/>
  <c r="D39"/>
  <c r="T54" s="1"/>
  <c r="U54" s="1"/>
  <c r="C39"/>
  <c r="B39"/>
  <c r="T53" s="1"/>
  <c r="U53" s="1"/>
  <c r="H48" i="11"/>
  <c r="E48"/>
  <c r="B48"/>
  <c r="H47"/>
  <c r="E47"/>
  <c r="B47"/>
  <c r="B46"/>
  <c r="AQ40"/>
  <c r="AP40"/>
  <c r="AO40"/>
  <c r="AN40"/>
  <c r="AM40"/>
  <c r="AL40"/>
  <c r="AK40"/>
  <c r="AJ40"/>
  <c r="AI40"/>
  <c r="E49"/>
  <c r="B49"/>
  <c r="AQ39"/>
  <c r="AP39"/>
  <c r="AO39"/>
  <c r="AN39"/>
  <c r="AM39"/>
  <c r="AL39"/>
  <c r="AK39"/>
  <c r="AJ39"/>
  <c r="AI39"/>
  <c r="AH39"/>
  <c r="AH41" s="1"/>
  <c r="AC39"/>
  <c r="AB39"/>
  <c r="AA39"/>
  <c r="AA41" s="1"/>
  <c r="Z39"/>
  <c r="Y39"/>
  <c r="X39"/>
  <c r="W39"/>
  <c r="T45" s="1"/>
  <c r="U45" s="1"/>
  <c r="V39"/>
  <c r="U39"/>
  <c r="T50" s="1"/>
  <c r="U50" s="1"/>
  <c r="T39"/>
  <c r="S39"/>
  <c r="R39"/>
  <c r="R41" s="1"/>
  <c r="Q39"/>
  <c r="Q41" s="1"/>
  <c r="P39"/>
  <c r="P41" s="1"/>
  <c r="O39"/>
  <c r="O41" s="1"/>
  <c r="N39"/>
  <c r="M39"/>
  <c r="L39"/>
  <c r="K39"/>
  <c r="J39"/>
  <c r="I39"/>
  <c r="H39"/>
  <c r="T52" s="1"/>
  <c r="U52" s="1"/>
  <c r="G39"/>
  <c r="T47" s="1"/>
  <c r="U47" s="1"/>
  <c r="F39"/>
  <c r="E39"/>
  <c r="T49" s="1"/>
  <c r="U49" s="1"/>
  <c r="D39"/>
  <c r="C39"/>
  <c r="T51" s="1"/>
  <c r="U51" s="1"/>
  <c r="B39"/>
  <c r="H48" i="10"/>
  <c r="E48"/>
  <c r="B48"/>
  <c r="H47"/>
  <c r="E47"/>
  <c r="B47"/>
  <c r="B46"/>
  <c r="AQ40"/>
  <c r="AP40"/>
  <c r="AO40"/>
  <c r="AN40"/>
  <c r="AM40"/>
  <c r="AL40"/>
  <c r="AK40"/>
  <c r="AJ40"/>
  <c r="AI40"/>
  <c r="AF40"/>
  <c r="E49" s="1"/>
  <c r="AE40"/>
  <c r="AD40"/>
  <c r="B49" s="1"/>
  <c r="AQ39"/>
  <c r="AP39"/>
  <c r="AO39"/>
  <c r="AN39"/>
  <c r="AM39"/>
  <c r="AL39"/>
  <c r="AK39"/>
  <c r="AJ39"/>
  <c r="AI39"/>
  <c r="AH39"/>
  <c r="AH41" s="1"/>
  <c r="AC39"/>
  <c r="AB39"/>
  <c r="AA39"/>
  <c r="AA41" s="1"/>
  <c r="Z39"/>
  <c r="Y39"/>
  <c r="X39"/>
  <c r="W39"/>
  <c r="V39"/>
  <c r="U39"/>
  <c r="T39"/>
  <c r="T41" s="1"/>
  <c r="S39"/>
  <c r="S41" s="1"/>
  <c r="R39"/>
  <c r="R41" s="1"/>
  <c r="Q39"/>
  <c r="Q41" s="1"/>
  <c r="P39"/>
  <c r="P41" s="1"/>
  <c r="O39"/>
  <c r="O41" s="1"/>
  <c r="N39"/>
  <c r="M39"/>
  <c r="L39"/>
  <c r="K39"/>
  <c r="J39"/>
  <c r="J41" s="1"/>
  <c r="I39"/>
  <c r="H39"/>
  <c r="T52" s="1"/>
  <c r="U52" s="1"/>
  <c r="G39"/>
  <c r="T47" s="1"/>
  <c r="U47" s="1"/>
  <c r="F39"/>
  <c r="E39"/>
  <c r="T49" s="1"/>
  <c r="U49" s="1"/>
  <c r="D39"/>
  <c r="C39"/>
  <c r="B39"/>
  <c r="H48" i="9"/>
  <c r="E48"/>
  <c r="B48"/>
  <c r="H47"/>
  <c r="E47"/>
  <c r="B47"/>
  <c r="B46"/>
  <c r="AQ40"/>
  <c r="AP40"/>
  <c r="AO40"/>
  <c r="AN40"/>
  <c r="AM40"/>
  <c r="AL40"/>
  <c r="AK40"/>
  <c r="AJ40"/>
  <c r="AI40"/>
  <c r="AF40"/>
  <c r="E49" s="1"/>
  <c r="AE40"/>
  <c r="H49" s="1"/>
  <c r="AD40"/>
  <c r="B49" s="1"/>
  <c r="AQ39"/>
  <c r="AP39"/>
  <c r="AO39"/>
  <c r="AN39"/>
  <c r="AM39"/>
  <c r="AL39"/>
  <c r="AK39"/>
  <c r="AJ39"/>
  <c r="AI39"/>
  <c r="AH39"/>
  <c r="AH41" s="1"/>
  <c r="AC39"/>
  <c r="AB39"/>
  <c r="AA39"/>
  <c r="AA41" s="1"/>
  <c r="Z39"/>
  <c r="Y39"/>
  <c r="X39"/>
  <c r="W39"/>
  <c r="T45" s="1"/>
  <c r="U45" s="1"/>
  <c r="V39"/>
  <c r="U39"/>
  <c r="T50" s="1"/>
  <c r="U50" s="1"/>
  <c r="T39"/>
  <c r="T41" s="1"/>
  <c r="S39"/>
  <c r="S41" s="1"/>
  <c r="R39"/>
  <c r="R41" s="1"/>
  <c r="Q39"/>
  <c r="Q41" s="1"/>
  <c r="P39"/>
  <c r="P41" s="1"/>
  <c r="O39"/>
  <c r="O41" s="1"/>
  <c r="N39"/>
  <c r="M39"/>
  <c r="L39"/>
  <c r="K39"/>
  <c r="J39"/>
  <c r="J41" s="1"/>
  <c r="I39"/>
  <c r="H39"/>
  <c r="T52" s="1"/>
  <c r="U52" s="1"/>
  <c r="G39"/>
  <c r="T47" s="1"/>
  <c r="U47" s="1"/>
  <c r="F39"/>
  <c r="E39"/>
  <c r="T49" s="1"/>
  <c r="U49" s="1"/>
  <c r="D39"/>
  <c r="C39"/>
  <c r="T51" s="1"/>
  <c r="U51" s="1"/>
  <c r="B39"/>
  <c r="H48" i="8"/>
  <c r="E48"/>
  <c r="B48"/>
  <c r="H47"/>
  <c r="E47"/>
  <c r="B47"/>
  <c r="H46"/>
  <c r="E46"/>
  <c r="B46"/>
  <c r="AQ40"/>
  <c r="AP40"/>
  <c r="AO40"/>
  <c r="AN40"/>
  <c r="AM40"/>
  <c r="AL40"/>
  <c r="AK40"/>
  <c r="AJ40"/>
  <c r="AI40"/>
  <c r="AF40"/>
  <c r="E49" s="1"/>
  <c r="AE40"/>
  <c r="H49" s="1"/>
  <c r="AD40"/>
  <c r="B49" s="1"/>
  <c r="AQ39"/>
  <c r="AP39"/>
  <c r="AO39"/>
  <c r="AN39"/>
  <c r="AM39"/>
  <c r="AL39"/>
  <c r="AK39"/>
  <c r="AJ39"/>
  <c r="AI39"/>
  <c r="AH39"/>
  <c r="AH41" s="1"/>
  <c r="AC39"/>
  <c r="AB39"/>
  <c r="AA39"/>
  <c r="AA41" s="1"/>
  <c r="Z39"/>
  <c r="Y39"/>
  <c r="X39"/>
  <c r="W39"/>
  <c r="V39"/>
  <c r="U39"/>
  <c r="T39"/>
  <c r="T41" s="1"/>
  <c r="S39"/>
  <c r="S41" s="1"/>
  <c r="R39"/>
  <c r="R41" s="1"/>
  <c r="Q39"/>
  <c r="Q41" s="1"/>
  <c r="P39"/>
  <c r="P41" s="1"/>
  <c r="O39"/>
  <c r="O41" s="1"/>
  <c r="N39"/>
  <c r="M39"/>
  <c r="L39"/>
  <c r="K39"/>
  <c r="J39"/>
  <c r="J41" s="1"/>
  <c r="I39"/>
  <c r="H39"/>
  <c r="T52" s="1"/>
  <c r="U52" s="1"/>
  <c r="G39"/>
  <c r="T47" s="1"/>
  <c r="U47" s="1"/>
  <c r="F39"/>
  <c r="E39"/>
  <c r="D39"/>
  <c r="T54" s="1"/>
  <c r="U54" s="1"/>
  <c r="C39"/>
  <c r="B39"/>
  <c r="H48" i="7"/>
  <c r="E48"/>
  <c r="B48"/>
  <c r="H47"/>
  <c r="E47"/>
  <c r="B47"/>
  <c r="H46"/>
  <c r="E46"/>
  <c r="B46"/>
  <c r="AQ40"/>
  <c r="AP40"/>
  <c r="AO40"/>
  <c r="AN40"/>
  <c r="AM40"/>
  <c r="AL40"/>
  <c r="AK40"/>
  <c r="AJ40"/>
  <c r="AI40"/>
  <c r="AF40"/>
  <c r="E49" s="1"/>
  <c r="AE40"/>
  <c r="H49" s="1"/>
  <c r="AD40"/>
  <c r="B49" s="1"/>
  <c r="AQ39"/>
  <c r="AP39"/>
  <c r="AO39"/>
  <c r="AN39"/>
  <c r="AM39"/>
  <c r="AL39"/>
  <c r="AK39"/>
  <c r="AJ39"/>
  <c r="AI39"/>
  <c r="AH39"/>
  <c r="AH41" s="1"/>
  <c r="AC39"/>
  <c r="AB39"/>
  <c r="AA39"/>
  <c r="AA41" s="1"/>
  <c r="Z39"/>
  <c r="Y39"/>
  <c r="X39"/>
  <c r="W39"/>
  <c r="V39"/>
  <c r="U39"/>
  <c r="T39"/>
  <c r="S39"/>
  <c r="R39"/>
  <c r="R41" s="1"/>
  <c r="Q39"/>
  <c r="Q41" s="1"/>
  <c r="P39"/>
  <c r="P41" s="1"/>
  <c r="O39"/>
  <c r="O41" s="1"/>
  <c r="N39"/>
  <c r="M39"/>
  <c r="L39"/>
  <c r="K39"/>
  <c r="J39"/>
  <c r="I39"/>
  <c r="H39"/>
  <c r="T52" s="1"/>
  <c r="U52" s="1"/>
  <c r="G39"/>
  <c r="T47" s="1"/>
  <c r="U47" s="1"/>
  <c r="F39"/>
  <c r="E39"/>
  <c r="T49" s="1"/>
  <c r="U49" s="1"/>
  <c r="D39"/>
  <c r="C39"/>
  <c r="B39"/>
  <c r="T53" i="16" l="1"/>
  <c r="U53" s="1"/>
  <c r="AG40" i="14"/>
  <c r="T53"/>
  <c r="U53" s="1"/>
  <c r="T54"/>
  <c r="U54" s="1"/>
  <c r="T51" i="12"/>
  <c r="U51" s="1"/>
  <c r="T50"/>
  <c r="U50" s="1"/>
  <c r="T45"/>
  <c r="U45" s="1"/>
  <c r="T53" i="11"/>
  <c r="U53" s="1"/>
  <c r="T54"/>
  <c r="U54" s="1"/>
  <c r="T51" i="10"/>
  <c r="U51" s="1"/>
  <c r="T50"/>
  <c r="U50" s="1"/>
  <c r="T45"/>
  <c r="U45" s="1"/>
  <c r="AG40"/>
  <c r="T53"/>
  <c r="U53" s="1"/>
  <c r="T54"/>
  <c r="U54" s="1"/>
  <c r="T53" i="9"/>
  <c r="U53" s="1"/>
  <c r="T54"/>
  <c r="U54" s="1"/>
  <c r="T49" i="8"/>
  <c r="U49" s="1"/>
  <c r="T53"/>
  <c r="U53" s="1"/>
  <c r="T51"/>
  <c r="U51" s="1"/>
  <c r="T50"/>
  <c r="U50" s="1"/>
  <c r="T45"/>
  <c r="U45" s="1"/>
  <c r="T51" i="7"/>
  <c r="U51" s="1"/>
  <c r="T50"/>
  <c r="U50" s="1"/>
  <c r="T45"/>
  <c r="U45" s="1"/>
  <c r="T53"/>
  <c r="U53" s="1"/>
  <c r="T54"/>
  <c r="U54" s="1"/>
  <c r="AG40" i="9"/>
  <c r="T46" i="8"/>
  <c r="U46" s="1"/>
  <c r="T46" i="7"/>
  <c r="U46" s="1"/>
  <c r="T50" i="16"/>
  <c r="U50" s="1"/>
  <c r="T45"/>
  <c r="U45" s="1"/>
  <c r="T46"/>
  <c r="U46" s="1"/>
  <c r="AJ41"/>
  <c r="AL41"/>
  <c r="AN41"/>
  <c r="AP41"/>
  <c r="AI41"/>
  <c r="AK41"/>
  <c r="AM41"/>
  <c r="AO41"/>
  <c r="AQ41"/>
  <c r="T50" i="15"/>
  <c r="U50" s="1"/>
  <c r="T45"/>
  <c r="U45" s="1"/>
  <c r="T51"/>
  <c r="U51" s="1"/>
  <c r="T53"/>
  <c r="U53" s="1"/>
  <c r="T54"/>
  <c r="U54" s="1"/>
  <c r="T46"/>
  <c r="U46" s="1"/>
  <c r="AJ41"/>
  <c r="AL41"/>
  <c r="AN41"/>
  <c r="AP41"/>
  <c r="AG40"/>
  <c r="E46" s="1"/>
  <c r="AI41"/>
  <c r="AK41"/>
  <c r="AM41"/>
  <c r="AO41"/>
  <c r="AQ41"/>
  <c r="T50" i="14"/>
  <c r="U50" s="1"/>
  <c r="T45"/>
  <c r="U45" s="1"/>
  <c r="AJ41"/>
  <c r="AL41"/>
  <c r="AN41"/>
  <c r="AP41"/>
  <c r="AI41"/>
  <c r="AK41"/>
  <c r="H45" s="1"/>
  <c r="AM41"/>
  <c r="AO41"/>
  <c r="AQ41"/>
  <c r="AJ41" i="12"/>
  <c r="AL41"/>
  <c r="AN41"/>
  <c r="AP41"/>
  <c r="AI41"/>
  <c r="AK41"/>
  <c r="AM41"/>
  <c r="AO41"/>
  <c r="AQ41"/>
  <c r="AJ41" i="11"/>
  <c r="AL41"/>
  <c r="AN41"/>
  <c r="AP41"/>
  <c r="AI41"/>
  <c r="AK41"/>
  <c r="AM41"/>
  <c r="AO41"/>
  <c r="AQ41"/>
  <c r="AJ41" i="10"/>
  <c r="AL41"/>
  <c r="AN41"/>
  <c r="AP41"/>
  <c r="AI41"/>
  <c r="AK41"/>
  <c r="AM41"/>
  <c r="AO41"/>
  <c r="AQ41"/>
  <c r="AI41" i="8"/>
  <c r="AK41"/>
  <c r="AM41"/>
  <c r="AO41"/>
  <c r="AQ41"/>
  <c r="AJ41"/>
  <c r="AL41"/>
  <c r="AN41"/>
  <c r="AP41"/>
  <c r="AJ41" i="7"/>
  <c r="AL41"/>
  <c r="AN41"/>
  <c r="AP41"/>
  <c r="AI41"/>
  <c r="AK41"/>
  <c r="AM41"/>
  <c r="AO41"/>
  <c r="AQ41"/>
  <c r="H46" i="16"/>
  <c r="E46"/>
  <c r="T48"/>
  <c r="U48" s="1"/>
  <c r="H49"/>
  <c r="T48" i="15"/>
  <c r="U48" s="1"/>
  <c r="H49"/>
  <c r="T46" i="14"/>
  <c r="U46" s="1"/>
  <c r="H46"/>
  <c r="E46"/>
  <c r="T48"/>
  <c r="U48" s="1"/>
  <c r="H49"/>
  <c r="H46" i="12"/>
  <c r="E46"/>
  <c r="T46"/>
  <c r="U46" s="1"/>
  <c r="E45"/>
  <c r="B45"/>
  <c r="T48"/>
  <c r="U48" s="1"/>
  <c r="T46" i="11"/>
  <c r="U46" s="1"/>
  <c r="E45"/>
  <c r="H45"/>
  <c r="B45"/>
  <c r="H46"/>
  <c r="E46"/>
  <c r="T48"/>
  <c r="U48" s="1"/>
  <c r="H49"/>
  <c r="T46" i="10"/>
  <c r="U46" s="1"/>
  <c r="B45"/>
  <c r="H46"/>
  <c r="E46"/>
  <c r="C41"/>
  <c r="T48"/>
  <c r="U48" s="1"/>
  <c r="H49"/>
  <c r="AI41" i="9"/>
  <c r="AK41"/>
  <c r="AM41"/>
  <c r="AO41"/>
  <c r="AQ41"/>
  <c r="T46"/>
  <c r="U46" s="1"/>
  <c r="AJ41"/>
  <c r="AL41"/>
  <c r="AN41"/>
  <c r="AP41"/>
  <c r="C41"/>
  <c r="T48"/>
  <c r="U48" s="1"/>
  <c r="E45" i="8"/>
  <c r="H45"/>
  <c r="B45"/>
  <c r="C41"/>
  <c r="T48"/>
  <c r="U48" s="1"/>
  <c r="E45" i="7"/>
  <c r="H45"/>
  <c r="B45"/>
  <c r="T48"/>
  <c r="U48" s="1"/>
  <c r="E45" i="16" l="1"/>
  <c r="E45" i="14"/>
  <c r="B45"/>
  <c r="E45" i="10"/>
  <c r="E46" i="9"/>
  <c r="H46"/>
  <c r="B45" i="16"/>
  <c r="H45"/>
  <c r="E45" i="15"/>
  <c r="B45"/>
  <c r="H45"/>
  <c r="H46"/>
  <c r="H45" i="12"/>
  <c r="H45" i="10"/>
  <c r="E45" i="9"/>
  <c r="B45"/>
  <c r="H45"/>
  <c r="H48" i="6" l="1"/>
  <c r="E48"/>
  <c r="B48"/>
  <c r="H47"/>
  <c r="E47"/>
  <c r="B47"/>
  <c r="B46"/>
  <c r="AQ40"/>
  <c r="AP40"/>
  <c r="AO40"/>
  <c r="AN40"/>
  <c r="AM40"/>
  <c r="AL40"/>
  <c r="AK40"/>
  <c r="AJ40"/>
  <c r="AI40"/>
  <c r="AF40"/>
  <c r="E49" s="1"/>
  <c r="AE40"/>
  <c r="AD40"/>
  <c r="B49" s="1"/>
  <c r="AQ39"/>
  <c r="AP39"/>
  <c r="AO39"/>
  <c r="AN39"/>
  <c r="AM39"/>
  <c r="AL39"/>
  <c r="AK39"/>
  <c r="AJ39"/>
  <c r="AI39"/>
  <c r="AH39"/>
  <c r="AC39"/>
  <c r="AB39"/>
  <c r="AA39"/>
  <c r="AA41" s="1"/>
  <c r="Z39"/>
  <c r="Y39"/>
  <c r="X39"/>
  <c r="W39"/>
  <c r="V39"/>
  <c r="U39"/>
  <c r="T50" s="1"/>
  <c r="U50" s="1"/>
  <c r="T39"/>
  <c r="S39"/>
  <c r="R39"/>
  <c r="R41" s="1"/>
  <c r="Q39"/>
  <c r="Q41" s="1"/>
  <c r="P39"/>
  <c r="P41" s="1"/>
  <c r="O39"/>
  <c r="O41" s="1"/>
  <c r="N39"/>
  <c r="M39"/>
  <c r="L39"/>
  <c r="K39"/>
  <c r="J39"/>
  <c r="I39"/>
  <c r="H39"/>
  <c r="T52" s="1"/>
  <c r="U52" s="1"/>
  <c r="G39"/>
  <c r="T47" s="1"/>
  <c r="U47" s="1"/>
  <c r="F39"/>
  <c r="E39"/>
  <c r="T49" s="1"/>
  <c r="U49" s="1"/>
  <c r="D39"/>
  <c r="T54" s="1"/>
  <c r="U54" s="1"/>
  <c r="C39"/>
  <c r="T51" s="1"/>
  <c r="U51" s="1"/>
  <c r="B39"/>
  <c r="T53" s="1"/>
  <c r="U53" s="1"/>
  <c r="AH41" l="1"/>
  <c r="AJ41"/>
  <c r="AL41"/>
  <c r="AN41"/>
  <c r="AP41"/>
  <c r="AI41"/>
  <c r="AK41"/>
  <c r="AM41"/>
  <c r="AO41"/>
  <c r="AQ41"/>
  <c r="T46"/>
  <c r="U46" s="1"/>
  <c r="T45"/>
  <c r="U45" s="1"/>
  <c r="H46"/>
  <c r="E46"/>
  <c r="T48"/>
  <c r="U48" s="1"/>
  <c r="H49"/>
  <c r="B45" l="1"/>
  <c r="E45"/>
  <c r="H45"/>
  <c r="H48" i="5" l="1"/>
  <c r="E48"/>
  <c r="B48"/>
  <c r="H47"/>
  <c r="E47"/>
  <c r="B47"/>
  <c r="B46"/>
  <c r="AQ40"/>
  <c r="AP40"/>
  <c r="AO40"/>
  <c r="AN40"/>
  <c r="AM40"/>
  <c r="AL40"/>
  <c r="AK40"/>
  <c r="AJ40"/>
  <c r="AI40"/>
  <c r="AF40"/>
  <c r="E49" s="1"/>
  <c r="AE40"/>
  <c r="AD40"/>
  <c r="B49" s="1"/>
  <c r="AQ39"/>
  <c r="AP39"/>
  <c r="AO39"/>
  <c r="AN39"/>
  <c r="AM39"/>
  <c r="AL39"/>
  <c r="AK39"/>
  <c r="AJ39"/>
  <c r="AI39"/>
  <c r="AH39"/>
  <c r="AH41" s="1"/>
  <c r="AC39"/>
  <c r="AB39"/>
  <c r="AA39"/>
  <c r="AA41" s="1"/>
  <c r="Z39"/>
  <c r="Y39"/>
  <c r="X39"/>
  <c r="W39"/>
  <c r="V39"/>
  <c r="U39"/>
  <c r="T39"/>
  <c r="S39"/>
  <c r="R39"/>
  <c r="R41" s="1"/>
  <c r="Q39"/>
  <c r="Q41" s="1"/>
  <c r="P39"/>
  <c r="P41" s="1"/>
  <c r="O39"/>
  <c r="O41" s="1"/>
  <c r="N39"/>
  <c r="M39"/>
  <c r="L39"/>
  <c r="K39"/>
  <c r="J39"/>
  <c r="I39"/>
  <c r="H39"/>
  <c r="T52" s="1"/>
  <c r="U52" s="1"/>
  <c r="G39"/>
  <c r="T47" s="1"/>
  <c r="U47" s="1"/>
  <c r="F39"/>
  <c r="E39"/>
  <c r="T49" s="1"/>
  <c r="U49" s="1"/>
  <c r="D39"/>
  <c r="T54" s="1"/>
  <c r="U54" s="1"/>
  <c r="C39"/>
  <c r="B39"/>
  <c r="T53" s="1"/>
  <c r="U53" s="1"/>
  <c r="T51" l="1"/>
  <c r="U51" s="1"/>
  <c r="T50"/>
  <c r="U50" s="1"/>
  <c r="T45"/>
  <c r="U45" s="1"/>
  <c r="AG40"/>
  <c r="H46" s="1"/>
  <c r="AJ41"/>
  <c r="AL41"/>
  <c r="AN41"/>
  <c r="AP41"/>
  <c r="AI41"/>
  <c r="AK41"/>
  <c r="AM41"/>
  <c r="AO41"/>
  <c r="AQ41"/>
  <c r="T46"/>
  <c r="U46" s="1"/>
  <c r="T48"/>
  <c r="U48" s="1"/>
  <c r="H49"/>
  <c r="H48" i="13"/>
  <c r="E48"/>
  <c r="B48"/>
  <c r="E46" i="5" l="1"/>
  <c r="B45"/>
  <c r="H45"/>
  <c r="E45"/>
  <c r="B46" i="13"/>
  <c r="B47" l="1"/>
  <c r="AQ40"/>
  <c r="AP40"/>
  <c r="AO40"/>
  <c r="AN40"/>
  <c r="AM40"/>
  <c r="AL40"/>
  <c r="AK40"/>
  <c r="AJ40"/>
  <c r="AI40"/>
  <c r="AQ39"/>
  <c r="AP39"/>
  <c r="AO39"/>
  <c r="AN39"/>
  <c r="AM39"/>
  <c r="AL39"/>
  <c r="AK39"/>
  <c r="AJ39"/>
  <c r="AI39"/>
  <c r="AH39"/>
  <c r="H47"/>
  <c r="E47"/>
  <c r="AH41" l="1"/>
  <c r="C54" i="2"/>
  <c r="AL41" i="13"/>
  <c r="AQ41"/>
  <c r="AP41"/>
  <c r="AN41"/>
  <c r="AM41"/>
  <c r="AK41"/>
  <c r="AJ41"/>
  <c r="AI41"/>
  <c r="AO41" l="1"/>
  <c r="B45" s="1"/>
  <c r="AB26" i="4"/>
  <c r="AC26"/>
  <c r="AD26"/>
  <c r="AA26"/>
  <c r="K40" i="16" l="1"/>
  <c r="K41" s="1"/>
  <c r="K40" i="15"/>
  <c r="K41" s="1"/>
  <c r="K40" i="14"/>
  <c r="K41" s="1"/>
  <c r="E40" i="16"/>
  <c r="E41" s="1"/>
  <c r="E40" i="15"/>
  <c r="E41" s="1"/>
  <c r="E40" i="14"/>
  <c r="E41" s="1"/>
  <c r="K40" i="13"/>
  <c r="K40" i="12"/>
  <c r="K41" s="1"/>
  <c r="K40" i="11"/>
  <c r="K41" s="1"/>
  <c r="E40" i="13"/>
  <c r="E40" i="12"/>
  <c r="E41" s="1"/>
  <c r="E40" i="11"/>
  <c r="E41" s="1"/>
  <c r="K40" i="10"/>
  <c r="K41" s="1"/>
  <c r="K40" i="9"/>
  <c r="K41" s="1"/>
  <c r="K40" i="8"/>
  <c r="K41" s="1"/>
  <c r="E40" i="10"/>
  <c r="E41" s="1"/>
  <c r="F23" i="2" s="1"/>
  <c r="E40" i="9"/>
  <c r="E41" s="1"/>
  <c r="F22" i="2" s="1"/>
  <c r="E40" i="8"/>
  <c r="E41" s="1"/>
  <c r="K40" i="7"/>
  <c r="K41" s="1"/>
  <c r="L20" i="2" s="1"/>
  <c r="K40" i="6"/>
  <c r="K41" s="1"/>
  <c r="K40" i="5"/>
  <c r="K41" s="1"/>
  <c r="E40" i="7"/>
  <c r="E41" s="1"/>
  <c r="E40" i="6"/>
  <c r="E41" s="1"/>
  <c r="F19" i="2" s="1"/>
  <c r="E40" i="5"/>
  <c r="E41" s="1"/>
  <c r="AG24" i="4"/>
  <c r="AH24"/>
  <c r="AI24"/>
  <c r="AF24"/>
  <c r="AI31"/>
  <c r="AH31"/>
  <c r="AG31"/>
  <c r="AF31"/>
  <c r="AD31"/>
  <c r="AC31"/>
  <c r="AB31"/>
  <c r="AA31"/>
  <c r="AI30"/>
  <c r="AH30"/>
  <c r="AG30"/>
  <c r="AF30"/>
  <c r="AD30"/>
  <c r="AC30"/>
  <c r="AB30"/>
  <c r="AA30"/>
  <c r="AI29"/>
  <c r="AH29"/>
  <c r="AG29"/>
  <c r="AF29"/>
  <c r="AD29"/>
  <c r="AC29"/>
  <c r="AB29"/>
  <c r="AA29"/>
  <c r="AI28"/>
  <c r="AH28"/>
  <c r="AG28"/>
  <c r="AF28"/>
  <c r="AD28"/>
  <c r="AC28"/>
  <c r="AA28"/>
  <c r="AI27"/>
  <c r="AH27"/>
  <c r="AG27"/>
  <c r="AF27"/>
  <c r="AD27"/>
  <c r="AC27"/>
  <c r="AB27"/>
  <c r="AA27"/>
  <c r="AI26"/>
  <c r="AH26"/>
  <c r="AG26"/>
  <c r="AF26"/>
  <c r="AI25"/>
  <c r="AH25"/>
  <c r="AG25"/>
  <c r="AF25"/>
  <c r="AD25"/>
  <c r="AC25"/>
  <c r="AB25"/>
  <c r="AA25"/>
  <c r="AD24"/>
  <c r="AC24"/>
  <c r="AB24"/>
  <c r="AA24"/>
  <c r="AI23"/>
  <c r="AH23"/>
  <c r="AG23"/>
  <c r="AF23"/>
  <c r="AD23"/>
  <c r="AC23"/>
  <c r="AB23"/>
  <c r="AA23"/>
  <c r="AD22"/>
  <c r="AC22"/>
  <c r="AB22"/>
  <c r="AA22"/>
  <c r="R20"/>
  <c r="AI19"/>
  <c r="AG19"/>
  <c r="T18"/>
  <c r="AB18" s="1"/>
  <c r="P18"/>
  <c r="A12"/>
  <c r="A20" s="1"/>
  <c r="AE7"/>
  <c r="AD7"/>
  <c r="F25" i="2"/>
  <c r="L25"/>
  <c r="P25"/>
  <c r="Q25"/>
  <c r="R25"/>
  <c r="S25"/>
  <c r="AB25"/>
  <c r="F24"/>
  <c r="L24"/>
  <c r="P24"/>
  <c r="Q24"/>
  <c r="R24"/>
  <c r="S24"/>
  <c r="AB24"/>
  <c r="AE10"/>
  <c r="AF10"/>
  <c r="AG10"/>
  <c r="AH10"/>
  <c r="C10"/>
  <c r="D10"/>
  <c r="E10"/>
  <c r="F10"/>
  <c r="G10"/>
  <c r="H10"/>
  <c r="I10"/>
  <c r="J10"/>
  <c r="K10"/>
  <c r="L10"/>
  <c r="M10"/>
  <c r="N10"/>
  <c r="O10"/>
  <c r="P10"/>
  <c r="Q10"/>
  <c r="R10"/>
  <c r="S10"/>
  <c r="T10"/>
  <c r="U10"/>
  <c r="V10"/>
  <c r="W10"/>
  <c r="X10"/>
  <c r="Y10"/>
  <c r="Z10"/>
  <c r="AA10"/>
  <c r="AB10"/>
  <c r="AC10"/>
  <c r="AD10"/>
  <c r="D23"/>
  <c r="K23"/>
  <c r="L23"/>
  <c r="P23"/>
  <c r="Q23"/>
  <c r="R23"/>
  <c r="S23"/>
  <c r="T23"/>
  <c r="U23"/>
  <c r="AB23"/>
  <c r="D22"/>
  <c r="K22"/>
  <c r="L22"/>
  <c r="P22"/>
  <c r="Q22"/>
  <c r="R22"/>
  <c r="S22"/>
  <c r="T22"/>
  <c r="U22"/>
  <c r="AB22"/>
  <c r="AE9"/>
  <c r="AF9"/>
  <c r="AG9"/>
  <c r="AH9"/>
  <c r="C9"/>
  <c r="D9"/>
  <c r="E9"/>
  <c r="F9"/>
  <c r="G9"/>
  <c r="H9"/>
  <c r="I9"/>
  <c r="J9"/>
  <c r="K9"/>
  <c r="L9"/>
  <c r="M9"/>
  <c r="N9"/>
  <c r="O9"/>
  <c r="P9"/>
  <c r="Q9"/>
  <c r="R9"/>
  <c r="S9"/>
  <c r="T9"/>
  <c r="U9"/>
  <c r="V9"/>
  <c r="W9"/>
  <c r="X9"/>
  <c r="Y9"/>
  <c r="Z9"/>
  <c r="AA9"/>
  <c r="AB9"/>
  <c r="AC9"/>
  <c r="AD9"/>
  <c r="AE8"/>
  <c r="AF8"/>
  <c r="AG8"/>
  <c r="AH8"/>
  <c r="C8"/>
  <c r="D8"/>
  <c r="E8"/>
  <c r="F8"/>
  <c r="G8"/>
  <c r="H8"/>
  <c r="I8"/>
  <c r="J8"/>
  <c r="K8"/>
  <c r="L8"/>
  <c r="M8"/>
  <c r="N8"/>
  <c r="O8"/>
  <c r="P8"/>
  <c r="Q8"/>
  <c r="R8"/>
  <c r="S8"/>
  <c r="T8"/>
  <c r="U8"/>
  <c r="V8"/>
  <c r="W8"/>
  <c r="X8"/>
  <c r="Y8"/>
  <c r="Z8"/>
  <c r="AA8"/>
  <c r="AB8"/>
  <c r="AC8"/>
  <c r="AD8"/>
  <c r="D21"/>
  <c r="F21"/>
  <c r="K21"/>
  <c r="L21"/>
  <c r="P21"/>
  <c r="Q21"/>
  <c r="R21"/>
  <c r="S21"/>
  <c r="T21"/>
  <c r="U21"/>
  <c r="AB21"/>
  <c r="AE7"/>
  <c r="AF7"/>
  <c r="AG7"/>
  <c r="AH7"/>
  <c r="C7"/>
  <c r="D7"/>
  <c r="E7"/>
  <c r="F7"/>
  <c r="G7"/>
  <c r="H7"/>
  <c r="I7"/>
  <c r="J7"/>
  <c r="K7"/>
  <c r="L7"/>
  <c r="M7"/>
  <c r="N7"/>
  <c r="O7"/>
  <c r="P7"/>
  <c r="Q7"/>
  <c r="R7"/>
  <c r="S7"/>
  <c r="T7"/>
  <c r="U7"/>
  <c r="V7"/>
  <c r="W7"/>
  <c r="X7"/>
  <c r="Y7"/>
  <c r="Z7"/>
  <c r="AA7"/>
  <c r="AB7"/>
  <c r="AC7"/>
  <c r="AD7"/>
  <c r="F20"/>
  <c r="P20"/>
  <c r="Q20"/>
  <c r="R20"/>
  <c r="S20"/>
  <c r="AB20"/>
  <c r="AE6"/>
  <c r="AF6"/>
  <c r="AG6"/>
  <c r="AH6"/>
  <c r="C6"/>
  <c r="D6"/>
  <c r="E6"/>
  <c r="F6"/>
  <c r="G6"/>
  <c r="H6"/>
  <c r="I6"/>
  <c r="J6"/>
  <c r="K6"/>
  <c r="L6"/>
  <c r="M6"/>
  <c r="N6"/>
  <c r="O6"/>
  <c r="P6"/>
  <c r="Q6"/>
  <c r="R6"/>
  <c r="S6"/>
  <c r="T6"/>
  <c r="U6"/>
  <c r="V6"/>
  <c r="W6"/>
  <c r="X6"/>
  <c r="Y6"/>
  <c r="Z6"/>
  <c r="AA6"/>
  <c r="AB6"/>
  <c r="AC6"/>
  <c r="AD6"/>
  <c r="L19"/>
  <c r="P19"/>
  <c r="Q19"/>
  <c r="R19"/>
  <c r="S19"/>
  <c r="AB19"/>
  <c r="AE5"/>
  <c r="AF5"/>
  <c r="AG5"/>
  <c r="AH5"/>
  <c r="C5"/>
  <c r="D5"/>
  <c r="E5"/>
  <c r="F5"/>
  <c r="G5"/>
  <c r="H5"/>
  <c r="I5"/>
  <c r="J5"/>
  <c r="K5"/>
  <c r="L5"/>
  <c r="M5"/>
  <c r="N5"/>
  <c r="O5"/>
  <c r="P5"/>
  <c r="Q5"/>
  <c r="R5"/>
  <c r="S5"/>
  <c r="T5"/>
  <c r="U5"/>
  <c r="V5"/>
  <c r="W5"/>
  <c r="X5"/>
  <c r="Y5"/>
  <c r="Z5"/>
  <c r="AA5"/>
  <c r="AB5"/>
  <c r="AC5"/>
  <c r="AD5"/>
  <c r="AE11"/>
  <c r="AF11"/>
  <c r="AG11"/>
  <c r="AH11"/>
  <c r="C11"/>
  <c r="D11"/>
  <c r="E11"/>
  <c r="F11"/>
  <c r="G11"/>
  <c r="H11"/>
  <c r="I11"/>
  <c r="J11"/>
  <c r="K11"/>
  <c r="L11"/>
  <c r="M11"/>
  <c r="N11"/>
  <c r="O11"/>
  <c r="P11"/>
  <c r="Q11"/>
  <c r="R11"/>
  <c r="S11"/>
  <c r="T11"/>
  <c r="U11"/>
  <c r="V11"/>
  <c r="W11"/>
  <c r="X11"/>
  <c r="Y11"/>
  <c r="Z11"/>
  <c r="AA11"/>
  <c r="AB11"/>
  <c r="AC11"/>
  <c r="AD11"/>
  <c r="AB18"/>
  <c r="S18"/>
  <c r="R18"/>
  <c r="Q18"/>
  <c r="P18"/>
  <c r="L18"/>
  <c r="F18"/>
  <c r="AE30"/>
  <c r="AF30"/>
  <c r="AG30"/>
  <c r="AH30"/>
  <c r="AE4"/>
  <c r="AF4"/>
  <c r="AG4"/>
  <c r="AH4"/>
  <c r="C4"/>
  <c r="D4"/>
  <c r="E4"/>
  <c r="F4"/>
  <c r="G4"/>
  <c r="H4"/>
  <c r="I4"/>
  <c r="J4"/>
  <c r="K4"/>
  <c r="L4"/>
  <c r="M4"/>
  <c r="N4"/>
  <c r="O4"/>
  <c r="P4"/>
  <c r="Q4"/>
  <c r="R4"/>
  <c r="S4"/>
  <c r="T4"/>
  <c r="U4"/>
  <c r="V4"/>
  <c r="W4"/>
  <c r="X4"/>
  <c r="Y4"/>
  <c r="Z4"/>
  <c r="AA4"/>
  <c r="AB4"/>
  <c r="AC4"/>
  <c r="AD4"/>
  <c r="X40" i="13" l="1"/>
  <c r="X40" i="12"/>
  <c r="X41" s="1"/>
  <c r="X40" i="11"/>
  <c r="X41" s="1"/>
  <c r="W40" i="13"/>
  <c r="W40" i="12"/>
  <c r="W41" s="1"/>
  <c r="W40" i="11"/>
  <c r="W41" s="1"/>
  <c r="N40" i="13"/>
  <c r="F40"/>
  <c r="M40" i="12"/>
  <c r="M41" s="1"/>
  <c r="N40" i="11"/>
  <c r="N41" s="1"/>
  <c r="O24" i="2" s="1"/>
  <c r="F40" i="11"/>
  <c r="F41" s="1"/>
  <c r="M40" i="13"/>
  <c r="N40" i="12"/>
  <c r="N41" s="1"/>
  <c r="F40"/>
  <c r="F41" s="1"/>
  <c r="M40" i="11"/>
  <c r="M41" s="1"/>
  <c r="M40" i="16"/>
  <c r="M41" s="1"/>
  <c r="N40"/>
  <c r="N41" s="1"/>
  <c r="F40"/>
  <c r="F41" s="1"/>
  <c r="G40" i="11"/>
  <c r="G41" s="1"/>
  <c r="H24" i="2" s="1"/>
  <c r="G40" i="12"/>
  <c r="G41" s="1"/>
  <c r="H25" i="2" s="1"/>
  <c r="G40" i="13"/>
  <c r="L40" i="12"/>
  <c r="L41" s="1"/>
  <c r="M25" i="2" s="1"/>
  <c r="L40" i="13"/>
  <c r="L40" i="11"/>
  <c r="L41" s="1"/>
  <c r="M24" i="2" s="1"/>
  <c r="AB40" i="13"/>
  <c r="U40"/>
  <c r="V40" i="12"/>
  <c r="V41" s="1"/>
  <c r="W25" i="2" s="1"/>
  <c r="AB40" i="11"/>
  <c r="AB41" s="1"/>
  <c r="AC24" i="2" s="1"/>
  <c r="U40" i="11"/>
  <c r="U41" s="1"/>
  <c r="V24" i="2" s="1"/>
  <c r="V40" i="13"/>
  <c r="AB40" i="12"/>
  <c r="AB41" s="1"/>
  <c r="AC25" i="2" s="1"/>
  <c r="U40" i="12"/>
  <c r="U41" s="1"/>
  <c r="V25" i="2" s="1"/>
  <c r="V40" i="11"/>
  <c r="V41" s="1"/>
  <c r="W24" i="2" s="1"/>
  <c r="T40" i="16"/>
  <c r="T41" s="1"/>
  <c r="J40"/>
  <c r="J41" s="1"/>
  <c r="T40" i="15"/>
  <c r="T41" s="1"/>
  <c r="J40"/>
  <c r="J41" s="1"/>
  <c r="T40" i="14"/>
  <c r="T41" s="1"/>
  <c r="J40"/>
  <c r="J41" s="1"/>
  <c r="S40" i="16"/>
  <c r="S41" s="1"/>
  <c r="C40"/>
  <c r="C41" s="1"/>
  <c r="S40" i="15"/>
  <c r="S41" s="1"/>
  <c r="C40"/>
  <c r="C41" s="1"/>
  <c r="S40" i="14"/>
  <c r="S41" s="1"/>
  <c r="C40"/>
  <c r="C41" s="1"/>
  <c r="H40" i="9"/>
  <c r="H41" s="1"/>
  <c r="I22" i="2" s="1"/>
  <c r="H40" i="10"/>
  <c r="H41" s="1"/>
  <c r="I23" i="2" s="1"/>
  <c r="H40" i="8"/>
  <c r="H41" s="1"/>
  <c r="I21" i="2" s="1"/>
  <c r="H40" i="15"/>
  <c r="H41" s="1"/>
  <c r="H40" i="16"/>
  <c r="H41" s="1"/>
  <c r="H40" i="14"/>
  <c r="H41" s="1"/>
  <c r="AC40" i="10"/>
  <c r="AC41" s="1"/>
  <c r="AD23" i="2" s="1"/>
  <c r="B40" i="10"/>
  <c r="B41" s="1"/>
  <c r="I40" i="9"/>
  <c r="I41" s="1"/>
  <c r="J22" i="2" s="1"/>
  <c r="AC40" i="8"/>
  <c r="AC41" s="1"/>
  <c r="AD21" i="2" s="1"/>
  <c r="B40" i="8"/>
  <c r="B41" s="1"/>
  <c r="I40" i="10"/>
  <c r="I41" s="1"/>
  <c r="AC40" i="9"/>
  <c r="AC41" s="1"/>
  <c r="AD22" i="2" s="1"/>
  <c r="B40" i="9"/>
  <c r="B41" s="1"/>
  <c r="I40" i="8"/>
  <c r="I41" s="1"/>
  <c r="J21" i="2" s="1"/>
  <c r="AC40" i="16"/>
  <c r="AC41" s="1"/>
  <c r="B40"/>
  <c r="B41" s="1"/>
  <c r="I40" i="15"/>
  <c r="I41" s="1"/>
  <c r="AC40" i="14"/>
  <c r="AC41" s="1"/>
  <c r="B40"/>
  <c r="B41" s="1"/>
  <c r="I40" i="16"/>
  <c r="I41" s="1"/>
  <c r="AC40" i="15"/>
  <c r="AC41" s="1"/>
  <c r="B40"/>
  <c r="B41" s="1"/>
  <c r="I40" i="14"/>
  <c r="I41" s="1"/>
  <c r="Y40" i="10"/>
  <c r="Y41" s="1"/>
  <c r="Z23" i="2" s="1"/>
  <c r="Z40" i="9"/>
  <c r="Z41" s="1"/>
  <c r="AA22" i="2" s="1"/>
  <c r="D40" i="9"/>
  <c r="D41" s="1"/>
  <c r="E22" i="2" s="1"/>
  <c r="Y40" i="8"/>
  <c r="Y41" s="1"/>
  <c r="Z21" i="2" s="1"/>
  <c r="D40" i="10"/>
  <c r="D41" s="1"/>
  <c r="E23" i="2" s="1"/>
  <c r="Z40" i="10"/>
  <c r="Z41" s="1"/>
  <c r="AA23" i="2" s="1"/>
  <c r="Y40" i="9"/>
  <c r="Y41" s="1"/>
  <c r="Z22" i="2" s="1"/>
  <c r="Z40" i="8"/>
  <c r="Z41" s="1"/>
  <c r="AA21" i="2" s="1"/>
  <c r="D40" i="8"/>
  <c r="D41" s="1"/>
  <c r="E21" i="2" s="1"/>
  <c r="Y40" i="16"/>
  <c r="Y41" s="1"/>
  <c r="Z40" i="15"/>
  <c r="Z41" s="1"/>
  <c r="D40"/>
  <c r="D41" s="1"/>
  <c r="Z40" i="14"/>
  <c r="Z41" s="1"/>
  <c r="Z40" i="16"/>
  <c r="Z41" s="1"/>
  <c r="D40"/>
  <c r="D41" s="1"/>
  <c r="Y40" i="15"/>
  <c r="Y41" s="1"/>
  <c r="D40" i="14"/>
  <c r="D41" s="1"/>
  <c r="Y40"/>
  <c r="Y41" s="1"/>
  <c r="X40" i="10"/>
  <c r="X41" s="1"/>
  <c r="X40" i="8"/>
  <c r="X41" s="1"/>
  <c r="W40" i="10"/>
  <c r="W41" s="1"/>
  <c r="W40" i="9"/>
  <c r="W41" s="1"/>
  <c r="W40" i="8"/>
  <c r="W41" s="1"/>
  <c r="X40" i="9"/>
  <c r="X41" s="1"/>
  <c r="X40" i="16"/>
  <c r="X41" s="1"/>
  <c r="X40" i="15"/>
  <c r="X41" s="1"/>
  <c r="X40" i="14"/>
  <c r="X41" s="1"/>
  <c r="W40" i="16"/>
  <c r="W41" s="1"/>
  <c r="W40" i="15"/>
  <c r="W41" s="1"/>
  <c r="W40" i="14"/>
  <c r="W41" s="1"/>
  <c r="M40" i="10"/>
  <c r="M41" s="1"/>
  <c r="N40" i="9"/>
  <c r="N41" s="1"/>
  <c r="F40"/>
  <c r="F41" s="1"/>
  <c r="M40" i="8"/>
  <c r="M41" s="1"/>
  <c r="N40" i="10"/>
  <c r="N41" s="1"/>
  <c r="F40"/>
  <c r="F41" s="1"/>
  <c r="M40" i="9"/>
  <c r="M41" s="1"/>
  <c r="N40" i="8"/>
  <c r="N41" s="1"/>
  <c r="O21" i="2" s="1"/>
  <c r="F40" i="8"/>
  <c r="F41" s="1"/>
  <c r="N40" i="15"/>
  <c r="N41" s="1"/>
  <c r="F40"/>
  <c r="F41" s="1"/>
  <c r="M40" i="14"/>
  <c r="M41" s="1"/>
  <c r="M40" i="15"/>
  <c r="M41" s="1"/>
  <c r="N40" i="14"/>
  <c r="N41" s="1"/>
  <c r="F40"/>
  <c r="F41" s="1"/>
  <c r="G40" i="9"/>
  <c r="G41" s="1"/>
  <c r="H22" i="2" s="1"/>
  <c r="G40" i="10"/>
  <c r="G41" s="1"/>
  <c r="H23" i="2" s="1"/>
  <c r="G40" i="8"/>
  <c r="G41" s="1"/>
  <c r="H21" i="2" s="1"/>
  <c r="G40" i="15"/>
  <c r="G41" s="1"/>
  <c r="G40" i="16"/>
  <c r="G41" s="1"/>
  <c r="G40" i="14"/>
  <c r="G41" s="1"/>
  <c r="L40" i="10"/>
  <c r="L41" s="1"/>
  <c r="M23" i="2" s="1"/>
  <c r="L40" i="8"/>
  <c r="L41" s="1"/>
  <c r="M21" i="2" s="1"/>
  <c r="L40" i="9"/>
  <c r="L41" s="1"/>
  <c r="M22" i="2" s="1"/>
  <c r="L40" i="16"/>
  <c r="L41" s="1"/>
  <c r="L40" i="14"/>
  <c r="L41" s="1"/>
  <c r="L40" i="15"/>
  <c r="L41" s="1"/>
  <c r="V40" i="10"/>
  <c r="V41" s="1"/>
  <c r="W23" i="2" s="1"/>
  <c r="AB40" i="9"/>
  <c r="AB41" s="1"/>
  <c r="AC22" i="2" s="1"/>
  <c r="U40" i="9"/>
  <c r="U41" s="1"/>
  <c r="V40" i="8"/>
  <c r="V41" s="1"/>
  <c r="W21" i="2" s="1"/>
  <c r="AB40" i="10"/>
  <c r="AB41" s="1"/>
  <c r="AC23" i="2" s="1"/>
  <c r="U40" i="10"/>
  <c r="U41" s="1"/>
  <c r="V23" i="2" s="1"/>
  <c r="V40" i="9"/>
  <c r="V41" s="1"/>
  <c r="W22" i="2" s="1"/>
  <c r="AB40" i="8"/>
  <c r="AB41" s="1"/>
  <c r="AC21" i="2" s="1"/>
  <c r="U40" i="8"/>
  <c r="U41" s="1"/>
  <c r="V40" i="16"/>
  <c r="V41" s="1"/>
  <c r="AB40" i="15"/>
  <c r="AB41" s="1"/>
  <c r="U40"/>
  <c r="U41" s="1"/>
  <c r="V40" i="14"/>
  <c r="V41" s="1"/>
  <c r="AB40" i="16"/>
  <c r="AB41" s="1"/>
  <c r="U40"/>
  <c r="U41" s="1"/>
  <c r="H44" s="1"/>
  <c r="H50" s="1"/>
  <c r="H51" s="1"/>
  <c r="E44" i="2" s="1"/>
  <c r="V40" i="15"/>
  <c r="V41" s="1"/>
  <c r="AB40" i="14"/>
  <c r="AB41" s="1"/>
  <c r="U40"/>
  <c r="U41" s="1"/>
  <c r="T40" i="13"/>
  <c r="J40"/>
  <c r="T40" i="12"/>
  <c r="T41" s="1"/>
  <c r="U25" i="2" s="1"/>
  <c r="J40" i="12"/>
  <c r="J41" s="1"/>
  <c r="K25" i="2" s="1"/>
  <c r="T40" i="11"/>
  <c r="T41" s="1"/>
  <c r="U24" i="2" s="1"/>
  <c r="J40" i="11"/>
  <c r="J41" s="1"/>
  <c r="K24" i="2" s="1"/>
  <c r="S40" i="13"/>
  <c r="C40"/>
  <c r="S40" i="12"/>
  <c r="S41" s="1"/>
  <c r="T25" i="2" s="1"/>
  <c r="C40" i="12"/>
  <c r="C41" s="1"/>
  <c r="D25" i="2" s="1"/>
  <c r="S40" i="11"/>
  <c r="S41" s="1"/>
  <c r="T24" i="2" s="1"/>
  <c r="C40" i="11"/>
  <c r="C41" s="1"/>
  <c r="D24" i="2" s="1"/>
  <c r="H40" i="13"/>
  <c r="H40" i="11"/>
  <c r="H41" s="1"/>
  <c r="I24" i="2" s="1"/>
  <c r="H40" i="12"/>
  <c r="H41" s="1"/>
  <c r="I25" i="2" s="1"/>
  <c r="I40" i="13"/>
  <c r="AC40" i="12"/>
  <c r="AC41" s="1"/>
  <c r="AD25" i="2" s="1"/>
  <c r="B40" i="12"/>
  <c r="B41" s="1"/>
  <c r="I40" i="11"/>
  <c r="I41" s="1"/>
  <c r="AC40" i="13"/>
  <c r="B40"/>
  <c r="I40" i="12"/>
  <c r="I41" s="1"/>
  <c r="AC40" i="11"/>
  <c r="AC41" s="1"/>
  <c r="AD24" i="2" s="1"/>
  <c r="B40" i="11"/>
  <c r="B41" s="1"/>
  <c r="D40" i="13"/>
  <c r="Y40"/>
  <c r="Z40" i="12"/>
  <c r="Z41" s="1"/>
  <c r="AA25" i="2" s="1"/>
  <c r="Z40" i="11"/>
  <c r="Z41" s="1"/>
  <c r="AA24" i="2" s="1"/>
  <c r="D40" i="11"/>
  <c r="D41" s="1"/>
  <c r="E24" i="2" s="1"/>
  <c r="Z40" i="13"/>
  <c r="D40" i="12"/>
  <c r="D41" s="1"/>
  <c r="E25" i="2" s="1"/>
  <c r="Y40" i="12"/>
  <c r="Y41" s="1"/>
  <c r="Z25" i="2" s="1"/>
  <c r="Y40" i="11"/>
  <c r="Y41" s="1"/>
  <c r="Z24" i="2" s="1"/>
  <c r="W40" i="7"/>
  <c r="W41" s="1"/>
  <c r="W40" i="6"/>
  <c r="W41" s="1"/>
  <c r="W40" i="5"/>
  <c r="W41" s="1"/>
  <c r="X40"/>
  <c r="X41" s="1"/>
  <c r="X40" i="7"/>
  <c r="X41" s="1"/>
  <c r="X40" i="6"/>
  <c r="X41" s="1"/>
  <c r="N40" i="7"/>
  <c r="N41" s="1"/>
  <c r="F40"/>
  <c r="F41" s="1"/>
  <c r="M40" i="6"/>
  <c r="M41" s="1"/>
  <c r="N40" i="5"/>
  <c r="N41" s="1"/>
  <c r="F40"/>
  <c r="F41" s="1"/>
  <c r="M40" i="7"/>
  <c r="M41" s="1"/>
  <c r="N40" i="6"/>
  <c r="N41" s="1"/>
  <c r="F40"/>
  <c r="F41" s="1"/>
  <c r="M40" i="5"/>
  <c r="M41" s="1"/>
  <c r="G40" i="6"/>
  <c r="G41" s="1"/>
  <c r="H19" i="2" s="1"/>
  <c r="G40" i="7"/>
  <c r="G41" s="1"/>
  <c r="H20" i="2" s="1"/>
  <c r="G40" i="5"/>
  <c r="G41" s="1"/>
  <c r="H18" i="2" s="1"/>
  <c r="L40" i="6"/>
  <c r="L41" s="1"/>
  <c r="M19" i="2" s="1"/>
  <c r="L40" i="7"/>
  <c r="L41" s="1"/>
  <c r="M20" i="2" s="1"/>
  <c r="L40" i="5"/>
  <c r="L41" s="1"/>
  <c r="M18" i="2" s="1"/>
  <c r="V40" i="7"/>
  <c r="V41" s="1"/>
  <c r="W20" i="2" s="1"/>
  <c r="AB40" i="6"/>
  <c r="AB41" s="1"/>
  <c r="AC19" i="2" s="1"/>
  <c r="U40" i="6"/>
  <c r="U41" s="1"/>
  <c r="V19" i="2" s="1"/>
  <c r="V40" i="5"/>
  <c r="V41" s="1"/>
  <c r="W18" i="2" s="1"/>
  <c r="AB40" i="7"/>
  <c r="AB41" s="1"/>
  <c r="AC20" i="2" s="1"/>
  <c r="U40" i="7"/>
  <c r="U41" s="1"/>
  <c r="V40" i="6"/>
  <c r="V41" s="1"/>
  <c r="W19" i="2" s="1"/>
  <c r="AB40" i="5"/>
  <c r="AB41" s="1"/>
  <c r="AC18" i="2" s="1"/>
  <c r="U40" i="5"/>
  <c r="U41" s="1"/>
  <c r="V18" i="2" s="1"/>
  <c r="T40" i="7"/>
  <c r="T41" s="1"/>
  <c r="U20" i="2" s="1"/>
  <c r="J40" i="7"/>
  <c r="J41" s="1"/>
  <c r="K20" i="2" s="1"/>
  <c r="T40" i="6"/>
  <c r="T41" s="1"/>
  <c r="U19" i="2" s="1"/>
  <c r="J40" i="6"/>
  <c r="J41" s="1"/>
  <c r="K19" i="2" s="1"/>
  <c r="T40" i="5"/>
  <c r="T41" s="1"/>
  <c r="U18" i="2" s="1"/>
  <c r="J40" i="5"/>
  <c r="J41" s="1"/>
  <c r="K18" i="2" s="1"/>
  <c r="S40" i="7"/>
  <c r="S41" s="1"/>
  <c r="T20" i="2" s="1"/>
  <c r="C40" i="7"/>
  <c r="C41" s="1"/>
  <c r="D20" i="2" s="1"/>
  <c r="S40" i="6"/>
  <c r="S41" s="1"/>
  <c r="T19" i="2" s="1"/>
  <c r="C40" i="6"/>
  <c r="C41" s="1"/>
  <c r="D19" i="2" s="1"/>
  <c r="S40" i="5"/>
  <c r="S41" s="1"/>
  <c r="T18" i="2" s="1"/>
  <c r="C40" i="5"/>
  <c r="C41" s="1"/>
  <c r="D18" i="2" s="1"/>
  <c r="H40" i="7"/>
  <c r="H41" s="1"/>
  <c r="I20" i="2" s="1"/>
  <c r="H40" i="5"/>
  <c r="H41" s="1"/>
  <c r="I18" i="2" s="1"/>
  <c r="H40" i="6"/>
  <c r="H41" s="1"/>
  <c r="I19" i="2" s="1"/>
  <c r="AC40" i="7"/>
  <c r="AC41" s="1"/>
  <c r="AD20" i="2" s="1"/>
  <c r="B40" i="7"/>
  <c r="B41" s="1"/>
  <c r="I40" i="6"/>
  <c r="I41" s="1"/>
  <c r="AC40" i="5"/>
  <c r="AC41" s="1"/>
  <c r="AD18" i="2" s="1"/>
  <c r="B40" i="5"/>
  <c r="B41" s="1"/>
  <c r="I40" i="7"/>
  <c r="I41" s="1"/>
  <c r="J20" i="2" s="1"/>
  <c r="AC40" i="6"/>
  <c r="AC41" s="1"/>
  <c r="AD19" i="2" s="1"/>
  <c r="B40" i="6"/>
  <c r="B41" s="1"/>
  <c r="I40" i="5"/>
  <c r="I41" s="1"/>
  <c r="D40" i="7"/>
  <c r="D41" s="1"/>
  <c r="E20" i="2" s="1"/>
  <c r="Y40" i="7"/>
  <c r="Y41" s="1"/>
  <c r="Z20" i="2" s="1"/>
  <c r="Z40" i="6"/>
  <c r="Z41" s="1"/>
  <c r="AA19" i="2" s="1"/>
  <c r="Z40" i="5"/>
  <c r="Z41" s="1"/>
  <c r="AA18" i="2" s="1"/>
  <c r="D40" i="5"/>
  <c r="D41" s="1"/>
  <c r="E18" i="2" s="1"/>
  <c r="Z40" i="7"/>
  <c r="Z41" s="1"/>
  <c r="AA20" i="2" s="1"/>
  <c r="D40" i="6"/>
  <c r="D41" s="1"/>
  <c r="E19" i="2" s="1"/>
  <c r="Y40" i="6"/>
  <c r="Y41" s="1"/>
  <c r="Z19" i="2" s="1"/>
  <c r="Y40" i="5"/>
  <c r="Y41" s="1"/>
  <c r="Z18" i="2" s="1"/>
  <c r="AG15"/>
  <c r="AE15"/>
  <c r="AG14"/>
  <c r="AE14"/>
  <c r="Y25"/>
  <c r="X25"/>
  <c r="O25"/>
  <c r="N25"/>
  <c r="G25"/>
  <c r="O18"/>
  <c r="O19"/>
  <c r="O20"/>
  <c r="O22"/>
  <c r="O23"/>
  <c r="AF40" i="13"/>
  <c r="AE40"/>
  <c r="AD40"/>
  <c r="AC39"/>
  <c r="AB39"/>
  <c r="AA39"/>
  <c r="Z39"/>
  <c r="Y39"/>
  <c r="X39"/>
  <c r="W39"/>
  <c r="V39"/>
  <c r="U39"/>
  <c r="T39"/>
  <c r="S39"/>
  <c r="R39"/>
  <c r="Q39"/>
  <c r="P39"/>
  <c r="O39"/>
  <c r="N39"/>
  <c r="M39"/>
  <c r="L39"/>
  <c r="T48" s="1"/>
  <c r="U48" s="1"/>
  <c r="K39"/>
  <c r="J39"/>
  <c r="I39"/>
  <c r="H39"/>
  <c r="T52" s="1"/>
  <c r="U52" s="1"/>
  <c r="G39"/>
  <c r="T47" s="1"/>
  <c r="U47" s="1"/>
  <c r="F39"/>
  <c r="E39"/>
  <c r="T49" s="1"/>
  <c r="U49" s="1"/>
  <c r="D39"/>
  <c r="T54" s="1"/>
  <c r="U54" s="1"/>
  <c r="C39"/>
  <c r="B39"/>
  <c r="T53" s="1"/>
  <c r="U53" s="1"/>
  <c r="AG13" i="2"/>
  <c r="AE13"/>
  <c r="T51" i="13" l="1"/>
  <c r="U51" s="1"/>
  <c r="T50"/>
  <c r="U50" s="1"/>
  <c r="T45"/>
  <c r="U45" s="1"/>
  <c r="AG40"/>
  <c r="H44" i="11"/>
  <c r="H50" s="1"/>
  <c r="H51" s="1"/>
  <c r="E39" i="2" s="1"/>
  <c r="J24"/>
  <c r="H44" i="8"/>
  <c r="H50" s="1"/>
  <c r="H51" s="1"/>
  <c r="E36" i="2" s="1"/>
  <c r="V21"/>
  <c r="H44" i="9"/>
  <c r="H50" s="1"/>
  <c r="H51" s="1"/>
  <c r="E37" i="2" s="1"/>
  <c r="V22"/>
  <c r="B44" i="14"/>
  <c r="B50" s="1"/>
  <c r="B51" s="1"/>
  <c r="C42" i="2" s="1"/>
  <c r="E44" i="14"/>
  <c r="E50" s="1"/>
  <c r="E51" s="1"/>
  <c r="D42" i="2" s="1"/>
  <c r="E44" i="9"/>
  <c r="E50" s="1"/>
  <c r="E51" s="1"/>
  <c r="D37" i="2" s="1"/>
  <c r="B44" i="9"/>
  <c r="B50" s="1"/>
  <c r="B51" s="1"/>
  <c r="C37" i="2" s="1"/>
  <c r="C22"/>
  <c r="H44" i="10"/>
  <c r="H50" s="1"/>
  <c r="H51" s="1"/>
  <c r="E38" i="2" s="1"/>
  <c r="J23"/>
  <c r="E44" i="10"/>
  <c r="E50" s="1"/>
  <c r="E51" s="1"/>
  <c r="D38" i="2" s="1"/>
  <c r="B44" i="10"/>
  <c r="B50" s="1"/>
  <c r="B51" s="1"/>
  <c r="C38" i="2" s="1"/>
  <c r="C23"/>
  <c r="H44" i="14"/>
  <c r="H50" s="1"/>
  <c r="H51" s="1"/>
  <c r="E42" i="2" s="1"/>
  <c r="H44" i="15"/>
  <c r="H50" s="1"/>
  <c r="H51" s="1"/>
  <c r="E43" i="2" s="1"/>
  <c r="B44" i="11"/>
  <c r="B50" s="1"/>
  <c r="B51" s="1"/>
  <c r="C39" i="2" s="1"/>
  <c r="E44" i="11"/>
  <c r="E50" s="1"/>
  <c r="E51" s="1"/>
  <c r="D39" i="2" s="1"/>
  <c r="C24"/>
  <c r="H44" i="12"/>
  <c r="H50" s="1"/>
  <c r="H51" s="1"/>
  <c r="E40" i="2" s="1"/>
  <c r="J25"/>
  <c r="E44" i="12"/>
  <c r="E50" s="1"/>
  <c r="E51" s="1"/>
  <c r="D40" i="2" s="1"/>
  <c r="B44" i="12"/>
  <c r="B50" s="1"/>
  <c r="B51" s="1"/>
  <c r="C40" i="2" s="1"/>
  <c r="C25"/>
  <c r="B44" i="15"/>
  <c r="E44"/>
  <c r="E50" s="1"/>
  <c r="E51" s="1"/>
  <c r="D43" i="2" s="1"/>
  <c r="B44" i="16"/>
  <c r="B50" s="1"/>
  <c r="B51" s="1"/>
  <c r="C44" i="2" s="1"/>
  <c r="E44" i="16"/>
  <c r="E50" s="1"/>
  <c r="E51" s="1"/>
  <c r="D44" i="2" s="1"/>
  <c r="E44" i="8"/>
  <c r="E50" s="1"/>
  <c r="E51" s="1"/>
  <c r="D36" i="2" s="1"/>
  <c r="B44" i="8"/>
  <c r="B50" s="1"/>
  <c r="B51" s="1"/>
  <c r="C36" i="2" s="1"/>
  <c r="C21"/>
  <c r="B44" i="6"/>
  <c r="B50" s="1"/>
  <c r="B51" s="1"/>
  <c r="C34" i="2" s="1"/>
  <c r="E44" i="6"/>
  <c r="E50" s="1"/>
  <c r="E51" s="1"/>
  <c r="D34" i="2" s="1"/>
  <c r="C19"/>
  <c r="E44" i="7"/>
  <c r="E50" s="1"/>
  <c r="E51" s="1"/>
  <c r="D35" i="2" s="1"/>
  <c r="B44" i="7"/>
  <c r="B50" s="1"/>
  <c r="B51" s="1"/>
  <c r="C35" i="2" s="1"/>
  <c r="C20"/>
  <c r="H44" i="7"/>
  <c r="H50" s="1"/>
  <c r="H51" s="1"/>
  <c r="E35" i="2" s="1"/>
  <c r="V20"/>
  <c r="H44" i="5"/>
  <c r="H50" s="1"/>
  <c r="H51" s="1"/>
  <c r="E33" i="2" s="1"/>
  <c r="J18"/>
  <c r="B44" i="5"/>
  <c r="B50" s="1"/>
  <c r="B51" s="1"/>
  <c r="C33" i="2" s="1"/>
  <c r="E44" i="5"/>
  <c r="E50" s="1"/>
  <c r="E51" s="1"/>
  <c r="D33" i="2" s="1"/>
  <c r="C18"/>
  <c r="H44" i="6"/>
  <c r="H50" s="1"/>
  <c r="H51" s="1"/>
  <c r="E34" i="2" s="1"/>
  <c r="J19"/>
  <c r="H49" i="13"/>
  <c r="AE12" i="2"/>
  <c r="AE17" s="1"/>
  <c r="B49" i="13"/>
  <c r="AG12" i="2"/>
  <c r="AG17" s="1"/>
  <c r="E49" i="13"/>
  <c r="T46"/>
  <c r="U46" s="1"/>
  <c r="C29" i="2"/>
  <c r="C15"/>
  <c r="E29"/>
  <c r="E15"/>
  <c r="G29"/>
  <c r="G15"/>
  <c r="I29"/>
  <c r="I15"/>
  <c r="K29"/>
  <c r="K15"/>
  <c r="M29"/>
  <c r="M15"/>
  <c r="O29"/>
  <c r="O15"/>
  <c r="Q29"/>
  <c r="Q15"/>
  <c r="S29"/>
  <c r="S15"/>
  <c r="U29"/>
  <c r="U15"/>
  <c r="W29"/>
  <c r="W15"/>
  <c r="Y29"/>
  <c r="Y15"/>
  <c r="AA29"/>
  <c r="AA15"/>
  <c r="AC15"/>
  <c r="D29"/>
  <c r="D15"/>
  <c r="F29"/>
  <c r="F15"/>
  <c r="H29"/>
  <c r="H15"/>
  <c r="J29"/>
  <c r="J15"/>
  <c r="L29"/>
  <c r="L15"/>
  <c r="N29"/>
  <c r="N15"/>
  <c r="P15"/>
  <c r="R29"/>
  <c r="R15"/>
  <c r="T29"/>
  <c r="T15"/>
  <c r="V29"/>
  <c r="V15"/>
  <c r="X29"/>
  <c r="X15"/>
  <c r="Z29"/>
  <c r="Z15"/>
  <c r="AB29"/>
  <c r="AB15"/>
  <c r="AD15"/>
  <c r="AF15"/>
  <c r="AH15"/>
  <c r="C28"/>
  <c r="C14"/>
  <c r="E28"/>
  <c r="E14"/>
  <c r="G28"/>
  <c r="G14"/>
  <c r="I28"/>
  <c r="I14"/>
  <c r="K28"/>
  <c r="K14"/>
  <c r="M28"/>
  <c r="M14"/>
  <c r="O28"/>
  <c r="O14"/>
  <c r="Q28"/>
  <c r="Q14"/>
  <c r="S28"/>
  <c r="S14"/>
  <c r="U28"/>
  <c r="U14"/>
  <c r="W28"/>
  <c r="W14"/>
  <c r="Y28"/>
  <c r="Y14"/>
  <c r="AA28"/>
  <c r="AA14"/>
  <c r="AC14"/>
  <c r="D28"/>
  <c r="D14"/>
  <c r="F28"/>
  <c r="F14"/>
  <c r="H28"/>
  <c r="H14"/>
  <c r="J14"/>
  <c r="L28"/>
  <c r="L14"/>
  <c r="N28"/>
  <c r="N14"/>
  <c r="P28"/>
  <c r="P14"/>
  <c r="R28"/>
  <c r="R14"/>
  <c r="T28"/>
  <c r="T14"/>
  <c r="V14"/>
  <c r="X28"/>
  <c r="X14"/>
  <c r="Z28"/>
  <c r="Z14"/>
  <c r="AB28"/>
  <c r="AB14"/>
  <c r="AD14"/>
  <c r="AH14"/>
  <c r="AF14"/>
  <c r="Z27"/>
  <c r="Z13"/>
  <c r="AB27"/>
  <c r="AB13"/>
  <c r="AD13"/>
  <c r="AF13"/>
  <c r="AH13"/>
  <c r="Y27"/>
  <c r="Y13"/>
  <c r="AA27"/>
  <c r="AA13"/>
  <c r="AC13"/>
  <c r="AF12"/>
  <c r="N24"/>
  <c r="G24"/>
  <c r="N23"/>
  <c r="G23"/>
  <c r="N22"/>
  <c r="G22"/>
  <c r="N21"/>
  <c r="G21"/>
  <c r="N20"/>
  <c r="G20"/>
  <c r="N19"/>
  <c r="G19"/>
  <c r="N18"/>
  <c r="G18"/>
  <c r="Y24"/>
  <c r="X24"/>
  <c r="Y23"/>
  <c r="X23"/>
  <c r="Y22"/>
  <c r="X22"/>
  <c r="Y21"/>
  <c r="X21"/>
  <c r="Y20"/>
  <c r="X20"/>
  <c r="Y19"/>
  <c r="X19"/>
  <c r="Y18"/>
  <c r="X18"/>
  <c r="B41" i="13"/>
  <c r="C12" i="2"/>
  <c r="D41" i="13"/>
  <c r="E26" i="2" s="1"/>
  <c r="E12"/>
  <c r="F41" i="13"/>
  <c r="G12" i="2"/>
  <c r="H41" i="13"/>
  <c r="I26" i="2" s="1"/>
  <c r="I12"/>
  <c r="J41" i="13"/>
  <c r="K26" i="2" s="1"/>
  <c r="K12"/>
  <c r="L41" i="13"/>
  <c r="M26" i="2" s="1"/>
  <c r="M12"/>
  <c r="N41" i="13"/>
  <c r="O26" i="2" s="1"/>
  <c r="O12"/>
  <c r="P41" i="13"/>
  <c r="Q26" i="2" s="1"/>
  <c r="Q12"/>
  <c r="R41" i="13"/>
  <c r="S26" i="2" s="1"/>
  <c r="S12"/>
  <c r="T41" i="13"/>
  <c r="U26" i="2" s="1"/>
  <c r="U12"/>
  <c r="V41" i="13"/>
  <c r="W26" i="2" s="1"/>
  <c r="W12"/>
  <c r="X41" i="13"/>
  <c r="Y12" i="2"/>
  <c r="Z41" i="13"/>
  <c r="AA26" i="2" s="1"/>
  <c r="AA12"/>
  <c r="AB41" i="13"/>
  <c r="AC12" i="2"/>
  <c r="AC17" s="1"/>
  <c r="C41" i="13"/>
  <c r="D26" i="2" s="1"/>
  <c r="D12"/>
  <c r="E41" i="13"/>
  <c r="F26" i="2" s="1"/>
  <c r="F12"/>
  <c r="G41" i="13"/>
  <c r="H26" i="2" s="1"/>
  <c r="H12"/>
  <c r="I41" i="13"/>
  <c r="J26" i="2" s="1"/>
  <c r="J12"/>
  <c r="K41" i="13"/>
  <c r="L26" i="2" s="1"/>
  <c r="L12"/>
  <c r="M41" i="13"/>
  <c r="N12" i="2"/>
  <c r="O41" i="13"/>
  <c r="P12" i="2"/>
  <c r="Q41" i="13"/>
  <c r="R26" i="2" s="1"/>
  <c r="R12"/>
  <c r="S41" i="13"/>
  <c r="T26" i="2" s="1"/>
  <c r="T12"/>
  <c r="U41" i="13"/>
  <c r="V26" i="2" s="1"/>
  <c r="V12"/>
  <c r="W41" i="13"/>
  <c r="X12" i="2"/>
  <c r="Y41" i="13"/>
  <c r="Z26" i="2" s="1"/>
  <c r="Z12"/>
  <c r="Z17" s="1"/>
  <c r="AB6" i="4" s="1"/>
  <c r="AA41" i="13"/>
  <c r="AB26" i="2" s="1"/>
  <c r="AB12"/>
  <c r="AB17" s="1"/>
  <c r="AC41" i="13"/>
  <c r="AD12" i="2"/>
  <c r="B50" i="15" l="1"/>
  <c r="B51" s="1"/>
  <c r="C43" i="2" s="1"/>
  <c r="AH6" i="4"/>
  <c r="D51" i="2"/>
  <c r="D58"/>
  <c r="D49"/>
  <c r="AF6" i="4"/>
  <c r="C52" i="2"/>
  <c r="C49"/>
  <c r="C58"/>
  <c r="C55" s="1"/>
  <c r="C53"/>
  <c r="C51"/>
  <c r="AD17"/>
  <c r="AA17"/>
  <c r="O6" i="4" s="1"/>
  <c r="Y17" i="2"/>
  <c r="N6" i="4" s="1"/>
  <c r="N7" s="1"/>
  <c r="N9" s="1"/>
  <c r="E46" i="13"/>
  <c r="D52" i="2" s="1"/>
  <c r="H46" i="13"/>
  <c r="B44"/>
  <c r="B50" s="1"/>
  <c r="B51" s="1"/>
  <c r="C41" i="2" s="1"/>
  <c r="AH12"/>
  <c r="E45" i="13"/>
  <c r="D54" i="2" s="1"/>
  <c r="E54" s="1"/>
  <c r="H45" i="13"/>
  <c r="P26" i="2"/>
  <c r="X26"/>
  <c r="H44" i="13"/>
  <c r="N26" i="2"/>
  <c r="Y26"/>
  <c r="Y30" s="1"/>
  <c r="N10" i="4" s="1"/>
  <c r="E44" i="13"/>
  <c r="D48" i="2" s="1"/>
  <c r="G26"/>
  <c r="AB30"/>
  <c r="Z30"/>
  <c r="AB10" i="4" s="1"/>
  <c r="AA30" i="2"/>
  <c r="O10" i="4" s="1"/>
  <c r="AF17" i="2"/>
  <c r="AH17" s="1"/>
  <c r="AI6" i="4" s="1"/>
  <c r="P6" s="1"/>
  <c r="AD29" i="2"/>
  <c r="P29"/>
  <c r="AC29"/>
  <c r="AD28"/>
  <c r="V28"/>
  <c r="J28"/>
  <c r="AC28"/>
  <c r="C27"/>
  <c r="C13"/>
  <c r="E27"/>
  <c r="E30" s="1"/>
  <c r="E10" i="4" s="1"/>
  <c r="E13" i="2"/>
  <c r="G27"/>
  <c r="G13"/>
  <c r="I27"/>
  <c r="I30" s="1"/>
  <c r="I10" i="4" s="1"/>
  <c r="I13" i="2"/>
  <c r="K27"/>
  <c r="K30" s="1"/>
  <c r="R10" i="4" s="1"/>
  <c r="K13" i="2"/>
  <c r="M27"/>
  <c r="M30" s="1"/>
  <c r="T10" i="4" s="1"/>
  <c r="M13" i="2"/>
  <c r="O27"/>
  <c r="O13"/>
  <c r="Q27"/>
  <c r="Q30" s="1"/>
  <c r="J10" i="4" s="1"/>
  <c r="Q13" i="2"/>
  <c r="S27"/>
  <c r="S30" s="1"/>
  <c r="K16" i="4" s="1"/>
  <c r="S13" i="2"/>
  <c r="U27"/>
  <c r="U30" s="1"/>
  <c r="L16" i="4" s="1"/>
  <c r="U13" i="2"/>
  <c r="W27"/>
  <c r="W13"/>
  <c r="AC27"/>
  <c r="AD27"/>
  <c r="W30"/>
  <c r="M10" i="4" s="1"/>
  <c r="D27" i="2"/>
  <c r="D30" s="1"/>
  <c r="D10" i="4" s="1"/>
  <c r="D13" i="2"/>
  <c r="D17" s="1"/>
  <c r="D6" i="4" s="1"/>
  <c r="D14" s="1"/>
  <c r="F27" i="2"/>
  <c r="F30" s="1"/>
  <c r="F10" i="4" s="1"/>
  <c r="F13" i="2"/>
  <c r="F17" s="1"/>
  <c r="F6" i="4" s="1"/>
  <c r="H27" i="2"/>
  <c r="H30" s="1"/>
  <c r="H10" i="4" s="1"/>
  <c r="H13" i="2"/>
  <c r="H17" s="1"/>
  <c r="H6" i="4" s="1"/>
  <c r="J27" i="2"/>
  <c r="J13"/>
  <c r="J17" s="1"/>
  <c r="Q6" i="4" s="1"/>
  <c r="Q7" s="1"/>
  <c r="Q9" s="1"/>
  <c r="L27" i="2"/>
  <c r="L30" s="1"/>
  <c r="S10" i="4" s="1"/>
  <c r="L13" i="2"/>
  <c r="L17" s="1"/>
  <c r="S6" i="4" s="1"/>
  <c r="S7" s="1"/>
  <c r="S9" s="1"/>
  <c r="N27" i="2"/>
  <c r="N13"/>
  <c r="N17" s="1"/>
  <c r="U6" i="4" s="1"/>
  <c r="U7" s="1"/>
  <c r="U9" s="1"/>
  <c r="P27" i="2"/>
  <c r="P13"/>
  <c r="P17" s="1"/>
  <c r="W6" i="4" s="1"/>
  <c r="R27" i="2"/>
  <c r="R30" s="1"/>
  <c r="X10" i="4" s="1"/>
  <c r="R13" i="2"/>
  <c r="R17" s="1"/>
  <c r="X6" i="4" s="1"/>
  <c r="X7" s="1"/>
  <c r="X9" s="1"/>
  <c r="T27" i="2"/>
  <c r="T30" s="1"/>
  <c r="Y16" i="4" s="1"/>
  <c r="T13" i="2"/>
  <c r="T17" s="1"/>
  <c r="Y6" i="4" s="1"/>
  <c r="V27" i="2"/>
  <c r="V30" s="1"/>
  <c r="Z10" i="4" s="1"/>
  <c r="V13" i="2"/>
  <c r="V17" s="1"/>
  <c r="Z6" i="4" s="1"/>
  <c r="X27" i="2"/>
  <c r="X13"/>
  <c r="X17" s="1"/>
  <c r="AA6" i="4" s="1"/>
  <c r="W17" i="2"/>
  <c r="M6" i="4" s="1"/>
  <c r="U17" i="2"/>
  <c r="L6" i="4" s="1"/>
  <c r="L14" s="1"/>
  <c r="S17" i="2"/>
  <c r="K6" i="4" s="1"/>
  <c r="Q17" i="2"/>
  <c r="J6" i="4" s="1"/>
  <c r="J14" s="1"/>
  <c r="O17" i="2"/>
  <c r="V6" i="4" s="1"/>
  <c r="V7" s="1"/>
  <c r="V9" s="1"/>
  <c r="M17" i="2"/>
  <c r="T6" i="4" s="1"/>
  <c r="T7" s="1"/>
  <c r="T9" s="1"/>
  <c r="K17" i="2"/>
  <c r="R6" i="4" s="1"/>
  <c r="R7" s="1"/>
  <c r="R9" s="1"/>
  <c r="I17" i="2"/>
  <c r="I6" i="4" s="1"/>
  <c r="I14" s="1"/>
  <c r="G17" i="2"/>
  <c r="G6" i="4" s="1"/>
  <c r="E17" i="2"/>
  <c r="E6" i="4" s="1"/>
  <c r="E7" s="1"/>
  <c r="E9" s="1"/>
  <c r="C17" i="2"/>
  <c r="C6" i="4" s="1"/>
  <c r="AB7"/>
  <c r="AB9" s="1"/>
  <c r="O7"/>
  <c r="O9" s="1"/>
  <c r="L7"/>
  <c r="L9" s="1"/>
  <c r="N30" i="2"/>
  <c r="U10" i="4" s="1"/>
  <c r="O30" i="2"/>
  <c r="V10" i="4" s="1"/>
  <c r="AD26" i="2"/>
  <c r="AC26"/>
  <c r="C26"/>
  <c r="C30" s="1"/>
  <c r="C10" i="4" s="1"/>
  <c r="C45" i="2" l="1"/>
  <c r="AD30"/>
  <c r="AE10" i="4" s="1"/>
  <c r="J30" i="2"/>
  <c r="Q10" i="4" s="1"/>
  <c r="H14"/>
  <c r="H7"/>
  <c r="H9" s="1"/>
  <c r="X30" i="2"/>
  <c r="AA10" i="4" s="1"/>
  <c r="P30" i="2"/>
  <c r="W10" i="4" s="1"/>
  <c r="C48" i="2"/>
  <c r="C56" s="1"/>
  <c r="C57" s="1"/>
  <c r="D55"/>
  <c r="D53"/>
  <c r="D56" s="1"/>
  <c r="D57" s="1"/>
  <c r="I7" i="4"/>
  <c r="I9" s="1"/>
  <c r="J7"/>
  <c r="J9" s="1"/>
  <c r="C14"/>
  <c r="G14"/>
  <c r="K14"/>
  <c r="M14"/>
  <c r="F14"/>
  <c r="O14"/>
  <c r="AG6"/>
  <c r="AB14" s="1"/>
  <c r="E52" i="2"/>
  <c r="E49"/>
  <c r="E58"/>
  <c r="E55" s="1"/>
  <c r="E53"/>
  <c r="E51"/>
  <c r="E48"/>
  <c r="D50"/>
  <c r="H18" i="4"/>
  <c r="Q14"/>
  <c r="Z7"/>
  <c r="Z9" s="1"/>
  <c r="G30" i="2"/>
  <c r="G10" i="4" s="1"/>
  <c r="D7"/>
  <c r="D9" s="1"/>
  <c r="N14"/>
  <c r="AC30" i="2"/>
  <c r="AD10" i="4" s="1"/>
  <c r="AC10"/>
  <c r="E14"/>
  <c r="H50" i="13"/>
  <c r="E50"/>
  <c r="E51" s="1"/>
  <c r="D41" i="2" s="1"/>
  <c r="D45" s="1"/>
  <c r="G7" i="4"/>
  <c r="V14"/>
  <c r="M7"/>
  <c r="C7"/>
  <c r="C9" s="1"/>
  <c r="T14"/>
  <c r="K7"/>
  <c r="F7"/>
  <c r="F9" s="1"/>
  <c r="AA7"/>
  <c r="AA9" s="1"/>
  <c r="Y7"/>
  <c r="Y9" s="1"/>
  <c r="W7"/>
  <c r="W9" s="1"/>
  <c r="E8"/>
  <c r="E15" s="1"/>
  <c r="I8"/>
  <c r="I15" s="1"/>
  <c r="L8"/>
  <c r="L15" s="1"/>
  <c r="N8"/>
  <c r="N15" s="1"/>
  <c r="O8"/>
  <c r="O15" s="1"/>
  <c r="O16" s="1"/>
  <c r="D8"/>
  <c r="D15" s="1"/>
  <c r="H8"/>
  <c r="H15" s="1"/>
  <c r="P7"/>
  <c r="P9" s="1"/>
  <c r="P14"/>
  <c r="P10"/>
  <c r="T8"/>
  <c r="T15" s="1"/>
  <c r="Q8"/>
  <c r="Q15" s="1"/>
  <c r="Q16" s="1"/>
  <c r="U8"/>
  <c r="U15" s="1"/>
  <c r="U16" s="1"/>
  <c r="Z8"/>
  <c r="Z15" s="1"/>
  <c r="Z16" s="1"/>
  <c r="AE14"/>
  <c r="AE15" s="1"/>
  <c r="AE16" s="1"/>
  <c r="R11"/>
  <c r="X18"/>
  <c r="AE18" s="1"/>
  <c r="AC6"/>
  <c r="C50" i="2" l="1"/>
  <c r="F11" i="4"/>
  <c r="H51" i="13"/>
  <c r="E45" i="2"/>
  <c r="F8" i="4"/>
  <c r="F15" s="1"/>
  <c r="C8"/>
  <c r="C15" s="1"/>
  <c r="C16" s="1"/>
  <c r="AD8"/>
  <c r="AD15" s="1"/>
  <c r="AD16" s="1"/>
  <c r="AD14"/>
  <c r="AB8"/>
  <c r="AB15" s="1"/>
  <c r="AB16" s="1"/>
  <c r="X8"/>
  <c r="X15" s="1"/>
  <c r="S8"/>
  <c r="S15" s="1"/>
  <c r="S16" s="1"/>
  <c r="V8"/>
  <c r="V15" s="1"/>
  <c r="V16" s="1"/>
  <c r="R8"/>
  <c r="R15" s="1"/>
  <c r="R16" s="1"/>
  <c r="J8"/>
  <c r="J15" s="1"/>
  <c r="W14"/>
  <c r="Y14"/>
  <c r="AA14"/>
  <c r="U14"/>
  <c r="R14"/>
  <c r="X14"/>
  <c r="Z14"/>
  <c r="S14"/>
  <c r="E56" i="2"/>
  <c r="E57" s="1"/>
  <c r="E50"/>
  <c r="J11" i="4"/>
  <c r="K8"/>
  <c r="K15" s="1"/>
  <c r="K9"/>
  <c r="M8"/>
  <c r="M15" s="1"/>
  <c r="M16" s="1"/>
  <c r="M9"/>
  <c r="G8"/>
  <c r="G15" s="1"/>
  <c r="G16" s="1"/>
  <c r="E23" s="1"/>
  <c r="G9"/>
  <c r="Y8"/>
  <c r="Y15" s="1"/>
  <c r="AA8"/>
  <c r="AA15" s="1"/>
  <c r="AA16" s="1"/>
  <c r="W8"/>
  <c r="W15" s="1"/>
  <c r="M11"/>
  <c r="AC14"/>
  <c r="AC7"/>
  <c r="AC9" s="1"/>
  <c r="P8"/>
  <c r="P15" s="1"/>
  <c r="T16"/>
  <c r="E25" s="1"/>
  <c r="C25"/>
  <c r="G25" s="1"/>
  <c r="J25" s="1"/>
  <c r="H16"/>
  <c r="E24" s="1"/>
  <c r="C24"/>
  <c r="G24" s="1"/>
  <c r="J24" s="1"/>
  <c r="M24" s="1"/>
  <c r="O24" s="1"/>
  <c r="F16"/>
  <c r="E26" s="1"/>
  <c r="D16"/>
  <c r="N16"/>
  <c r="I16"/>
  <c r="E29" s="1"/>
  <c r="C29"/>
  <c r="G29" s="1"/>
  <c r="J29" s="1"/>
  <c r="M29" s="1"/>
  <c r="O29" s="1"/>
  <c r="E16"/>
  <c r="E31" s="1"/>
  <c r="C30"/>
  <c r="G30" s="1"/>
  <c r="J30" s="1"/>
  <c r="M30" s="1"/>
  <c r="O30" s="1"/>
  <c r="C27" l="1"/>
  <c r="G27" s="1"/>
  <c r="J27" s="1"/>
  <c r="M27" s="1"/>
  <c r="O27" s="1"/>
  <c r="E28"/>
  <c r="C23"/>
  <c r="G23" s="1"/>
  <c r="J23" s="1"/>
  <c r="M23" s="1"/>
  <c r="O23" s="1"/>
  <c r="C31"/>
  <c r="G31" s="1"/>
  <c r="J31" s="1"/>
  <c r="M31" s="1"/>
  <c r="O31" s="1"/>
  <c r="C26"/>
  <c r="G26" s="1"/>
  <c r="J26" s="1"/>
  <c r="M26" s="1"/>
  <c r="O26" s="1"/>
  <c r="C28"/>
  <c r="G28" s="1"/>
  <c r="J28" s="1"/>
  <c r="M28" s="1"/>
  <c r="O28" s="1"/>
  <c r="E27"/>
  <c r="C22"/>
  <c r="G22" s="1"/>
  <c r="J22" s="1"/>
  <c r="M22" s="1"/>
  <c r="O22" s="1"/>
  <c r="J17"/>
  <c r="E22"/>
  <c r="F17"/>
  <c r="M17"/>
  <c r="E30"/>
  <c r="O25"/>
  <c r="M25"/>
  <c r="AC8"/>
  <c r="AC15" s="1"/>
</calcChain>
</file>

<file path=xl/comments1.xml><?xml version="1.0" encoding="utf-8"?>
<comments xmlns="http://schemas.openxmlformats.org/spreadsheetml/2006/main">
  <authors>
    <author>Peter Bong</author>
  </authors>
  <commentList>
    <comment ref="B5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Account Series 6,000 with  electric and gas bills subtracted</t>
        </r>
      </text>
    </comment>
  </commentList>
</comments>
</file>

<file path=xl/comments10.xml><?xml version="1.0" encoding="utf-8"?>
<comments xmlns="http://schemas.openxmlformats.org/spreadsheetml/2006/main">
  <authors>
    <author>Peter Bong</author>
  </authors>
  <commentList>
    <comment ref="B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C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D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E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Strength,
PEC Cost</t>
        </r>
      </text>
    </comment>
    <comment ref="F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G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99% Solution Strength</t>
        </r>
      </text>
    </comment>
    <comment ref="H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35% Solution Strength</t>
        </r>
      </text>
    </comment>
    <comment ref="I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J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K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L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5.5% Solution Strength</t>
        </r>
      </text>
    </comment>
    <comment ref="M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N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O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P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Q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R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S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T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U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V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Y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Z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AB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AC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AH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I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J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K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L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M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N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O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P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Q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G42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See Utility Summary Seet For Data</t>
        </r>
      </text>
    </comment>
  </commentList>
</comments>
</file>

<file path=xl/comments11.xml><?xml version="1.0" encoding="utf-8"?>
<comments xmlns="http://schemas.openxmlformats.org/spreadsheetml/2006/main">
  <authors>
    <author>jamoore</author>
    <author>Peter Bong</author>
  </authors>
  <commentList>
    <comment ref="AD9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Totals manually adjusted due to plant upset and waste to lagoon from finished water. Actual finished water flow less than net filter flows. Total finished water flow = 20.7549 MG. True net filter flow (gross to CCB): AR = 18.0MG, SP = 6.0MG.</t>
        </r>
      </text>
    </comment>
    <comment ref="AE9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Totals manually adjusted due to plant upset and waste to lagoon from finished water. Actual finished water flow less than net filter flows. Total finished water flow = 20.7549 MG. True net filter flow (gross to CCB): AR = 18.0MG, SP = 6.0MG.</t>
        </r>
      </text>
    </comment>
    <comment ref="AF9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Totals manually adjusted due to plant upset and waste to lagoon from finished water. Actual finished water flow less than net filter flows. Total finished water flow = 20.7549 MG. True net filter flow (gross to CCB): AR = 18.0MG, SP = 6.0MG.</t>
        </r>
      </text>
    </comment>
    <comment ref="B40" authorId="1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C40" authorId="1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D40" authorId="1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E40" authorId="1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Strength,
PEC Cost</t>
        </r>
      </text>
    </comment>
    <comment ref="F40" authorId="1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G40" authorId="1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99% Solution Strength</t>
        </r>
      </text>
    </comment>
    <comment ref="H40" authorId="1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35% Solution Strength</t>
        </r>
      </text>
    </comment>
    <comment ref="I40" authorId="1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J40" authorId="1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K40" authorId="1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L40" authorId="1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5.5% Solution Strength</t>
        </r>
      </text>
    </comment>
    <comment ref="M40" authorId="1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N40" authorId="1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O40" authorId="1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P40" authorId="1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Q40" authorId="1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R40" authorId="1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S40" authorId="1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T40" authorId="1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U40" authorId="1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V40" authorId="1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Y40" authorId="1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Z40" authorId="1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AB40" authorId="1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AC40" authorId="1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AH40" authorId="1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I40" authorId="1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J40" authorId="1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K40" authorId="1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L40" authorId="1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M40" authorId="1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N40" authorId="1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O40" authorId="1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P40" authorId="1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Q40" authorId="1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G42" authorId="1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See Utility Summary Seet For Data</t>
        </r>
      </text>
    </comment>
  </commentList>
</comments>
</file>

<file path=xl/comments12.xml><?xml version="1.0" encoding="utf-8"?>
<comments xmlns="http://schemas.openxmlformats.org/spreadsheetml/2006/main">
  <authors>
    <author>jamoore</author>
    <author>Peter Bong</author>
  </authors>
  <commentList>
    <comment ref="AD9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Totals manually adjusted due to plant upset and waste to lagoon from finished water. Actual finished water flow less than net filter flows. Total finished water flow = 20.7549 MG. True net filter flow (gross to CCB): AR = 18.0MG, SP = 6.0MG.</t>
        </r>
      </text>
    </comment>
    <comment ref="AE9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Totals manually adjusted due to plant upset and waste to lagoon from finished water. Actual finished water flow less than net filter flows. Total finished water flow = 20.7549 MG. True net filter flow (gross to CCB): AR = 18.0MG, SP = 6.0MG.</t>
        </r>
      </text>
    </comment>
    <comment ref="AF9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Totals manually adjusted due to plant upset and waste to lagoon from finished water. Actual finished water flow less than net filter flows. Total finished water flow = 20.7549 MG. True net filter flow (gross to CCB): AR = 18.0MG, SP = 6.0MG.</t>
        </r>
      </text>
    </comment>
    <comment ref="B40" authorId="1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C40" authorId="1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D40" authorId="1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E40" authorId="1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Strength,
PEC Cost</t>
        </r>
      </text>
    </comment>
    <comment ref="F40" authorId="1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G40" authorId="1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99% Solution Strength</t>
        </r>
      </text>
    </comment>
    <comment ref="H40" authorId="1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35% Solution Strength</t>
        </r>
      </text>
    </comment>
    <comment ref="I40" authorId="1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J40" authorId="1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K40" authorId="1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L40" authorId="1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5.5% Solution Strength</t>
        </r>
      </text>
    </comment>
    <comment ref="M40" authorId="1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N40" authorId="1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O40" authorId="1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P40" authorId="1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Q40" authorId="1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R40" authorId="1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S40" authorId="1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T40" authorId="1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U40" authorId="1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V40" authorId="1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Y40" authorId="1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Z40" authorId="1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AB40" authorId="1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AC40" authorId="1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AH40" authorId="1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I40" authorId="1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J40" authorId="1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K40" authorId="1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L40" authorId="1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M40" authorId="1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N40" authorId="1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O40" authorId="1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P40" authorId="1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Q40" authorId="1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G42" authorId="1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See Utility Summary Seet For Data</t>
        </r>
      </text>
    </comment>
  </commentList>
</comments>
</file>

<file path=xl/comments13.xml><?xml version="1.0" encoding="utf-8"?>
<comments xmlns="http://schemas.openxmlformats.org/spreadsheetml/2006/main">
  <authors>
    <author>jamoore</author>
    <author>Peter Bong</author>
  </authors>
  <commentList>
    <comment ref="AD9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Totals manually adjusted due to plant upset and waste to lagoon from finished water. Actual finished water flow less than net filter flows. Total finished water flow = 20.7549 MG. True net filter flow (gross to CCB): AR = 18.0MG, SP = 6.0MG.</t>
        </r>
      </text>
    </comment>
    <comment ref="AE9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Totals manually adjusted due to plant upset and waste to lagoon from finished water. Actual finished water flow less than net filter flows. Total finished water flow = 20.7549 MG. True net filter flow (gross to CCB): AR = 18.0MG, SP = 6.0MG.</t>
        </r>
      </text>
    </comment>
    <comment ref="AF9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Totals manually adjusted due to plant upset and waste to lagoon from finished water. Actual finished water flow less than net filter flows. Total finished water flow = 20.7549 MG. True net filter flow (gross to CCB): AR = 18.0MG, SP = 6.0MG.</t>
        </r>
      </text>
    </comment>
    <comment ref="B40" authorId="1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C40" authorId="1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D40" authorId="1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E40" authorId="1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Strength,
PEC Cost</t>
        </r>
      </text>
    </comment>
    <comment ref="F40" authorId="1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G40" authorId="1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99% Solution Strength</t>
        </r>
      </text>
    </comment>
    <comment ref="H40" authorId="1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35% Solution Strength</t>
        </r>
      </text>
    </comment>
    <comment ref="I40" authorId="1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J40" authorId="1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K40" authorId="1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L40" authorId="1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5.5% Solution Strength</t>
        </r>
      </text>
    </comment>
    <comment ref="M40" authorId="1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N40" authorId="1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O40" authorId="1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P40" authorId="1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Q40" authorId="1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R40" authorId="1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S40" authorId="1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T40" authorId="1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U40" authorId="1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V40" authorId="1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Y40" authorId="1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Z40" authorId="1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AB40" authorId="1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AC40" authorId="1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AH40" authorId="1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I40" authorId="1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J40" authorId="1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K40" authorId="1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L40" authorId="1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M40" authorId="1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N40" authorId="1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O40" authorId="1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P40" authorId="1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Q40" authorId="1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G42" authorId="1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See Utility Summary Seet For Data</t>
        </r>
      </text>
    </comment>
  </commentList>
</comments>
</file>

<file path=xl/comments14.xml><?xml version="1.0" encoding="utf-8"?>
<comments xmlns="http://schemas.openxmlformats.org/spreadsheetml/2006/main">
  <authors>
    <author>jamoore</author>
    <author>Peter Bong</author>
  </authors>
  <commentList>
    <comment ref="AD9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Totals manually adjusted due to plant upset and waste to lagoon from finished water. Actual finished water flow less than net filter flows. Total finished water flow = 20.7549 MG. True net filter flow (gross to CCB): AR = 18.0MG, SP = 6.0MG.</t>
        </r>
      </text>
    </comment>
    <comment ref="AE9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Totals manually adjusted due to plant upset and waste to lagoon from finished water. Actual finished water flow less than net filter flows. Total finished water flow = 20.7549 MG. True net filter flow (gross to CCB): AR = 18.0MG, SP = 6.0MG.</t>
        </r>
      </text>
    </comment>
    <comment ref="AF9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Totals manually adjusted due to plant upset and waste to lagoon from finished water. Actual finished water flow less than net filter flows. Total finished water flow = 20.7549 MG. True net filter flow (gross to CCB): AR = 18.0MG, SP = 6.0MG.</t>
        </r>
      </text>
    </comment>
    <comment ref="B40" authorId="1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C40" authorId="1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D40" authorId="1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E40" authorId="1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Strength,
PEC Cost</t>
        </r>
      </text>
    </comment>
    <comment ref="F40" authorId="1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G40" authorId="1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99% Solution Strength</t>
        </r>
      </text>
    </comment>
    <comment ref="H40" authorId="1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35% Solution Strength</t>
        </r>
      </text>
    </comment>
    <comment ref="I40" authorId="1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J40" authorId="1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K40" authorId="1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L40" authorId="1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5.5% Solution Strength</t>
        </r>
      </text>
    </comment>
    <comment ref="M40" authorId="1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N40" authorId="1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O40" authorId="1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P40" authorId="1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Q40" authorId="1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R40" authorId="1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S40" authorId="1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T40" authorId="1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U40" authorId="1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V40" authorId="1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Y40" authorId="1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Z40" authorId="1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AB40" authorId="1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AC40" authorId="1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AH40" authorId="1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I40" authorId="1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J40" authorId="1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K40" authorId="1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L40" authorId="1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M40" authorId="1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N40" authorId="1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O40" authorId="1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P40" authorId="1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Q40" authorId="1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G42" authorId="1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See Utility Summary Seet For Data</t>
        </r>
      </text>
    </comment>
  </commentList>
</comments>
</file>

<file path=xl/comments2.xml><?xml version="1.0" encoding="utf-8"?>
<comments xmlns="http://schemas.openxmlformats.org/spreadsheetml/2006/main">
  <authors>
    <author>jamoore</author>
  </authors>
  <commentList>
    <comment ref="AD6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Feed to AR FIC.</t>
        </r>
      </text>
    </comment>
    <comment ref="AD14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Feed to AR FIC.</t>
        </r>
      </text>
    </comment>
    <comment ref="U20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Enter quarterly pricing chnages into this section.</t>
        </r>
      </text>
    </comment>
    <comment ref="E21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Based on the latest quarter pricing available.</t>
        </r>
      </text>
    </comment>
    <comment ref="L22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27,000lb Load</t>
        </r>
      </text>
    </comment>
    <comment ref="L23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400 gallon transfer from tote.</t>
        </r>
      </text>
    </comment>
    <comment ref="AA23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Pricing per gallon @ 0.50% strength. Neat liquid cost is $12.138 per gallon or $1.40 per pound.</t>
        </r>
      </text>
    </comment>
    <comment ref="AB23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Neat liquid cost is $12.138 per gallon or $1.40 per pound.</t>
        </r>
      </text>
    </comment>
    <comment ref="AC23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Neat liquid cost is $12.138 per gallon or $1.40 per pound.</t>
        </r>
      </text>
    </comment>
    <comment ref="AD23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Neat liquid cost is $12.138 per gallon or $1.40 per pound.</t>
        </r>
      </text>
    </comment>
    <comment ref="L24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40,000lb Load</t>
        </r>
      </text>
    </comment>
    <comment ref="L25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45,000lb Load</t>
        </r>
      </text>
    </comment>
    <comment ref="AA25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Pricing per gallon @ 5.50% strength. </t>
        </r>
      </text>
    </comment>
    <comment ref="AB25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Pricing per gallon @ 5.50% strength. </t>
        </r>
      </text>
    </comment>
    <comment ref="AC25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Pricing per gallon @ 5.50% strength. </t>
        </r>
      </text>
    </comment>
    <comment ref="AD25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Pricing per gallon @ 5.50% strength. </t>
        </r>
      </text>
    </comment>
    <comment ref="L26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45,000lb Load</t>
        </r>
      </text>
    </comment>
    <comment ref="L27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8 Ton Load</t>
        </r>
      </text>
    </comment>
    <comment ref="L28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45,000lb Load</t>
        </r>
      </text>
    </comment>
    <comment ref="L29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45,000lb Load</t>
        </r>
      </text>
    </comment>
    <comment ref="L30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3300lb Bin</t>
        </r>
      </text>
    </comment>
    <comment ref="AA30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Pricing per gallon @ 3.0% strength.</t>
        </r>
      </text>
    </comment>
    <comment ref="AB30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Pricing per gallon @ 3.0% strength.</t>
        </r>
      </text>
    </comment>
    <comment ref="AC30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Pricing per gallon @ 3.0% strength.</t>
        </r>
      </text>
    </comment>
    <comment ref="AD30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Pricing per gallon @ 3.0% strength.</t>
        </r>
      </text>
    </comment>
    <comment ref="L31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45,000lb Load</t>
        </r>
      </text>
    </comment>
  </commentList>
</comments>
</file>

<file path=xl/comments3.xml><?xml version="1.0" encoding="utf-8"?>
<comments xmlns="http://schemas.openxmlformats.org/spreadsheetml/2006/main">
  <authors>
    <author>Peter Bong</author>
  </authors>
  <commentList>
    <comment ref="B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C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D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E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Strength,
PEC Cost</t>
        </r>
      </text>
    </comment>
    <comment ref="F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G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99% Solution Strength</t>
        </r>
      </text>
    </comment>
    <comment ref="H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35% Solution Strength</t>
        </r>
      </text>
    </comment>
    <comment ref="I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J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K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L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5.5% Solution Strength</t>
        </r>
      </text>
    </comment>
    <comment ref="M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N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O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P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Q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R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S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T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U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V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Y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Z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AB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AC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AH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I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J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K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L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M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N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O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P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Q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G42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See Utility Summary Seet For Data</t>
        </r>
      </text>
    </comment>
  </commentList>
</comments>
</file>

<file path=xl/comments4.xml><?xml version="1.0" encoding="utf-8"?>
<comments xmlns="http://schemas.openxmlformats.org/spreadsheetml/2006/main">
  <authors>
    <author>Peter Bong</author>
  </authors>
  <commentList>
    <comment ref="B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C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D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E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Strength,
PEC Cost</t>
        </r>
      </text>
    </comment>
    <comment ref="F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G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99% Solution Strength</t>
        </r>
      </text>
    </comment>
    <comment ref="H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35% Solution Strength</t>
        </r>
      </text>
    </comment>
    <comment ref="I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J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K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L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5.5% Solution Strength</t>
        </r>
      </text>
    </comment>
    <comment ref="M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N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O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P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Q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R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S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T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U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V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Y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Z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AB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AC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AH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I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J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K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L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M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N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O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P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Q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G42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See Utility Summary Seet For Data</t>
        </r>
      </text>
    </comment>
  </commentList>
</comments>
</file>

<file path=xl/comments5.xml><?xml version="1.0" encoding="utf-8"?>
<comments xmlns="http://schemas.openxmlformats.org/spreadsheetml/2006/main">
  <authors>
    <author>Peter Bong</author>
  </authors>
  <commentList>
    <comment ref="B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C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D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E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Strength,
PEC Cost</t>
        </r>
      </text>
    </comment>
    <comment ref="F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G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99% Solution Strength</t>
        </r>
      </text>
    </comment>
    <comment ref="H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35% Solution Strength</t>
        </r>
      </text>
    </comment>
    <comment ref="I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J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K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L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5.5% Solution Strength</t>
        </r>
      </text>
    </comment>
    <comment ref="M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N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O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P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Q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R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S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T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U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V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Y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Z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AB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AC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AH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I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J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K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L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M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N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O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P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Q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G42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See Utility Summary Seet For Data</t>
        </r>
      </text>
    </comment>
  </commentList>
</comments>
</file>

<file path=xl/comments6.xml><?xml version="1.0" encoding="utf-8"?>
<comments xmlns="http://schemas.openxmlformats.org/spreadsheetml/2006/main">
  <authors>
    <author>jamoore</author>
    <author>Peter Bong</author>
  </authors>
  <commentList>
    <comment ref="V30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Chlorine used through chlorinator 4 and injector 4 to disinfect the FW pipeline.</t>
        </r>
      </text>
    </comment>
    <comment ref="B40" authorId="1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C40" authorId="1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D40" authorId="1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E40" authorId="1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Strength,
PEC Cost</t>
        </r>
      </text>
    </comment>
    <comment ref="F40" authorId="1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G40" authorId="1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99% Solution Strength</t>
        </r>
      </text>
    </comment>
    <comment ref="H40" authorId="1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35% Solution Strength</t>
        </r>
      </text>
    </comment>
    <comment ref="I40" authorId="1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J40" authorId="1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K40" authorId="1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L40" authorId="1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5.5% Solution Strength</t>
        </r>
      </text>
    </comment>
    <comment ref="M40" authorId="1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N40" authorId="1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O40" authorId="1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P40" authorId="1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Q40" authorId="1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R40" authorId="1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S40" authorId="1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T40" authorId="1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U40" authorId="1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V40" authorId="1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Y40" authorId="1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Z40" authorId="1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AB40" authorId="1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AC40" authorId="1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AH40" authorId="1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I40" authorId="1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J40" authorId="1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K40" authorId="1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L40" authorId="1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M40" authorId="1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N40" authorId="1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O40" authorId="1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P40" authorId="1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Q40" authorId="1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G42" authorId="1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See Utility Summary Seet For Data</t>
        </r>
      </text>
    </comment>
  </commentList>
</comments>
</file>

<file path=xl/comments7.xml><?xml version="1.0" encoding="utf-8"?>
<comments xmlns="http://schemas.openxmlformats.org/spreadsheetml/2006/main">
  <authors>
    <author>Peter Bong</author>
  </authors>
  <commentList>
    <comment ref="B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C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D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E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Strength,
PEC Cost</t>
        </r>
      </text>
    </comment>
    <comment ref="F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G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99% Solution Strength</t>
        </r>
      </text>
    </comment>
    <comment ref="H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35% Solution Strength</t>
        </r>
      </text>
    </comment>
    <comment ref="I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J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K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L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5.5% Solution Strength</t>
        </r>
      </text>
    </comment>
    <comment ref="M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N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O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P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Q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R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S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T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U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V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Y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Z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AB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AC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AH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I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J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K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L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M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N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O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P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Q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G42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See Utility Summary Seet For Data</t>
        </r>
      </text>
    </comment>
  </commentList>
</comments>
</file>

<file path=xl/comments8.xml><?xml version="1.0" encoding="utf-8"?>
<comments xmlns="http://schemas.openxmlformats.org/spreadsheetml/2006/main">
  <authors>
    <author>Peter Bong</author>
  </authors>
  <commentList>
    <comment ref="B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C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D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E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Strength,
PEC Cost</t>
        </r>
      </text>
    </comment>
    <comment ref="F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G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99% Solution Strength</t>
        </r>
      </text>
    </comment>
    <comment ref="H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35% Solution Strength</t>
        </r>
      </text>
    </comment>
    <comment ref="I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J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K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L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5.5% Solution Strength</t>
        </r>
      </text>
    </comment>
    <comment ref="M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N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O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P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Q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R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S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T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U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V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Y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Z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AB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AC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AH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I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J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K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L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M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N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O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P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Q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G42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See Utility Summary Seet For Data</t>
        </r>
      </text>
    </comment>
  </commentList>
</comments>
</file>

<file path=xl/comments9.xml><?xml version="1.0" encoding="utf-8"?>
<comments xmlns="http://schemas.openxmlformats.org/spreadsheetml/2006/main">
  <authors>
    <author>Peter Bong</author>
  </authors>
  <commentList>
    <comment ref="B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C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D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E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Strength,
PEC Cost</t>
        </r>
      </text>
    </comment>
    <comment ref="F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G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99% Solution Strength</t>
        </r>
      </text>
    </comment>
    <comment ref="H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35% Solution Strength</t>
        </r>
      </text>
    </comment>
    <comment ref="I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J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K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L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5.5% Solution Strength</t>
        </r>
      </text>
    </comment>
    <comment ref="M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N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O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P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Q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R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S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T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U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V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Y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Z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AB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AC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AH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I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J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K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L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M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N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O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P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Q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G42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See Utility Summary Seet For Data</t>
        </r>
      </text>
    </comment>
  </commentList>
</comments>
</file>

<file path=xl/sharedStrings.xml><?xml version="1.0" encoding="utf-8"?>
<sst xmlns="http://schemas.openxmlformats.org/spreadsheetml/2006/main" count="2224" uniqueCount="235">
  <si>
    <t>Current Application Point</t>
  </si>
  <si>
    <t>Notes: Chemical are arranged in general process flow</t>
  </si>
  <si>
    <t>Not in Use</t>
  </si>
  <si>
    <t>South Platte</t>
  </si>
  <si>
    <t>Aurora Reservoir</t>
  </si>
  <si>
    <t>Filters/Adsorbers</t>
  </si>
  <si>
    <t xml:space="preserve">Finished Water </t>
  </si>
  <si>
    <t>From Chlorinator 5</t>
  </si>
  <si>
    <t>Valve Vault 1 (To Wemlinger RWAR)</t>
  </si>
  <si>
    <r>
      <t>KMnO</t>
    </r>
    <r>
      <rPr>
        <vertAlign val="subscript"/>
        <sz val="11"/>
        <color theme="1"/>
        <rFont val="Calibri"/>
        <family val="2"/>
        <scheme val="minor"/>
      </rPr>
      <t xml:space="preserve">4 </t>
    </r>
    <r>
      <rPr>
        <sz val="11"/>
        <color theme="1"/>
        <rFont val="Calibri"/>
        <family val="2"/>
        <scheme val="minor"/>
      </rPr>
      <t>(RW)</t>
    </r>
  </si>
  <si>
    <r>
      <t>FeCl</t>
    </r>
    <r>
      <rPr>
        <vertAlign val="subscript"/>
        <sz val="11"/>
        <color theme="1"/>
        <rFont val="Calibri"/>
        <family val="2"/>
        <scheme val="minor"/>
      </rPr>
      <t xml:space="preserve">3 </t>
    </r>
    <r>
      <rPr>
        <sz val="11"/>
        <color theme="1"/>
        <rFont val="Calibri"/>
        <family val="2"/>
        <scheme val="minor"/>
      </rPr>
      <t>(Rapid Mix &amp; Flow Split)</t>
    </r>
  </si>
  <si>
    <t>NaOH (Rapid Mix)</t>
  </si>
  <si>
    <t>PEC/PEA (Reactors)</t>
  </si>
  <si>
    <t>PEA (Sludge)</t>
  </si>
  <si>
    <r>
      <t>CO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(Post Softening)</t>
    </r>
  </si>
  <si>
    <r>
      <t>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0</t>
    </r>
    <r>
      <rPr>
        <vertAlign val="subscript"/>
        <sz val="11"/>
        <color theme="1"/>
        <rFont val="Calibri"/>
        <family val="2"/>
        <scheme val="minor"/>
      </rPr>
      <t xml:space="preserve">2 </t>
    </r>
    <r>
      <rPr>
        <sz val="11"/>
        <color theme="1"/>
        <rFont val="Calibri"/>
        <family val="2"/>
        <scheme val="minor"/>
      </rPr>
      <t>(UV)</t>
    </r>
  </si>
  <si>
    <r>
      <t>FeCl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(Rapid Mix)</t>
    </r>
  </si>
  <si>
    <t>PEC (Rapid Mix)</t>
  </si>
  <si>
    <t xml:space="preserve">PAC (Basin 1 &amp; 2) </t>
  </si>
  <si>
    <t>PEA (Basin 1 &amp; 2)</t>
  </si>
  <si>
    <t>Fluoride(CCB Effluent)</t>
  </si>
  <si>
    <r>
      <t>Cl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to RWAR, RWSP, ARFIC, or SPFIC</t>
    </r>
  </si>
  <si>
    <r>
      <t>KMnO</t>
    </r>
    <r>
      <rPr>
        <vertAlign val="subscript"/>
        <sz val="11"/>
        <color theme="1"/>
        <rFont val="Calibri"/>
        <family val="2"/>
        <scheme val="minor"/>
      </rPr>
      <t xml:space="preserve">4 </t>
    </r>
    <r>
      <rPr>
        <sz val="11"/>
        <color theme="1"/>
        <rFont val="Calibri"/>
        <family val="2"/>
        <scheme val="minor"/>
      </rPr>
      <t>(RWAR to Wemlinger)</t>
    </r>
  </si>
  <si>
    <t>Gallons per Day</t>
  </si>
  <si>
    <t>lbs per day</t>
  </si>
  <si>
    <t>Lbs per day</t>
  </si>
  <si>
    <t>Cost Per Month</t>
  </si>
  <si>
    <t>Finished Water Flow</t>
  </si>
  <si>
    <t>MGD</t>
  </si>
  <si>
    <t>Total MG</t>
  </si>
  <si>
    <t>Total Produced From Binney</t>
  </si>
  <si>
    <t>AR Net to Distribution</t>
  </si>
  <si>
    <t>SP Net to Distribution</t>
  </si>
  <si>
    <t>AR to Total Flow Blend</t>
  </si>
  <si>
    <t>Ratio</t>
  </si>
  <si>
    <t>PEN AR (FIC)</t>
  </si>
  <si>
    <t>PEN SP (FIC)</t>
  </si>
  <si>
    <t>PEN AR (Individual Filters)</t>
  </si>
  <si>
    <t>PEN SP (Individual Filters)</t>
  </si>
  <si>
    <r>
      <t>FeCl</t>
    </r>
    <r>
      <rPr>
        <vertAlign val="subscript"/>
        <sz val="11"/>
        <color theme="1"/>
        <rFont val="Calibri"/>
        <family val="2"/>
        <scheme val="minor"/>
      </rPr>
      <t xml:space="preserve">3 </t>
    </r>
    <r>
      <rPr>
        <sz val="11"/>
        <color theme="1"/>
        <rFont val="Calibri"/>
        <family val="2"/>
        <scheme val="minor"/>
      </rPr>
      <t>AR</t>
    </r>
    <r>
      <rPr>
        <vertAlign val="subscript"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(Backwash Supply)</t>
    </r>
  </si>
  <si>
    <r>
      <t>FeCl</t>
    </r>
    <r>
      <rPr>
        <vertAlign val="subscript"/>
        <sz val="11"/>
        <color theme="1"/>
        <rFont val="Calibri"/>
        <family val="2"/>
        <scheme val="minor"/>
      </rPr>
      <t xml:space="preserve">3 </t>
    </r>
    <r>
      <rPr>
        <sz val="11"/>
        <color theme="1"/>
        <rFont val="Calibri"/>
        <family val="2"/>
        <scheme val="minor"/>
      </rPr>
      <t>SP</t>
    </r>
    <r>
      <rPr>
        <vertAlign val="subscript"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(Backwash Supply)</t>
    </r>
  </si>
  <si>
    <r>
      <t>Cl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AR</t>
    </r>
  </si>
  <si>
    <r>
      <t>Cl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SP</t>
    </r>
  </si>
  <si>
    <r>
      <t>NH</t>
    </r>
    <r>
      <rPr>
        <vertAlign val="subscript"/>
        <sz val="11"/>
        <color theme="1"/>
        <rFont val="Calibri"/>
        <family val="2"/>
        <scheme val="minor"/>
      </rPr>
      <t xml:space="preserve">3 </t>
    </r>
    <r>
      <rPr>
        <sz val="11"/>
        <color theme="1"/>
        <rFont val="Calibri"/>
        <family val="2"/>
        <scheme val="minor"/>
      </rPr>
      <t>AR</t>
    </r>
    <r>
      <rPr>
        <vertAlign val="subscript"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(CCB Effluent)</t>
    </r>
  </si>
  <si>
    <r>
      <t>NH</t>
    </r>
    <r>
      <rPr>
        <vertAlign val="subscript"/>
        <sz val="11"/>
        <color theme="1"/>
        <rFont val="Calibri"/>
        <family val="2"/>
        <scheme val="minor"/>
      </rPr>
      <t xml:space="preserve">3 </t>
    </r>
    <r>
      <rPr>
        <sz val="11"/>
        <color theme="1"/>
        <rFont val="Calibri"/>
        <family val="2"/>
        <scheme val="minor"/>
      </rPr>
      <t>SP</t>
    </r>
    <r>
      <rPr>
        <vertAlign val="subscript"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(CCB Effluent)</t>
    </r>
  </si>
  <si>
    <t>NaOH AR (CCB Effluent)</t>
  </si>
  <si>
    <t>NaOH SP (CCB Effluent)</t>
  </si>
  <si>
    <t>South Platte Costs</t>
  </si>
  <si>
    <t>Aurora Reservoir Costs</t>
  </si>
  <si>
    <t xml:space="preserve">Total Binney WPF Costs </t>
  </si>
  <si>
    <t>Labor Costs</t>
  </si>
  <si>
    <t>Notes: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</si>
  <si>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</si>
  <si>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</si>
  <si>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</si>
  <si>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</si>
  <si>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</si>
  <si>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</si>
  <si>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</si>
  <si>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</si>
  <si>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</si>
  <si>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</si>
  <si>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</si>
  <si>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</si>
  <si>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Year</t>
  </si>
  <si>
    <t>Flow Total</t>
  </si>
  <si>
    <t>South Platte Chemicals</t>
  </si>
  <si>
    <t>KMnO4 (RW)</t>
  </si>
  <si>
    <t>FeCl3 (RM &amp; Flow Split)</t>
  </si>
  <si>
    <t>CO2 (Post Softening)</t>
  </si>
  <si>
    <t>H202 (UV)</t>
  </si>
  <si>
    <t>Aurora Reservoir Chemicals</t>
  </si>
  <si>
    <t>FeCl3 (Rapid Mix)</t>
  </si>
  <si>
    <t>Filter Adsorber Chemicals</t>
  </si>
  <si>
    <t>PEN AR (Ind Filters)</t>
  </si>
  <si>
    <t>PEN SP (Ind Filters)</t>
  </si>
  <si>
    <t>FeCl3 AR Filter Backwash</t>
  </si>
  <si>
    <t>FeCl3 SP Filter Backwash</t>
  </si>
  <si>
    <t>Cl2 AR</t>
  </si>
  <si>
    <t>Cl2 SP</t>
  </si>
  <si>
    <t>NH3 AR (CCB Effluent)</t>
  </si>
  <si>
    <t>NH3 SP (CCB Effluent)</t>
  </si>
  <si>
    <t>Finished Water Chemicals</t>
  </si>
  <si>
    <t>Miscellaneous Chems</t>
  </si>
  <si>
    <t>Wemlinger AR (VV1)</t>
  </si>
  <si>
    <t>Finished Flows (MG) &amp; Ratios</t>
  </si>
  <si>
    <t>Monthly Flow Totals</t>
  </si>
  <si>
    <t>Monthly Costs $</t>
  </si>
  <si>
    <t>Total Cost</t>
  </si>
  <si>
    <t>BWPF Yearly Summary Chem Flow Total Report</t>
  </si>
  <si>
    <t>BWPF YTD Chemical Usage &amp; Cost</t>
  </si>
  <si>
    <t xml:space="preserve">SP Pre-Treatment  </t>
  </si>
  <si>
    <t>SP Filter/Adsorber</t>
  </si>
  <si>
    <t xml:space="preserve">SP Finished Water </t>
  </si>
  <si>
    <t>AR Pre-Treatment</t>
  </si>
  <si>
    <t>AR Filter/Adsorber</t>
  </si>
  <si>
    <t xml:space="preserve">AR Finished Water </t>
  </si>
  <si>
    <t>Fluoride SP (CCB Effluent)</t>
  </si>
  <si>
    <t>Fluoride AR (CCB Effluent)</t>
  </si>
  <si>
    <t>Total Metered Units</t>
  </si>
  <si>
    <t>Gallons</t>
  </si>
  <si>
    <t>Pounds</t>
  </si>
  <si>
    <t>MG</t>
  </si>
  <si>
    <t>Total Dry Tons</t>
  </si>
  <si>
    <t>Dry Tons per MG Delivered</t>
  </si>
  <si>
    <t>Dry Tons per MG Treated</t>
  </si>
  <si>
    <t>Total Cost YTD</t>
  </si>
  <si>
    <t>AR Rcycl</t>
  </si>
  <si>
    <t>SP Rcycl</t>
  </si>
  <si>
    <t>BWPF Projected Chemical Usage &amp; Cost</t>
  </si>
  <si>
    <t>Gross AR to Binney</t>
  </si>
  <si>
    <t>Net AR to Binney</t>
  </si>
  <si>
    <t>Gross SP to Binney</t>
  </si>
  <si>
    <t>Net SP to Binney</t>
  </si>
  <si>
    <t>Projected Total Metered Units</t>
  </si>
  <si>
    <t>Projected Total Dry Tons</t>
  </si>
  <si>
    <t>Projected Total Cost</t>
  </si>
  <si>
    <t>South Platte Total</t>
  </si>
  <si>
    <t>Aurora Reservoir Total</t>
  </si>
  <si>
    <t>Total Delivered</t>
  </si>
  <si>
    <t>Delivered Efficiency</t>
  </si>
  <si>
    <t xml:space="preserve"> Projected Total Delivered (MG):</t>
  </si>
  <si>
    <t>Projected Total Treated (MG):</t>
  </si>
  <si>
    <t>Projected Average AR %:</t>
  </si>
  <si>
    <t>Projected Average AR Ratio:</t>
  </si>
  <si>
    <t>Projected AR Del (MG):</t>
  </si>
  <si>
    <t>Projected AR Trt (MG):</t>
  </si>
  <si>
    <t>Projected SP Del (MG):</t>
  </si>
  <si>
    <t>Projected SP Trt (MG):</t>
  </si>
  <si>
    <t>Total Projected by Chemical</t>
  </si>
  <si>
    <t>Transportation Units</t>
  </si>
  <si>
    <t>Pricing</t>
  </si>
  <si>
    <t>Quarterly Vendor Unit Pricing</t>
  </si>
  <si>
    <t>Quarterly Metered Unit Pricing</t>
  </si>
  <si>
    <t>Quarterly Dry Ton Pricing</t>
  </si>
  <si>
    <t>Chemical</t>
  </si>
  <si>
    <t>Unit</t>
  </si>
  <si>
    <t>Jan</t>
  </si>
  <si>
    <t>Apr</t>
  </si>
  <si>
    <t xml:space="preserve">Oct </t>
  </si>
  <si>
    <t>Ammonia</t>
  </si>
  <si>
    <t>Liquid Gal</t>
  </si>
  <si>
    <t>Truck Ld</t>
  </si>
  <si>
    <t>Dry Ton</t>
  </si>
  <si>
    <t>Anionic Polymer</t>
  </si>
  <si>
    <t>Liquid Lb</t>
  </si>
  <si>
    <t>Tote</t>
  </si>
  <si>
    <t>Carbon Dioxide</t>
  </si>
  <si>
    <t>Liquid Ton</t>
  </si>
  <si>
    <t>Carbon PAC</t>
  </si>
  <si>
    <t>Dry Lb</t>
  </si>
  <si>
    <t>Cationic Polymer</t>
  </si>
  <si>
    <t>Chlorine</t>
  </si>
  <si>
    <t>Ferric Chloride</t>
  </si>
  <si>
    <t>Hydrogen Peroxide</t>
  </si>
  <si>
    <t>Potassium Permanganate</t>
  </si>
  <si>
    <t>Bin</t>
  </si>
  <si>
    <t>Sodium Hydroxide</t>
  </si>
  <si>
    <t>Overall Ratio</t>
  </si>
  <si>
    <t>Metered Unit</t>
  </si>
  <si>
    <t>Total By Dry Ton</t>
  </si>
  <si>
    <t>Total Dry Ton Cost</t>
  </si>
  <si>
    <t>Total By Vendor Priced Unit</t>
  </si>
  <si>
    <t>Partial Trucked Units</t>
  </si>
  <si>
    <t>Whole Trucked Units</t>
  </si>
  <si>
    <t>Monthly Truck Loads</t>
  </si>
  <si>
    <t>Gallon/Lbs</t>
  </si>
  <si>
    <t>Loads</t>
  </si>
  <si>
    <t>pass</t>
  </si>
  <si>
    <t>kWxhrs per Day</t>
  </si>
  <si>
    <t>Monthly Chemical/Power Usage</t>
  </si>
  <si>
    <t>Cost per Gallon or lb or kW*Hr</t>
  </si>
  <si>
    <t>Blended&amp;RW</t>
  </si>
  <si>
    <t>Softening</t>
  </si>
  <si>
    <t>Pre-Chem</t>
  </si>
  <si>
    <t>Floc/Sed</t>
  </si>
  <si>
    <t>UV/AOP</t>
  </si>
  <si>
    <t>Filtration/Ad</t>
  </si>
  <si>
    <t>Post-Chem</t>
  </si>
  <si>
    <t>Recycle</t>
  </si>
  <si>
    <t>Control</t>
  </si>
  <si>
    <t>Finished</t>
  </si>
  <si>
    <t>Electrical</t>
  </si>
  <si>
    <t>Natural Gas</t>
  </si>
  <si>
    <t>Labor</t>
  </si>
  <si>
    <t>Materials</t>
  </si>
  <si>
    <t xml:space="preserve">Labor </t>
  </si>
  <si>
    <t>South Platte Cost per MG</t>
  </si>
  <si>
    <t>Aurora Reservoir Cost per MG</t>
  </si>
  <si>
    <t>Binney Cost per MG</t>
  </si>
  <si>
    <t>Binney Cost per KG</t>
  </si>
  <si>
    <t>South Platte Cost per KG</t>
  </si>
  <si>
    <t>Aurora Reservoir Cost per KG</t>
  </si>
  <si>
    <t>Binney MG Produced</t>
  </si>
  <si>
    <t>Net South Platte MG Produced</t>
  </si>
  <si>
    <t>Net Aurora Reservoir MG Produced</t>
  </si>
  <si>
    <t>NA</t>
  </si>
  <si>
    <t>Monthly</t>
  </si>
  <si>
    <t>Material Costs</t>
  </si>
  <si>
    <t>1. The difference between the "Binney MG Produced" and the Net numbers is the ammont of water needed from distribution to create the finished water (W3 to Chlorine and NaOH Motive)</t>
  </si>
  <si>
    <t>Total</t>
  </si>
  <si>
    <t>SP</t>
  </si>
  <si>
    <t>AR</t>
  </si>
  <si>
    <t>Monthly Costs per KG</t>
  </si>
  <si>
    <t>Average</t>
  </si>
  <si>
    <t>bwpfcost</t>
  </si>
  <si>
    <t>bwpfyearly</t>
  </si>
  <si>
    <t>January 2012</t>
  </si>
  <si>
    <t>February 2012</t>
  </si>
  <si>
    <t>March 2012</t>
  </si>
  <si>
    <t>April 2012</t>
  </si>
  <si>
    <t>May 2012</t>
  </si>
  <si>
    <t>June 2012</t>
  </si>
  <si>
    <t>July 2012</t>
  </si>
  <si>
    <t>August 2012</t>
  </si>
  <si>
    <t>September 2012</t>
  </si>
  <si>
    <t>October 2012</t>
  </si>
  <si>
    <t>November 2012</t>
  </si>
  <si>
    <t>December 2012</t>
  </si>
  <si>
    <t>Annual Report Summary</t>
  </si>
  <si>
    <t>Labor Cost per MG</t>
  </si>
  <si>
    <t>O&amp;M Cost per MG</t>
  </si>
  <si>
    <t>Material Cost per MG</t>
  </si>
  <si>
    <t>Natural Gas Cost per MG</t>
  </si>
  <si>
    <t>Electrical Cost per MG</t>
  </si>
  <si>
    <t>Total Cost per MG</t>
  </si>
  <si>
    <t>Total Cost per KG</t>
  </si>
  <si>
    <t>Total Flow (MG)</t>
  </si>
  <si>
    <t>Chemical Cost per MG</t>
  </si>
  <si>
    <t>Electrical Usage (kWHr)</t>
  </si>
  <si>
    <t>Electrical Usage per MG</t>
  </si>
  <si>
    <t>bwpfprofile</t>
  </si>
  <si>
    <t>Whole Trucked Unit Cost</t>
  </si>
  <si>
    <t>2012 YTD Finished Delivered Flows (MG) &amp; Ratios</t>
  </si>
  <si>
    <t>2012 YTD Treated Raw Water Flows (MG)</t>
  </si>
</sst>
</file>

<file path=xl/styles.xml><?xml version="1.0" encoding="utf-8"?>
<styleSheet xmlns="http://schemas.openxmlformats.org/spreadsheetml/2006/main">
  <numFmts count="8">
    <numFmt numFmtId="164" formatCode="m/d/yy\ h:mm;@"/>
    <numFmt numFmtId="165" formatCode="&quot;$&quot;#,##0.00"/>
    <numFmt numFmtId="166" formatCode="&quot;$&quot;#,##0"/>
    <numFmt numFmtId="167" formatCode="0.0"/>
    <numFmt numFmtId="168" formatCode="0.000"/>
    <numFmt numFmtId="169" formatCode="0.0%"/>
    <numFmt numFmtId="170" formatCode="&quot;$&quot;#,##0.000"/>
    <numFmt numFmtId="171" formatCode="#,##0.0"/>
  </numFmts>
  <fonts count="23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8"/>
      <color theme="1"/>
      <name val="Times New Roman"/>
      <family val="1"/>
    </font>
    <font>
      <vertAlign val="subscript"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2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65"/>
        <bgColor indexed="64"/>
      </patternFill>
    </fill>
    <fill>
      <patternFill patternType="mediumGray"/>
    </fill>
    <fill>
      <patternFill patternType="mediumGray">
        <bgColor rgb="FF66CCFF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59996337778862885"/>
        <bgColor indexed="64"/>
      </patternFill>
    </fill>
  </fills>
  <borders count="167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medium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medium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medium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ck">
        <color auto="1"/>
      </right>
      <top style="medium">
        <color auto="1"/>
      </top>
      <bottom/>
      <diagonal/>
    </border>
    <border>
      <left style="thick">
        <color auto="1"/>
      </left>
      <right style="medium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 style="thick">
        <color auto="1"/>
      </top>
      <bottom style="medium">
        <color auto="1"/>
      </bottom>
      <diagonal/>
    </border>
    <border>
      <left/>
      <right/>
      <top style="thick">
        <color auto="1"/>
      </top>
      <bottom style="medium">
        <color auto="1"/>
      </bottom>
      <diagonal/>
    </border>
    <border>
      <left/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auto="1"/>
      </bottom>
      <diagonal/>
    </border>
    <border>
      <left/>
      <right/>
      <top style="medium">
        <color indexed="64"/>
      </top>
      <bottom style="medium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auto="1"/>
      </bottom>
      <diagonal/>
    </border>
    <border>
      <left style="medium">
        <color indexed="64"/>
      </left>
      <right/>
      <top style="thick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ck">
        <color indexed="64"/>
      </left>
      <right/>
      <top style="medium">
        <color indexed="64"/>
      </top>
      <bottom style="medium">
        <color auto="1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thick">
        <color auto="1"/>
      </bottom>
      <diagonal/>
    </border>
    <border>
      <left/>
      <right/>
      <top style="medium">
        <color indexed="64"/>
      </top>
      <bottom style="thick">
        <color auto="1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auto="1"/>
      </right>
      <top style="thin">
        <color indexed="64"/>
      </top>
      <bottom style="thick">
        <color indexed="64"/>
      </bottom>
      <diagonal/>
    </border>
    <border>
      <left style="thick">
        <color rgb="FF00B050"/>
      </left>
      <right style="thin">
        <color indexed="64"/>
      </right>
      <top style="thick">
        <color rgb="FF00B05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rgb="FF00B050"/>
      </top>
      <bottom style="thin">
        <color indexed="64"/>
      </bottom>
      <diagonal/>
    </border>
    <border>
      <left style="thin">
        <color indexed="64"/>
      </left>
      <right style="thick">
        <color rgb="FF00B050"/>
      </right>
      <top style="thick">
        <color rgb="FF00B050"/>
      </top>
      <bottom style="thin">
        <color indexed="64"/>
      </bottom>
      <diagonal/>
    </border>
    <border>
      <left style="thick">
        <color rgb="FF00B05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rgb="FF00B050"/>
      </right>
      <top style="thin">
        <color indexed="64"/>
      </top>
      <bottom style="thin">
        <color indexed="64"/>
      </bottom>
      <diagonal/>
    </border>
    <border>
      <left style="thick">
        <color rgb="FF00B050"/>
      </left>
      <right style="thin">
        <color indexed="64"/>
      </right>
      <top style="thin">
        <color indexed="64"/>
      </top>
      <bottom style="thick">
        <color rgb="FF00B05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rgb="FF00B050"/>
      </bottom>
      <diagonal/>
    </border>
    <border>
      <left style="thin">
        <color indexed="64"/>
      </left>
      <right style="thick">
        <color rgb="FF00B050"/>
      </right>
      <top style="thin">
        <color indexed="64"/>
      </top>
      <bottom style="thick">
        <color rgb="FF00B050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auto="1"/>
      </right>
      <top style="medium">
        <color auto="1"/>
      </top>
      <bottom style="thick">
        <color auto="1"/>
      </bottom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ck">
        <color auto="1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auto="1"/>
      </bottom>
      <diagonal/>
    </border>
    <border>
      <left style="thick">
        <color auto="1"/>
      </left>
      <right style="thin">
        <color indexed="64"/>
      </right>
      <top style="thick">
        <color auto="1"/>
      </top>
      <bottom/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n">
        <color indexed="64"/>
      </right>
      <top/>
      <bottom/>
      <diagonal/>
    </border>
    <border>
      <left/>
      <right style="thick">
        <color auto="1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thick">
        <color auto="1"/>
      </right>
      <top style="thin">
        <color indexed="64"/>
      </top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medium">
        <color indexed="64"/>
      </right>
      <top style="thin">
        <color indexed="64"/>
      </top>
      <bottom style="thick">
        <color auto="1"/>
      </bottom>
      <diagonal/>
    </border>
    <border>
      <left/>
      <right style="thick">
        <color auto="1"/>
      </right>
      <top style="thin">
        <color indexed="64"/>
      </top>
      <bottom style="thick">
        <color auto="1"/>
      </bottom>
      <diagonal/>
    </border>
  </borders>
  <cellStyleXfs count="1">
    <xf numFmtId="0" fontId="0" fillId="0" borderId="0"/>
  </cellStyleXfs>
  <cellXfs count="771">
    <xf numFmtId="0" fontId="0" fillId="0" borderId="0" xfId="0"/>
    <xf numFmtId="0" fontId="0" fillId="0" borderId="0" xfId="0" applyAlignment="1">
      <alignment horizontal="right" vertical="center"/>
    </xf>
    <xf numFmtId="0" fontId="1" fillId="2" borderId="0" xfId="0" applyFont="1" applyFill="1"/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/>
    <xf numFmtId="0" fontId="0" fillId="3" borderId="0" xfId="0" applyFill="1"/>
    <xf numFmtId="164" fontId="0" fillId="0" borderId="0" xfId="0" applyNumberFormat="1" applyFill="1"/>
    <xf numFmtId="164" fontId="0" fillId="0" borderId="0" xfId="0" applyNumberFormat="1"/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4" fontId="0" fillId="0" borderId="0" xfId="0" applyNumberFormat="1" applyAlignment="1">
      <alignment horizontal="right" vertical="center"/>
    </xf>
    <xf numFmtId="0" fontId="0" fillId="0" borderId="0" xfId="0" applyBorder="1"/>
    <xf numFmtId="164" fontId="0" fillId="0" borderId="0" xfId="0" applyNumberFormat="1" applyFill="1" applyBorder="1"/>
    <xf numFmtId="0" fontId="0" fillId="3" borderId="16" xfId="0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3" borderId="18" xfId="0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8" fillId="0" borderId="0" xfId="0" applyFont="1" applyBorder="1"/>
    <xf numFmtId="0" fontId="0" fillId="0" borderId="15" xfId="0" applyBorder="1" applyAlignment="1">
      <alignment horizontal="center" vertical="center"/>
    </xf>
    <xf numFmtId="165" fontId="4" fillId="6" borderId="31" xfId="0" applyNumberFormat="1" applyFont="1" applyFill="1" applyBorder="1"/>
    <xf numFmtId="165" fontId="4" fillId="6" borderId="30" xfId="0" applyNumberFormat="1" applyFont="1" applyFill="1" applyBorder="1"/>
    <xf numFmtId="165" fontId="4" fillId="6" borderId="32" xfId="0" applyNumberFormat="1" applyFont="1" applyFill="1" applyBorder="1"/>
    <xf numFmtId="4" fontId="4" fillId="5" borderId="16" xfId="0" applyNumberFormat="1" applyFont="1" applyFill="1" applyBorder="1" applyAlignment="1">
      <alignment horizontal="center" vertical="center"/>
    </xf>
    <xf numFmtId="4" fontId="4" fillId="5" borderId="1" xfId="0" applyNumberFormat="1" applyFont="1" applyFill="1" applyBorder="1" applyAlignment="1">
      <alignment horizontal="center" vertical="center"/>
    </xf>
    <xf numFmtId="4" fontId="4" fillId="5" borderId="17" xfId="0" applyNumberFormat="1" applyFont="1" applyFill="1" applyBorder="1" applyAlignment="1">
      <alignment horizontal="center" vertical="center"/>
    </xf>
    <xf numFmtId="165" fontId="4" fillId="6" borderId="31" xfId="0" applyNumberFormat="1" applyFont="1" applyFill="1" applyBorder="1" applyAlignment="1">
      <alignment horizontal="center" vertical="center"/>
    </xf>
    <xf numFmtId="165" fontId="4" fillId="6" borderId="30" xfId="0" applyNumberFormat="1" applyFont="1" applyFill="1" applyBorder="1" applyAlignment="1">
      <alignment horizontal="center" vertical="center"/>
    </xf>
    <xf numFmtId="165" fontId="4" fillId="6" borderId="32" xfId="0" applyNumberFormat="1" applyFont="1" applyFill="1" applyBorder="1" applyAlignment="1">
      <alignment horizontal="center" vertical="center"/>
    </xf>
    <xf numFmtId="165" fontId="4" fillId="4" borderId="33" xfId="0" applyNumberFormat="1" applyFont="1" applyFill="1" applyBorder="1" applyAlignment="1">
      <alignment horizontal="center" vertical="center"/>
    </xf>
    <xf numFmtId="165" fontId="4" fillId="4" borderId="34" xfId="0" applyNumberFormat="1" applyFont="1" applyFill="1" applyBorder="1" applyAlignment="1">
      <alignment horizontal="center" vertical="center"/>
    </xf>
    <xf numFmtId="165" fontId="4" fillId="4" borderId="35" xfId="0" applyNumberFormat="1" applyFont="1" applyFill="1" applyBorder="1" applyAlignment="1">
      <alignment horizontal="center" vertical="center"/>
    </xf>
    <xf numFmtId="165" fontId="4" fillId="6" borderId="37" xfId="0" applyNumberFormat="1" applyFont="1" applyFill="1" applyBorder="1"/>
    <xf numFmtId="0" fontId="1" fillId="2" borderId="36" xfId="0" applyFont="1" applyFill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165" fontId="4" fillId="6" borderId="42" xfId="0" applyNumberFormat="1" applyFont="1" applyFill="1" applyBorder="1"/>
    <xf numFmtId="0" fontId="1" fillId="2" borderId="18" xfId="0" applyFont="1" applyFill="1" applyBorder="1" applyAlignment="1">
      <alignment horizontal="center" vertical="center"/>
    </xf>
    <xf numFmtId="2" fontId="0" fillId="7" borderId="44" xfId="0" applyNumberFormat="1" applyFill="1" applyBorder="1"/>
    <xf numFmtId="165" fontId="4" fillId="0" borderId="0" xfId="0" applyNumberFormat="1" applyFont="1" applyFill="1" applyBorder="1" applyAlignment="1">
      <alignment horizontal="center" vertical="center"/>
    </xf>
    <xf numFmtId="165" fontId="4" fillId="0" borderId="0" xfId="0" applyNumberFormat="1" applyFont="1" applyFill="1" applyBorder="1"/>
    <xf numFmtId="14" fontId="4" fillId="5" borderId="11" xfId="0" applyNumberFormat="1" applyFont="1" applyFill="1" applyBorder="1"/>
    <xf numFmtId="14" fontId="4" fillId="6" borderId="42" xfId="0" applyNumberFormat="1" applyFont="1" applyFill="1" applyBorder="1"/>
    <xf numFmtId="0" fontId="4" fillId="4" borderId="44" xfId="0" applyFont="1" applyFill="1" applyBorder="1"/>
    <xf numFmtId="2" fontId="0" fillId="0" borderId="22" xfId="0" applyNumberFormat="1" applyBorder="1" applyAlignment="1" applyProtection="1">
      <alignment horizontal="center" vertical="center"/>
      <protection locked="0"/>
    </xf>
    <xf numFmtId="2" fontId="0" fillId="0" borderId="4" xfId="0" applyNumberFormat="1" applyBorder="1" applyAlignment="1" applyProtection="1">
      <alignment horizontal="center" vertical="center"/>
      <protection locked="0"/>
    </xf>
    <xf numFmtId="2" fontId="0" fillId="0" borderId="23" xfId="0" applyNumberFormat="1" applyBorder="1" applyAlignment="1" applyProtection="1">
      <alignment horizontal="center" vertical="center"/>
      <protection locked="0"/>
    </xf>
    <xf numFmtId="2" fontId="0" fillId="0" borderId="40" xfId="0" applyNumberFormat="1" applyBorder="1" applyAlignment="1" applyProtection="1">
      <alignment horizontal="center" vertical="center"/>
      <protection locked="0"/>
    </xf>
    <xf numFmtId="2" fontId="0" fillId="0" borderId="16" xfId="0" applyNumberFormat="1" applyBorder="1" applyAlignment="1" applyProtection="1">
      <alignment horizontal="center" vertical="center"/>
      <protection locked="0"/>
    </xf>
    <xf numFmtId="2" fontId="0" fillId="0" borderId="1" xfId="0" applyNumberFormat="1" applyBorder="1" applyAlignment="1" applyProtection="1">
      <alignment horizontal="center" vertical="center"/>
      <protection locked="0"/>
    </xf>
    <xf numFmtId="2" fontId="0" fillId="0" borderId="17" xfId="0" applyNumberFormat="1" applyBorder="1" applyAlignment="1" applyProtection="1">
      <alignment horizontal="center" vertical="center"/>
      <protection locked="0"/>
    </xf>
    <xf numFmtId="2" fontId="0" fillId="0" borderId="43" xfId="0" applyNumberFormat="1" applyBorder="1" applyAlignment="1" applyProtection="1">
      <alignment horizontal="center" vertical="center"/>
      <protection locked="0"/>
    </xf>
    <xf numFmtId="2" fontId="0" fillId="0" borderId="18" xfId="0" applyNumberFormat="1" applyFill="1" applyBorder="1" applyAlignment="1" applyProtection="1">
      <alignment horizontal="center" vertical="center"/>
      <protection locked="0"/>
    </xf>
    <xf numFmtId="2" fontId="0" fillId="0" borderId="18" xfId="0" applyNumberFormat="1" applyBorder="1" applyAlignment="1" applyProtection="1">
      <alignment horizontal="center" vertical="center"/>
      <protection locked="0"/>
    </xf>
    <xf numFmtId="2" fontId="0" fillId="0" borderId="22" xfId="0" applyNumberFormat="1" applyFill="1" applyBorder="1" applyAlignment="1" applyProtection="1">
      <alignment horizontal="center" vertical="center"/>
      <protection locked="0"/>
    </xf>
    <xf numFmtId="2" fontId="0" fillId="0" borderId="4" xfId="0" applyNumberFormat="1" applyFill="1" applyBorder="1" applyAlignment="1" applyProtection="1">
      <alignment horizontal="center" vertical="center"/>
      <protection locked="0"/>
    </xf>
    <xf numFmtId="2" fontId="0" fillId="0" borderId="23" xfId="0" applyNumberFormat="1" applyFill="1" applyBorder="1" applyAlignment="1" applyProtection="1">
      <alignment horizontal="center" vertical="center"/>
      <protection locked="0"/>
    </xf>
    <xf numFmtId="2" fontId="0" fillId="0" borderId="30" xfId="0" applyNumberFormat="1" applyFill="1" applyBorder="1" applyAlignment="1" applyProtection="1">
      <alignment horizontal="center" vertical="center"/>
      <protection locked="0"/>
    </xf>
    <xf numFmtId="2" fontId="0" fillId="0" borderId="27" xfId="0" applyNumberFormat="1" applyFill="1" applyBorder="1" applyAlignment="1" applyProtection="1">
      <alignment horizontal="center" vertical="center"/>
      <protection locked="0"/>
    </xf>
    <xf numFmtId="2" fontId="0" fillId="0" borderId="40" xfId="0" applyNumberFormat="1" applyFill="1" applyBorder="1" applyAlignment="1" applyProtection="1">
      <alignment horizontal="center" vertical="center"/>
      <protection locked="0"/>
    </xf>
    <xf numFmtId="2" fontId="0" fillId="0" borderId="31" xfId="0" applyNumberFormat="1" applyFill="1" applyBorder="1" applyAlignment="1" applyProtection="1">
      <alignment horizontal="center" vertical="center"/>
      <protection locked="0"/>
    </xf>
    <xf numFmtId="2" fontId="0" fillId="0" borderId="30" xfId="0" applyNumberFormat="1" applyBorder="1" applyAlignment="1" applyProtection="1">
      <alignment horizontal="center" vertical="center"/>
      <protection locked="0"/>
    </xf>
    <xf numFmtId="2" fontId="0" fillId="0" borderId="32" xfId="0" applyNumberFormat="1" applyBorder="1" applyAlignment="1" applyProtection="1">
      <alignment horizontal="center" vertical="center"/>
      <protection locked="0"/>
    </xf>
    <xf numFmtId="2" fontId="0" fillId="0" borderId="42" xfId="0" applyNumberFormat="1" applyBorder="1" applyAlignment="1" applyProtection="1">
      <alignment horizontal="center" vertical="center"/>
      <protection locked="0"/>
    </xf>
    <xf numFmtId="2" fontId="0" fillId="0" borderId="43" xfId="0" applyNumberFormat="1" applyFill="1" applyBorder="1" applyAlignment="1" applyProtection="1">
      <alignment horizontal="center" vertical="center"/>
      <protection locked="0"/>
    </xf>
    <xf numFmtId="2" fontId="0" fillId="0" borderId="27" xfId="0" applyNumberFormat="1" applyBorder="1" applyAlignment="1" applyProtection="1">
      <alignment horizontal="center" vertical="center"/>
      <protection locked="0"/>
    </xf>
    <xf numFmtId="2" fontId="0" fillId="0" borderId="31" xfId="0" applyNumberFormat="1" applyBorder="1" applyAlignment="1" applyProtection="1">
      <alignment horizontal="center" vertical="center"/>
      <protection locked="0"/>
    </xf>
    <xf numFmtId="2" fontId="0" fillId="0" borderId="32" xfId="0" applyNumberFormat="1" applyFill="1" applyBorder="1" applyAlignment="1" applyProtection="1">
      <alignment horizontal="center" vertical="center"/>
      <protection locked="0"/>
    </xf>
    <xf numFmtId="2" fontId="0" fillId="0" borderId="28" xfId="0" applyNumberFormat="1" applyFill="1" applyBorder="1" applyAlignment="1" applyProtection="1">
      <alignment horizontal="center" vertical="center"/>
      <protection locked="0"/>
    </xf>
    <xf numFmtId="2" fontId="0" fillId="0" borderId="3" xfId="0" applyNumberFormat="1" applyBorder="1" applyAlignment="1" applyProtection="1">
      <alignment horizontal="center" vertical="center"/>
      <protection locked="0"/>
    </xf>
    <xf numFmtId="2" fontId="0" fillId="0" borderId="20" xfId="0" applyNumberFormat="1" applyBorder="1" applyAlignment="1" applyProtection="1">
      <alignment horizontal="center" vertical="center"/>
      <protection locked="0"/>
    </xf>
    <xf numFmtId="2" fontId="0" fillId="0" borderId="19" xfId="0" applyNumberFormat="1" applyBorder="1" applyAlignment="1" applyProtection="1">
      <alignment horizontal="center" vertical="center"/>
      <protection locked="0"/>
    </xf>
    <xf numFmtId="2" fontId="0" fillId="0" borderId="26" xfId="0" applyNumberFormat="1" applyBorder="1" applyAlignment="1" applyProtection="1">
      <alignment horizontal="center" vertical="center"/>
      <protection locked="0"/>
    </xf>
    <xf numFmtId="2" fontId="0" fillId="0" borderId="39" xfId="0" applyNumberFormat="1" applyBorder="1" applyAlignment="1" applyProtection="1">
      <alignment horizontal="center" vertical="center"/>
      <protection locked="0"/>
    </xf>
    <xf numFmtId="2" fontId="0" fillId="0" borderId="12" xfId="0" applyNumberFormat="1" applyBorder="1" applyAlignment="1" applyProtection="1">
      <alignment horizontal="center" vertical="center"/>
      <protection locked="0"/>
    </xf>
    <xf numFmtId="2" fontId="0" fillId="0" borderId="2" xfId="0" applyNumberFormat="1" applyBorder="1" applyAlignment="1" applyProtection="1">
      <alignment horizontal="center" vertical="center"/>
      <protection locked="0"/>
    </xf>
    <xf numFmtId="2" fontId="0" fillId="0" borderId="2" xfId="0" applyNumberFormat="1" applyFill="1" applyBorder="1" applyAlignment="1" applyProtection="1">
      <alignment horizontal="center" vertical="center"/>
      <protection locked="0"/>
    </xf>
    <xf numFmtId="2" fontId="0" fillId="0" borderId="13" xfId="0" applyNumberFormat="1" applyBorder="1" applyAlignment="1" applyProtection="1">
      <alignment horizontal="center" vertical="center"/>
      <protection locked="0"/>
    </xf>
    <xf numFmtId="2" fontId="0" fillId="0" borderId="21" xfId="0" applyNumberFormat="1" applyBorder="1" applyAlignment="1" applyProtection="1">
      <alignment horizontal="center" vertical="center"/>
      <protection locked="0"/>
    </xf>
    <xf numFmtId="2" fontId="0" fillId="0" borderId="25" xfId="0" applyNumberFormat="1" applyFill="1" applyBorder="1" applyAlignment="1" applyProtection="1">
      <alignment horizontal="center" vertical="center"/>
      <protection locked="0"/>
    </xf>
    <xf numFmtId="2" fontId="0" fillId="0" borderId="45" xfId="0" applyNumberFormat="1" applyFill="1" applyBorder="1" applyAlignment="1" applyProtection="1">
      <alignment horizontal="center" vertical="center"/>
      <protection locked="0"/>
    </xf>
    <xf numFmtId="0" fontId="0" fillId="0" borderId="58" xfId="0" applyBorder="1"/>
    <xf numFmtId="0" fontId="0" fillId="0" borderId="29" xfId="0" applyBorder="1"/>
    <xf numFmtId="0" fontId="0" fillId="0" borderId="57" xfId="0" applyBorder="1"/>
    <xf numFmtId="0" fontId="0" fillId="0" borderId="69" xfId="0" applyBorder="1"/>
    <xf numFmtId="0" fontId="0" fillId="0" borderId="37" xfId="0" applyBorder="1"/>
    <xf numFmtId="2" fontId="0" fillId="0" borderId="75" xfId="0" applyNumberFormat="1" applyBorder="1" applyAlignment="1">
      <alignment horizontal="center"/>
    </xf>
    <xf numFmtId="0" fontId="0" fillId="0" borderId="76" xfId="0" applyBorder="1"/>
    <xf numFmtId="2" fontId="0" fillId="0" borderId="79" xfId="0" applyNumberFormat="1" applyBorder="1" applyAlignment="1">
      <alignment horizontal="center"/>
    </xf>
    <xf numFmtId="0" fontId="4" fillId="12" borderId="33" xfId="0" applyFont="1" applyFill="1" applyBorder="1" applyAlignment="1">
      <alignment horizontal="center" vertical="center"/>
    </xf>
    <xf numFmtId="0" fontId="0" fillId="12" borderId="38" xfId="0" applyFill="1" applyBorder="1"/>
    <xf numFmtId="2" fontId="0" fillId="12" borderId="80" xfId="0" applyNumberFormat="1" applyFill="1" applyBorder="1" applyAlignment="1">
      <alignment horizontal="center"/>
    </xf>
    <xf numFmtId="0" fontId="4" fillId="13" borderId="65" xfId="0" applyFont="1" applyFill="1" applyBorder="1" applyAlignment="1">
      <alignment horizontal="center" vertical="center"/>
    </xf>
    <xf numFmtId="0" fontId="0" fillId="13" borderId="81" xfId="0" applyFill="1" applyBorder="1"/>
    <xf numFmtId="2" fontId="0" fillId="0" borderId="90" xfId="0" applyNumberFormat="1" applyBorder="1" applyAlignment="1">
      <alignment horizontal="center"/>
    </xf>
    <xf numFmtId="2" fontId="0" fillId="0" borderId="91" xfId="0" applyNumberFormat="1" applyBorder="1" applyAlignment="1">
      <alignment horizontal="center"/>
    </xf>
    <xf numFmtId="1" fontId="0" fillId="0" borderId="70" xfId="0" applyNumberFormat="1" applyBorder="1" applyAlignment="1">
      <alignment horizontal="center"/>
    </xf>
    <xf numFmtId="1" fontId="0" fillId="0" borderId="89" xfId="0" applyNumberFormat="1" applyBorder="1" applyAlignment="1">
      <alignment horizontal="center"/>
    </xf>
    <xf numFmtId="1" fontId="0" fillId="0" borderId="73" xfId="0" applyNumberFormat="1" applyBorder="1" applyAlignment="1">
      <alignment horizontal="center"/>
    </xf>
    <xf numFmtId="1" fontId="0" fillId="0" borderId="74" xfId="0" applyNumberFormat="1" applyBorder="1" applyAlignment="1">
      <alignment horizontal="center"/>
    </xf>
    <xf numFmtId="1" fontId="0" fillId="0" borderId="90" xfId="0" applyNumberFormat="1" applyBorder="1" applyAlignment="1">
      <alignment horizontal="center"/>
    </xf>
    <xf numFmtId="1" fontId="0" fillId="0" borderId="77" xfId="0" applyNumberFormat="1" applyBorder="1" applyAlignment="1">
      <alignment horizontal="center"/>
    </xf>
    <xf numFmtId="1" fontId="0" fillId="0" borderId="78" xfId="0" applyNumberFormat="1" applyBorder="1" applyAlignment="1">
      <alignment horizontal="center"/>
    </xf>
    <xf numFmtId="1" fontId="0" fillId="0" borderId="91" xfId="0" applyNumberFormat="1" applyBorder="1" applyAlignment="1">
      <alignment horizontal="center"/>
    </xf>
    <xf numFmtId="1" fontId="0" fillId="12" borderId="80" xfId="0" applyNumberFormat="1" applyFill="1" applyBorder="1" applyAlignment="1">
      <alignment horizontal="center"/>
    </xf>
    <xf numFmtId="166" fontId="0" fillId="0" borderId="70" xfId="0" applyNumberFormat="1" applyBorder="1" applyAlignment="1">
      <alignment horizontal="center"/>
    </xf>
    <xf numFmtId="166" fontId="0" fillId="0" borderId="71" xfId="0" applyNumberFormat="1" applyBorder="1" applyAlignment="1">
      <alignment horizontal="center"/>
    </xf>
    <xf numFmtId="166" fontId="0" fillId="15" borderId="70" xfId="0" applyNumberFormat="1" applyFill="1" applyBorder="1" applyAlignment="1">
      <alignment horizontal="center"/>
    </xf>
    <xf numFmtId="166" fontId="0" fillId="0" borderId="89" xfId="0" applyNumberFormat="1" applyBorder="1" applyAlignment="1">
      <alignment horizontal="center"/>
    </xf>
    <xf numFmtId="166" fontId="0" fillId="0" borderId="73" xfId="0" applyNumberFormat="1" applyBorder="1" applyAlignment="1">
      <alignment horizontal="center"/>
    </xf>
    <xf numFmtId="166" fontId="0" fillId="0" borderId="74" xfId="0" applyNumberFormat="1" applyBorder="1" applyAlignment="1">
      <alignment horizontal="center"/>
    </xf>
    <xf numFmtId="166" fontId="0" fillId="15" borderId="73" xfId="0" applyNumberFormat="1" applyFill="1" applyBorder="1" applyAlignment="1">
      <alignment horizontal="center"/>
    </xf>
    <xf numFmtId="166" fontId="0" fillId="0" borderId="90" xfId="0" applyNumberFormat="1" applyBorder="1" applyAlignment="1">
      <alignment horizontal="center"/>
    </xf>
    <xf numFmtId="166" fontId="0" fillId="0" borderId="77" xfId="0" applyNumberFormat="1" applyBorder="1" applyAlignment="1">
      <alignment horizontal="center"/>
    </xf>
    <xf numFmtId="166" fontId="0" fillId="0" borderId="78" xfId="0" applyNumberFormat="1" applyBorder="1" applyAlignment="1">
      <alignment horizontal="center"/>
    </xf>
    <xf numFmtId="166" fontId="0" fillId="15" borderId="77" xfId="0" applyNumberFormat="1" applyFill="1" applyBorder="1" applyAlignment="1">
      <alignment horizontal="center"/>
    </xf>
    <xf numFmtId="166" fontId="0" fillId="0" borderId="91" xfId="0" applyNumberFormat="1" applyBorder="1" applyAlignment="1">
      <alignment horizontal="center"/>
    </xf>
    <xf numFmtId="166" fontId="0" fillId="13" borderId="80" xfId="0" applyNumberFormat="1" applyFill="1" applyBorder="1" applyAlignment="1">
      <alignment horizontal="center"/>
    </xf>
    <xf numFmtId="2" fontId="0" fillId="16" borderId="89" xfId="0" applyNumberFormat="1" applyFill="1" applyBorder="1" applyAlignment="1">
      <alignment horizontal="center"/>
    </xf>
    <xf numFmtId="2" fontId="0" fillId="16" borderId="72" xfId="0" applyNumberFormat="1" applyFill="1" applyBorder="1" applyAlignment="1">
      <alignment horizontal="center"/>
    </xf>
    <xf numFmtId="2" fontId="0" fillId="16" borderId="90" xfId="0" applyNumberFormat="1" applyFill="1" applyBorder="1" applyAlignment="1">
      <alignment horizontal="center"/>
    </xf>
    <xf numFmtId="2" fontId="0" fillId="16" borderId="75" xfId="0" applyNumberFormat="1" applyFill="1" applyBorder="1" applyAlignment="1">
      <alignment horizontal="center"/>
    </xf>
    <xf numFmtId="2" fontId="0" fillId="16" borderId="91" xfId="0" applyNumberFormat="1" applyFill="1" applyBorder="1" applyAlignment="1">
      <alignment horizontal="center"/>
    </xf>
    <xf numFmtId="2" fontId="0" fillId="16" borderId="79" xfId="0" applyNumberFormat="1" applyFill="1" applyBorder="1" applyAlignment="1">
      <alignment horizontal="center"/>
    </xf>
    <xf numFmtId="2" fontId="0" fillId="17" borderId="80" xfId="0" applyNumberFormat="1" applyFill="1" applyBorder="1" applyAlignment="1">
      <alignment horizontal="center"/>
    </xf>
    <xf numFmtId="164" fontId="4" fillId="9" borderId="41" xfId="0" applyNumberFormat="1" applyFont="1" applyFill="1" applyBorder="1" applyAlignment="1">
      <alignment horizontal="center" vertical="center" textRotation="180"/>
    </xf>
    <xf numFmtId="164" fontId="4" fillId="9" borderId="82" xfId="0" applyNumberFormat="1" applyFont="1" applyFill="1" applyBorder="1" applyAlignment="1">
      <alignment horizontal="center" vertical="center" textRotation="180"/>
    </xf>
    <xf numFmtId="164" fontId="4" fillId="2" borderId="82" xfId="0" applyNumberFormat="1" applyFont="1" applyFill="1" applyBorder="1" applyAlignment="1">
      <alignment horizontal="center" vertical="center" textRotation="180"/>
    </xf>
    <xf numFmtId="164" fontId="4" fillId="8" borderId="82" xfId="0" applyNumberFormat="1" applyFont="1" applyFill="1" applyBorder="1" applyAlignment="1">
      <alignment horizontal="center" vertical="center" textRotation="180"/>
    </xf>
    <xf numFmtId="164" fontId="4" fillId="8" borderId="48" xfId="0" applyNumberFormat="1" applyFont="1" applyFill="1" applyBorder="1" applyAlignment="1">
      <alignment horizontal="center" vertical="center" textRotation="180"/>
    </xf>
    <xf numFmtId="164" fontId="4" fillId="11" borderId="41" xfId="0" applyNumberFormat="1" applyFont="1" applyFill="1" applyBorder="1" applyAlignment="1">
      <alignment horizontal="center" vertical="center" textRotation="180"/>
    </xf>
    <xf numFmtId="164" fontId="4" fillId="11" borderId="82" xfId="0" applyNumberFormat="1" applyFont="1" applyFill="1" applyBorder="1" applyAlignment="1">
      <alignment horizontal="center" vertical="center" textRotation="180"/>
    </xf>
    <xf numFmtId="164" fontId="4" fillId="10" borderId="88" xfId="0" applyNumberFormat="1" applyFont="1" applyFill="1" applyBorder="1" applyAlignment="1">
      <alignment horizontal="center" vertical="center" textRotation="180"/>
    </xf>
    <xf numFmtId="164" fontId="4" fillId="10" borderId="87" xfId="0" applyNumberFormat="1" applyFont="1" applyFill="1" applyBorder="1" applyAlignment="1">
      <alignment horizontal="center" vertical="center" textRotation="180"/>
    </xf>
    <xf numFmtId="164" fontId="4" fillId="14" borderId="82" xfId="0" applyNumberFormat="1" applyFont="1" applyFill="1" applyBorder="1" applyAlignment="1">
      <alignment horizontal="center" vertical="center" textRotation="180"/>
    </xf>
    <xf numFmtId="0" fontId="4" fillId="14" borderId="82" xfId="0" applyFont="1" applyFill="1" applyBorder="1" applyAlignment="1">
      <alignment horizontal="center" vertical="center" textRotation="180"/>
    </xf>
    <xf numFmtId="1" fontId="0" fillId="12" borderId="106" xfId="0" applyNumberFormat="1" applyFill="1" applyBorder="1" applyAlignment="1">
      <alignment horizontal="center"/>
    </xf>
    <xf numFmtId="1" fontId="0" fillId="12" borderId="77" xfId="0" applyNumberFormat="1" applyFill="1" applyBorder="1" applyAlignment="1">
      <alignment horizontal="center"/>
    </xf>
    <xf numFmtId="1" fontId="0" fillId="12" borderId="79" xfId="0" applyNumberFormat="1" applyFill="1" applyBorder="1" applyAlignment="1">
      <alignment horizontal="center"/>
    </xf>
    <xf numFmtId="1" fontId="0" fillId="12" borderId="78" xfId="0" applyNumberFormat="1" applyFill="1" applyBorder="1" applyAlignment="1">
      <alignment horizontal="center"/>
    </xf>
    <xf numFmtId="2" fontId="0" fillId="14" borderId="77" xfId="0" applyNumberFormat="1" applyFill="1" applyBorder="1" applyAlignment="1">
      <alignment horizontal="center"/>
    </xf>
    <xf numFmtId="2" fontId="0" fillId="14" borderId="73" xfId="0" applyNumberFormat="1" applyFill="1" applyBorder="1" applyAlignment="1">
      <alignment horizontal="center"/>
    </xf>
    <xf numFmtId="167" fontId="0" fillId="14" borderId="108" xfId="0" applyNumberFormat="1" applyFill="1" applyBorder="1" applyAlignment="1">
      <alignment horizontal="center"/>
    </xf>
    <xf numFmtId="168" fontId="0" fillId="14" borderId="108" xfId="0" applyNumberFormat="1" applyFill="1" applyBorder="1" applyAlignment="1">
      <alignment horizontal="center"/>
    </xf>
    <xf numFmtId="168" fontId="0" fillId="18" borderId="109" xfId="0" applyNumberFormat="1" applyFill="1" applyBorder="1" applyAlignment="1">
      <alignment horizontal="center"/>
    </xf>
    <xf numFmtId="168" fontId="0" fillId="18" borderId="73" xfId="0" applyNumberFormat="1" applyFill="1" applyBorder="1" applyAlignment="1">
      <alignment horizontal="center"/>
    </xf>
    <xf numFmtId="168" fontId="0" fillId="18" borderId="75" xfId="0" applyNumberFormat="1" applyFill="1" applyBorder="1" applyAlignment="1">
      <alignment horizontal="center"/>
    </xf>
    <xf numFmtId="168" fontId="0" fillId="18" borderId="74" xfId="0" applyNumberFormat="1" applyFill="1" applyBorder="1" applyAlignment="1">
      <alignment horizontal="center"/>
    </xf>
    <xf numFmtId="168" fontId="0" fillId="19" borderId="109" xfId="0" applyNumberFormat="1" applyFill="1" applyBorder="1" applyAlignment="1">
      <alignment horizontal="center"/>
    </xf>
    <xf numFmtId="168" fontId="0" fillId="19" borderId="73" xfId="0" applyNumberFormat="1" applyFill="1" applyBorder="1" applyAlignment="1">
      <alignment horizontal="center"/>
    </xf>
    <xf numFmtId="168" fontId="0" fillId="19" borderId="75" xfId="0" applyNumberFormat="1" applyFill="1" applyBorder="1" applyAlignment="1">
      <alignment horizontal="center"/>
    </xf>
    <xf numFmtId="168" fontId="0" fillId="19" borderId="74" xfId="0" applyNumberFormat="1" applyFill="1" applyBorder="1" applyAlignment="1">
      <alignment horizontal="center"/>
    </xf>
    <xf numFmtId="168" fontId="0" fillId="20" borderId="73" xfId="0" applyNumberFormat="1" applyFill="1" applyBorder="1" applyAlignment="1">
      <alignment horizontal="center"/>
    </xf>
    <xf numFmtId="168" fontId="0" fillId="20" borderId="75" xfId="0" applyNumberFormat="1" applyFill="1" applyBorder="1" applyAlignment="1">
      <alignment horizontal="center"/>
    </xf>
    <xf numFmtId="168" fontId="0" fillId="20" borderId="110" xfId="0" applyNumberFormat="1" applyFill="1" applyBorder="1" applyAlignment="1">
      <alignment horizontal="center"/>
    </xf>
    <xf numFmtId="168" fontId="0" fillId="20" borderId="84" xfId="0" applyNumberFormat="1" applyFill="1" applyBorder="1" applyAlignment="1">
      <alignment horizontal="center"/>
    </xf>
    <xf numFmtId="168" fontId="0" fillId="20" borderId="93" xfId="0" applyNumberFormat="1" applyFill="1" applyBorder="1" applyAlignment="1">
      <alignment horizontal="center"/>
    </xf>
    <xf numFmtId="168" fontId="0" fillId="20" borderId="85" xfId="0" applyNumberFormat="1" applyFill="1" applyBorder="1" applyAlignment="1">
      <alignment horizontal="center"/>
    </xf>
    <xf numFmtId="166" fontId="0" fillId="13" borderId="111" xfId="0" applyNumberFormat="1" applyFill="1" applyBorder="1" applyAlignment="1">
      <alignment horizontal="center"/>
    </xf>
    <xf numFmtId="166" fontId="0" fillId="13" borderId="112" xfId="0" applyNumberFormat="1" applyFill="1" applyBorder="1" applyAlignment="1">
      <alignment horizontal="center"/>
    </xf>
    <xf numFmtId="166" fontId="0" fillId="13" borderId="113" xfId="0" applyNumberFormat="1" applyFill="1" applyBorder="1" applyAlignment="1">
      <alignment horizontal="center"/>
    </xf>
    <xf numFmtId="166" fontId="0" fillId="13" borderId="103" xfId="0" applyNumberFormat="1" applyFill="1" applyBorder="1" applyAlignment="1">
      <alignment horizontal="center"/>
    </xf>
    <xf numFmtId="164" fontId="4" fillId="7" borderId="86" xfId="0" applyNumberFormat="1" applyFont="1" applyFill="1" applyBorder="1" applyAlignment="1"/>
    <xf numFmtId="167" fontId="0" fillId="7" borderId="87" xfId="0" applyNumberFormat="1" applyFont="1" applyFill="1" applyBorder="1" applyAlignment="1">
      <alignment horizontal="center"/>
    </xf>
    <xf numFmtId="167" fontId="0" fillId="7" borderId="88" xfId="0" applyNumberFormat="1" applyFont="1" applyFill="1" applyBorder="1" applyAlignment="1">
      <alignment horizontal="center"/>
    </xf>
    <xf numFmtId="1" fontId="0" fillId="12" borderId="51" xfId="0" applyNumberFormat="1" applyFill="1" applyBorder="1" applyAlignment="1">
      <alignment horizontal="center"/>
    </xf>
    <xf numFmtId="1" fontId="0" fillId="12" borderId="114" xfId="0" applyNumberFormat="1" applyFill="1" applyBorder="1" applyAlignment="1">
      <alignment horizontal="center"/>
    </xf>
    <xf numFmtId="1" fontId="0" fillId="12" borderId="52" xfId="0" applyNumberFormat="1" applyFill="1" applyBorder="1" applyAlignment="1">
      <alignment horizontal="center"/>
    </xf>
    <xf numFmtId="1" fontId="0" fillId="12" borderId="91" xfId="0" applyNumberFormat="1" applyFill="1" applyBorder="1" applyAlignment="1">
      <alignment horizontal="center"/>
    </xf>
    <xf numFmtId="168" fontId="0" fillId="18" borderId="90" xfId="0" applyNumberFormat="1" applyFill="1" applyBorder="1" applyAlignment="1">
      <alignment horizontal="center"/>
    </xf>
    <xf numFmtId="166" fontId="0" fillId="13" borderId="106" xfId="0" applyNumberFormat="1" applyFill="1" applyBorder="1" applyAlignment="1">
      <alignment horizontal="center"/>
    </xf>
    <xf numFmtId="166" fontId="0" fillId="13" borderId="77" xfId="0" applyNumberFormat="1" applyFill="1" applyBorder="1" applyAlignment="1">
      <alignment horizontal="center"/>
    </xf>
    <xf numFmtId="166" fontId="0" fillId="13" borderId="108" xfId="0" applyNumberFormat="1" applyFill="1" applyBorder="1" applyAlignment="1">
      <alignment horizontal="center"/>
    </xf>
    <xf numFmtId="166" fontId="0" fillId="13" borderId="118" xfId="0" applyNumberFormat="1" applyFill="1" applyBorder="1" applyAlignment="1">
      <alignment horizontal="center"/>
    </xf>
    <xf numFmtId="166" fontId="0" fillId="13" borderId="119" xfId="0" applyNumberFormat="1" applyFill="1" applyBorder="1" applyAlignment="1">
      <alignment horizontal="center"/>
    </xf>
    <xf numFmtId="166" fontId="0" fillId="13" borderId="120" xfId="0" applyNumberFormat="1" applyFill="1" applyBorder="1" applyAlignment="1">
      <alignment horizontal="center"/>
    </xf>
    <xf numFmtId="166" fontId="0" fillId="13" borderId="116" xfId="0" applyNumberFormat="1" applyFill="1" applyBorder="1" applyAlignment="1">
      <alignment horizontal="center"/>
    </xf>
    <xf numFmtId="166" fontId="13" fillId="10" borderId="95" xfId="0" applyNumberFormat="1" applyFont="1" applyFill="1" applyBorder="1" applyAlignment="1">
      <alignment horizontal="center"/>
    </xf>
    <xf numFmtId="166" fontId="0" fillId="0" borderId="0" xfId="0" applyNumberFormat="1" applyFill="1" applyBorder="1" applyAlignment="1">
      <alignment horizontal="center"/>
    </xf>
    <xf numFmtId="0" fontId="12" fillId="22" borderId="55" xfId="0" applyFont="1" applyFill="1" applyBorder="1" applyAlignment="1"/>
    <xf numFmtId="0" fontId="12" fillId="22" borderId="66" xfId="0" applyFont="1" applyFill="1" applyBorder="1" applyAlignment="1"/>
    <xf numFmtId="167" fontId="13" fillId="23" borderId="123" xfId="0" applyNumberFormat="1" applyFont="1" applyFill="1" applyBorder="1" applyAlignment="1">
      <alignment horizontal="center"/>
    </xf>
    <xf numFmtId="0" fontId="12" fillId="22" borderId="66" xfId="0" applyFont="1" applyFill="1" applyBorder="1"/>
    <xf numFmtId="0" fontId="13" fillId="22" borderId="66" xfId="0" applyFont="1" applyFill="1" applyBorder="1"/>
    <xf numFmtId="167" fontId="13" fillId="22" borderId="66" xfId="0" applyNumberFormat="1" applyFont="1" applyFill="1" applyBorder="1" applyAlignment="1">
      <alignment horizontal="left"/>
    </xf>
    <xf numFmtId="0" fontId="12" fillId="22" borderId="124" xfId="0" applyFont="1" applyFill="1" applyBorder="1"/>
    <xf numFmtId="168" fontId="13" fillId="23" borderId="66" xfId="0" applyNumberFormat="1" applyFont="1" applyFill="1" applyBorder="1" applyAlignment="1">
      <alignment horizontal="center"/>
    </xf>
    <xf numFmtId="2" fontId="13" fillId="22" borderId="66" xfId="0" applyNumberFormat="1" applyFont="1" applyFill="1" applyBorder="1" applyAlignment="1">
      <alignment horizontal="left"/>
    </xf>
    <xf numFmtId="167" fontId="13" fillId="22" borderId="56" xfId="0" applyNumberFormat="1" applyFont="1" applyFill="1" applyBorder="1" applyAlignment="1">
      <alignment horizontal="left"/>
    </xf>
    <xf numFmtId="167" fontId="0" fillId="7" borderId="108" xfId="0" applyNumberFormat="1" applyFill="1" applyBorder="1" applyAlignment="1">
      <alignment horizontal="center"/>
    </xf>
    <xf numFmtId="0" fontId="0" fillId="0" borderId="0" xfId="0" applyAlignment="1"/>
    <xf numFmtId="1" fontId="16" fillId="24" borderId="126" xfId="0" applyNumberFormat="1" applyFont="1" applyFill="1" applyBorder="1" applyAlignment="1">
      <alignment horizontal="right" vertical="center"/>
    </xf>
    <xf numFmtId="0" fontId="0" fillId="24" borderId="30" xfId="0" applyFill="1" applyBorder="1" applyAlignment="1">
      <alignment horizontal="center"/>
    </xf>
    <xf numFmtId="0" fontId="0" fillId="12" borderId="30" xfId="0" applyFill="1" applyBorder="1" applyAlignment="1">
      <alignment horizontal="center"/>
    </xf>
    <xf numFmtId="0" fontId="0" fillId="19" borderId="30" xfId="0" applyFill="1" applyBorder="1" applyAlignment="1">
      <alignment horizontal="center"/>
    </xf>
    <xf numFmtId="0" fontId="0" fillId="19" borderId="131" xfId="0" applyFill="1" applyBorder="1" applyAlignment="1">
      <alignment horizontal="center"/>
    </xf>
    <xf numFmtId="0" fontId="13" fillId="22" borderId="37" xfId="0" applyFont="1" applyFill="1" applyBorder="1" applyAlignment="1">
      <alignment horizontal="left"/>
    </xf>
    <xf numFmtId="0" fontId="13" fillId="22" borderId="37" xfId="0" applyFont="1" applyFill="1" applyBorder="1" applyAlignment="1"/>
    <xf numFmtId="165" fontId="0" fillId="24" borderId="30" xfId="0" applyNumberFormat="1" applyFill="1" applyBorder="1" applyAlignment="1">
      <alignment horizontal="center"/>
    </xf>
    <xf numFmtId="165" fontId="0" fillId="12" borderId="30" xfId="0" applyNumberFormat="1" applyFill="1" applyBorder="1" applyAlignment="1">
      <alignment horizontal="center"/>
    </xf>
    <xf numFmtId="0" fontId="13" fillId="19" borderId="30" xfId="0" applyFont="1" applyFill="1" applyBorder="1" applyAlignment="1">
      <alignment horizontal="left"/>
    </xf>
    <xf numFmtId="165" fontId="0" fillId="19" borderId="30" xfId="0" applyNumberFormat="1" applyFill="1" applyBorder="1" applyAlignment="1">
      <alignment horizontal="center"/>
    </xf>
    <xf numFmtId="165" fontId="0" fillId="19" borderId="131" xfId="0" applyNumberFormat="1" applyFill="1" applyBorder="1" applyAlignment="1">
      <alignment horizontal="center"/>
    </xf>
    <xf numFmtId="0" fontId="13" fillId="22" borderId="39" xfId="0" applyFont="1" applyFill="1" applyBorder="1" applyAlignment="1">
      <alignment horizontal="left"/>
    </xf>
    <xf numFmtId="0" fontId="13" fillId="22" borderId="39" xfId="0" applyFont="1" applyFill="1" applyBorder="1" applyAlignment="1"/>
    <xf numFmtId="165" fontId="0" fillId="25" borderId="3" xfId="0" applyNumberFormat="1" applyFill="1" applyBorder="1" applyAlignment="1">
      <alignment horizontal="center"/>
    </xf>
    <xf numFmtId="165" fontId="0" fillId="12" borderId="3" xfId="0" applyNumberFormat="1" applyFill="1" applyBorder="1" applyAlignment="1">
      <alignment horizontal="center"/>
    </xf>
    <xf numFmtId="0" fontId="13" fillId="19" borderId="3" xfId="0" applyFont="1" applyFill="1" applyBorder="1" applyAlignment="1">
      <alignment horizontal="left"/>
    </xf>
    <xf numFmtId="165" fontId="0" fillId="19" borderId="3" xfId="0" applyNumberFormat="1" applyFill="1" applyBorder="1" applyAlignment="1">
      <alignment horizontal="center"/>
    </xf>
    <xf numFmtId="166" fontId="0" fillId="0" borderId="0" xfId="0" applyNumberFormat="1"/>
    <xf numFmtId="0" fontId="4" fillId="0" borderId="0" xfId="0" applyFont="1" applyFill="1" applyBorder="1" applyAlignment="1">
      <alignment horizontal="center" vertical="center"/>
    </xf>
    <xf numFmtId="166" fontId="0" fillId="0" borderId="5" xfId="0" applyNumberFormat="1" applyFill="1" applyBorder="1" applyAlignment="1">
      <alignment horizontal="center"/>
    </xf>
    <xf numFmtId="168" fontId="0" fillId="20" borderId="74" xfId="0" applyNumberFormat="1" applyFill="1" applyBorder="1" applyAlignment="1">
      <alignment horizontal="center"/>
    </xf>
    <xf numFmtId="166" fontId="13" fillId="10" borderId="87" xfId="0" applyNumberFormat="1" applyFont="1" applyFill="1" applyBorder="1" applyAlignment="1">
      <alignment horizontal="center"/>
    </xf>
    <xf numFmtId="169" fontId="0" fillId="21" borderId="88" xfId="0" applyNumberFormat="1" applyFill="1" applyBorder="1" applyAlignment="1">
      <alignment horizontal="center"/>
    </xf>
    <xf numFmtId="169" fontId="0" fillId="0" borderId="122" xfId="0" applyNumberFormat="1" applyFill="1" applyBorder="1" applyAlignment="1">
      <alignment horizontal="center"/>
    </xf>
    <xf numFmtId="2" fontId="0" fillId="7" borderId="85" xfId="0" applyNumberFormat="1" applyFill="1" applyBorder="1" applyAlignment="1">
      <alignment horizontal="center"/>
    </xf>
    <xf numFmtId="2" fontId="0" fillId="7" borderId="84" xfId="0" applyNumberFormat="1" applyFill="1" applyBorder="1" applyAlignment="1">
      <alignment horizontal="center"/>
    </xf>
    <xf numFmtId="2" fontId="0" fillId="12" borderId="135" xfId="0" applyNumberFormat="1" applyFill="1" applyBorder="1" applyAlignment="1">
      <alignment horizontal="center"/>
    </xf>
    <xf numFmtId="2" fontId="0" fillId="17" borderId="135" xfId="0" applyNumberFormat="1" applyFill="1" applyBorder="1" applyAlignment="1">
      <alignment horizontal="center"/>
    </xf>
    <xf numFmtId="164" fontId="4" fillId="9" borderId="114" xfId="0" applyNumberFormat="1" applyFont="1" applyFill="1" applyBorder="1" applyAlignment="1">
      <alignment horizontal="center" textRotation="90"/>
    </xf>
    <xf numFmtId="164" fontId="4" fillId="9" borderId="94" xfId="0" applyNumberFormat="1" applyFont="1" applyFill="1" applyBorder="1" applyAlignment="1">
      <alignment horizontal="center" textRotation="90"/>
    </xf>
    <xf numFmtId="164" fontId="4" fillId="11" borderId="114" xfId="0" applyNumberFormat="1" applyFont="1" applyFill="1" applyBorder="1" applyAlignment="1">
      <alignment horizontal="center" textRotation="90"/>
    </xf>
    <xf numFmtId="164" fontId="4" fillId="11" borderId="101" xfId="0" applyNumberFormat="1" applyFont="1" applyFill="1" applyBorder="1" applyAlignment="1">
      <alignment horizontal="center" textRotation="90"/>
    </xf>
    <xf numFmtId="164" fontId="4" fillId="2" borderId="114" xfId="0" applyNumberFormat="1" applyFont="1" applyFill="1" applyBorder="1" applyAlignment="1">
      <alignment horizontal="center" textRotation="90"/>
    </xf>
    <xf numFmtId="164" fontId="4" fillId="2" borderId="101" xfId="0" applyNumberFormat="1" applyFont="1" applyFill="1" applyBorder="1" applyAlignment="1">
      <alignment horizontal="center" textRotation="90"/>
    </xf>
    <xf numFmtId="164" fontId="4" fillId="8" borderId="114" xfId="0" applyNumberFormat="1" applyFont="1" applyFill="1" applyBorder="1" applyAlignment="1">
      <alignment horizontal="center" textRotation="90"/>
    </xf>
    <xf numFmtId="164" fontId="4" fillId="10" borderId="94" xfId="0" applyNumberFormat="1" applyFont="1" applyFill="1" applyBorder="1" applyAlignment="1">
      <alignment horizontal="center" textRotation="90"/>
    </xf>
    <xf numFmtId="164" fontId="4" fillId="10" borderId="114" xfId="0" applyNumberFormat="1" applyFont="1" applyFill="1" applyBorder="1" applyAlignment="1">
      <alignment horizontal="center" textRotation="90"/>
    </xf>
    <xf numFmtId="164" fontId="4" fillId="14" borderId="94" xfId="0" applyNumberFormat="1" applyFont="1" applyFill="1" applyBorder="1" applyAlignment="1">
      <alignment horizontal="center" textRotation="90"/>
    </xf>
    <xf numFmtId="0" fontId="4" fillId="14" borderId="52" xfId="0" applyFont="1" applyFill="1" applyBorder="1" applyAlignment="1">
      <alignment horizontal="center" textRotation="90"/>
    </xf>
    <xf numFmtId="1" fontId="0" fillId="0" borderId="71" xfId="0" applyNumberFormat="1" applyBorder="1" applyAlignment="1">
      <alignment horizontal="center"/>
    </xf>
    <xf numFmtId="2" fontId="0" fillId="0" borderId="89" xfId="0" applyNumberFormat="1" applyBorder="1" applyAlignment="1">
      <alignment horizontal="center"/>
    </xf>
    <xf numFmtId="2" fontId="0" fillId="0" borderId="72" xfId="0" applyNumberFormat="1" applyBorder="1" applyAlignment="1">
      <alignment horizontal="center"/>
    </xf>
    <xf numFmtId="2" fontId="0" fillId="12" borderId="91" xfId="0" applyNumberFormat="1" applyFill="1" applyBorder="1" applyAlignment="1">
      <alignment horizontal="center"/>
    </xf>
    <xf numFmtId="2" fontId="0" fillId="12" borderId="79" xfId="0" applyNumberFormat="1" applyFill="1" applyBorder="1" applyAlignment="1">
      <alignment horizontal="center"/>
    </xf>
    <xf numFmtId="0" fontId="13" fillId="24" borderId="37" xfId="0" applyFont="1" applyFill="1" applyBorder="1" applyAlignment="1">
      <alignment horizontal="left"/>
    </xf>
    <xf numFmtId="0" fontId="13" fillId="24" borderId="39" xfId="0" applyFont="1" applyFill="1" applyBorder="1" applyAlignment="1">
      <alignment horizontal="left"/>
    </xf>
    <xf numFmtId="0" fontId="13" fillId="12" borderId="130" xfId="0" applyFont="1" applyFill="1" applyBorder="1" applyAlignment="1">
      <alignment horizontal="left"/>
    </xf>
    <xf numFmtId="0" fontId="13" fillId="12" borderId="26" xfId="0" applyFont="1" applyFill="1" applyBorder="1" applyAlignment="1">
      <alignment horizontal="left"/>
    </xf>
    <xf numFmtId="0" fontId="0" fillId="24" borderId="2" xfId="0" applyFill="1" applyBorder="1" applyAlignment="1">
      <alignment horizontal="center"/>
    </xf>
    <xf numFmtId="165" fontId="0" fillId="24" borderId="136" xfId="0" applyNumberFormat="1" applyFill="1" applyBorder="1" applyAlignment="1">
      <alignment horizontal="center"/>
    </xf>
    <xf numFmtId="165" fontId="0" fillId="24" borderId="137" xfId="0" applyNumberFormat="1" applyFill="1" applyBorder="1" applyAlignment="1">
      <alignment horizontal="center"/>
    </xf>
    <xf numFmtId="165" fontId="0" fillId="24" borderId="138" xfId="0" applyNumberFormat="1" applyFill="1" applyBorder="1" applyAlignment="1">
      <alignment horizontal="center"/>
    </xf>
    <xf numFmtId="165" fontId="0" fillId="24" borderId="139" xfId="0" applyNumberFormat="1" applyFill="1" applyBorder="1" applyAlignment="1">
      <alignment horizontal="center"/>
    </xf>
    <xf numFmtId="165" fontId="0" fillId="24" borderId="140" xfId="0" applyNumberFormat="1" applyFill="1" applyBorder="1" applyAlignment="1">
      <alignment horizontal="center"/>
    </xf>
    <xf numFmtId="165" fontId="0" fillId="24" borderId="141" xfId="0" applyNumberFormat="1" applyFill="1" applyBorder="1" applyAlignment="1">
      <alignment horizontal="center"/>
    </xf>
    <xf numFmtId="165" fontId="0" fillId="24" borderId="142" xfId="0" applyNumberFormat="1" applyFill="1" applyBorder="1" applyAlignment="1">
      <alignment horizontal="center"/>
    </xf>
    <xf numFmtId="167" fontId="0" fillId="22" borderId="30" xfId="0" applyNumberFormat="1" applyFill="1" applyBorder="1"/>
    <xf numFmtId="0" fontId="0" fillId="22" borderId="144" xfId="0" applyFill="1" applyBorder="1" applyAlignment="1">
      <alignment horizontal="center"/>
    </xf>
    <xf numFmtId="167" fontId="0" fillId="22" borderId="131" xfId="0" applyNumberFormat="1" applyFill="1" applyBorder="1" applyAlignment="1">
      <alignment horizontal="right"/>
    </xf>
    <xf numFmtId="168" fontId="0" fillId="22" borderId="131" xfId="0" applyNumberFormat="1" applyFill="1" applyBorder="1" applyAlignment="1">
      <alignment horizontal="right"/>
    </xf>
    <xf numFmtId="167" fontId="0" fillId="22" borderId="3" xfId="0" applyNumberFormat="1" applyFill="1" applyBorder="1"/>
    <xf numFmtId="167" fontId="0" fillId="22" borderId="133" xfId="0" applyNumberFormat="1" applyFill="1" applyBorder="1" applyAlignment="1">
      <alignment horizontal="right"/>
    </xf>
    <xf numFmtId="0" fontId="17" fillId="0" borderId="0" xfId="0" applyFont="1"/>
    <xf numFmtId="4" fontId="4" fillId="5" borderId="16" xfId="0" applyNumberFormat="1" applyFont="1" applyFill="1" applyBorder="1" applyAlignment="1">
      <alignment horizontal="center"/>
    </xf>
    <xf numFmtId="4" fontId="4" fillId="5" borderId="1" xfId="0" applyNumberFormat="1" applyFont="1" applyFill="1" applyBorder="1" applyAlignment="1">
      <alignment horizontal="center"/>
    </xf>
    <xf numFmtId="4" fontId="4" fillId="5" borderId="36" xfId="0" applyNumberFormat="1" applyFont="1" applyFill="1" applyBorder="1" applyAlignment="1">
      <alignment horizontal="center"/>
    </xf>
    <xf numFmtId="165" fontId="4" fillId="6" borderId="31" xfId="0" applyNumberFormat="1" applyFont="1" applyFill="1" applyBorder="1" applyAlignment="1">
      <alignment horizontal="center"/>
    </xf>
    <xf numFmtId="165" fontId="4" fillId="6" borderId="30" xfId="0" applyNumberFormat="1" applyFont="1" applyFill="1" applyBorder="1" applyAlignment="1">
      <alignment horizontal="center"/>
    </xf>
    <xf numFmtId="165" fontId="4" fillId="6" borderId="37" xfId="0" applyNumberFormat="1" applyFont="1" applyFill="1" applyBorder="1" applyAlignment="1">
      <alignment horizontal="center"/>
    </xf>
    <xf numFmtId="165" fontId="4" fillId="4" borderId="33" xfId="0" applyNumberFormat="1" applyFont="1" applyFill="1" applyBorder="1" applyAlignment="1">
      <alignment horizontal="center"/>
    </xf>
    <xf numFmtId="165" fontId="4" fillId="4" borderId="34" xfId="0" applyNumberFormat="1" applyFont="1" applyFill="1" applyBorder="1" applyAlignment="1">
      <alignment horizontal="center"/>
    </xf>
    <xf numFmtId="165" fontId="4" fillId="4" borderId="38" xfId="0" applyNumberFormat="1" applyFont="1" applyFill="1" applyBorder="1" applyAlignment="1">
      <alignment horizontal="center"/>
    </xf>
    <xf numFmtId="4" fontId="4" fillId="5" borderId="17" xfId="0" applyNumberFormat="1" applyFont="1" applyFill="1" applyBorder="1" applyAlignment="1">
      <alignment horizontal="center"/>
    </xf>
    <xf numFmtId="165" fontId="4" fillId="6" borderId="32" xfId="0" applyNumberFormat="1" applyFont="1" applyFill="1" applyBorder="1" applyAlignment="1">
      <alignment horizontal="center"/>
    </xf>
    <xf numFmtId="165" fontId="4" fillId="4" borderId="35" xfId="0" applyNumberFormat="1" applyFont="1" applyFill="1" applyBorder="1" applyAlignment="1">
      <alignment horizontal="center"/>
    </xf>
    <xf numFmtId="4" fontId="4" fillId="5" borderId="18" xfId="0" applyNumberFormat="1" applyFont="1" applyFill="1" applyBorder="1" applyAlignment="1">
      <alignment horizontal="center"/>
    </xf>
    <xf numFmtId="165" fontId="4" fillId="6" borderId="42" xfId="0" applyNumberFormat="1" applyFont="1" applyFill="1" applyBorder="1" applyAlignment="1">
      <alignment horizontal="center"/>
    </xf>
    <xf numFmtId="165" fontId="4" fillId="4" borderId="44" xfId="0" applyNumberFormat="1" applyFont="1" applyFill="1" applyBorder="1" applyAlignment="1">
      <alignment horizontal="center"/>
    </xf>
    <xf numFmtId="4" fontId="4" fillId="7" borderId="18" xfId="0" applyNumberFormat="1" applyFont="1" applyFill="1" applyBorder="1" applyAlignment="1">
      <alignment horizontal="center" vertical="center"/>
    </xf>
    <xf numFmtId="2" fontId="0" fillId="7" borderId="44" xfId="0" applyNumberFormat="1" applyFill="1" applyBorder="1" applyAlignment="1">
      <alignment horizontal="center"/>
    </xf>
    <xf numFmtId="165" fontId="4" fillId="4" borderId="145" xfId="0" applyNumberFormat="1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vertical="center" wrapText="1"/>
    </xf>
    <xf numFmtId="0" fontId="13" fillId="0" borderId="0" xfId="0" applyFont="1" applyBorder="1" applyAlignment="1">
      <alignment vertical="center" wrapText="1"/>
    </xf>
    <xf numFmtId="0" fontId="9" fillId="2" borderId="49" xfId="0" applyFont="1" applyFill="1" applyBorder="1" applyAlignment="1">
      <alignment horizontal="center" vertical="center" wrapText="1"/>
    </xf>
    <xf numFmtId="0" fontId="9" fillId="26" borderId="46" xfId="0" applyFont="1" applyFill="1" applyBorder="1" applyAlignment="1">
      <alignment horizontal="center" vertical="center" wrapText="1"/>
    </xf>
    <xf numFmtId="165" fontId="9" fillId="26" borderId="47" xfId="0" applyNumberFormat="1" applyFont="1" applyFill="1" applyBorder="1" applyAlignment="1">
      <alignment horizontal="center" vertical="center"/>
    </xf>
    <xf numFmtId="0" fontId="9" fillId="26" borderId="41" xfId="0" applyFont="1" applyFill="1" applyBorder="1" applyAlignment="1">
      <alignment horizontal="center" vertical="center" wrapText="1"/>
    </xf>
    <xf numFmtId="165" fontId="9" fillId="26" borderId="48" xfId="0" applyNumberFormat="1" applyFont="1" applyFill="1" applyBorder="1" applyAlignment="1">
      <alignment horizontal="center" vertical="center"/>
    </xf>
    <xf numFmtId="0" fontId="9" fillId="26" borderId="51" xfId="0" applyFont="1" applyFill="1" applyBorder="1" applyAlignment="1">
      <alignment horizontal="center" vertical="center" wrapText="1"/>
    </xf>
    <xf numFmtId="165" fontId="9" fillId="26" borderId="52" xfId="0" applyNumberFormat="1" applyFont="1" applyFill="1" applyBorder="1" applyAlignment="1">
      <alignment horizontal="center" vertical="center"/>
    </xf>
    <xf numFmtId="0" fontId="0" fillId="0" borderId="98" xfId="0" applyBorder="1"/>
    <xf numFmtId="165" fontId="10" fillId="0" borderId="10" xfId="0" applyNumberFormat="1" applyFont="1" applyFill="1" applyBorder="1" applyAlignment="1">
      <alignment horizontal="center" vertical="center"/>
    </xf>
    <xf numFmtId="165" fontId="4" fillId="0" borderId="10" xfId="0" applyNumberFormat="1" applyFont="1" applyFill="1" applyBorder="1" applyAlignment="1">
      <alignment horizontal="center" vertical="center"/>
    </xf>
    <xf numFmtId="0" fontId="9" fillId="2" borderId="53" xfId="0" applyFont="1" applyFill="1" applyBorder="1" applyAlignment="1">
      <alignment horizontal="center" vertical="center" wrapText="1"/>
    </xf>
    <xf numFmtId="4" fontId="9" fillId="2" borderId="54" xfId="0" applyNumberFormat="1" applyFont="1" applyFill="1" applyBorder="1" applyAlignment="1">
      <alignment horizontal="center" vertical="center"/>
    </xf>
    <xf numFmtId="165" fontId="9" fillId="2" borderId="54" xfId="0" applyNumberFormat="1" applyFont="1" applyFill="1" applyBorder="1" applyAlignment="1">
      <alignment horizontal="center" vertical="center"/>
    </xf>
    <xf numFmtId="165" fontId="9" fillId="2" borderId="50" xfId="0" applyNumberFormat="1" applyFont="1" applyFill="1" applyBorder="1" applyAlignment="1">
      <alignment horizontal="center" vertical="center"/>
    </xf>
    <xf numFmtId="165" fontId="4" fillId="4" borderId="57" xfId="0" applyNumberFormat="1" applyFont="1" applyFill="1" applyBorder="1" applyAlignment="1">
      <alignment horizontal="center" vertical="center"/>
    </xf>
    <xf numFmtId="0" fontId="2" fillId="0" borderId="146" xfId="0" applyFont="1" applyBorder="1" applyAlignment="1">
      <alignment horizontal="center" vertical="center"/>
    </xf>
    <xf numFmtId="0" fontId="0" fillId="22" borderId="4" xfId="0" applyFill="1" applyBorder="1" applyAlignment="1">
      <alignment horizontal="center"/>
    </xf>
    <xf numFmtId="0" fontId="4" fillId="22" borderId="90" xfId="0" applyFont="1" applyFill="1" applyBorder="1" applyAlignment="1">
      <alignment horizontal="left"/>
    </xf>
    <xf numFmtId="0" fontId="4" fillId="22" borderId="130" xfId="0" applyFont="1" applyFill="1" applyBorder="1" applyAlignment="1">
      <alignment horizontal="left"/>
    </xf>
    <xf numFmtId="0" fontId="16" fillId="22" borderId="126" xfId="0" applyFont="1" applyFill="1" applyBorder="1" applyAlignment="1">
      <alignment horizontal="center"/>
    </xf>
    <xf numFmtId="0" fontId="16" fillId="22" borderId="128" xfId="0" applyFont="1" applyFill="1" applyBorder="1" applyAlignment="1">
      <alignment horizontal="center"/>
    </xf>
    <xf numFmtId="0" fontId="0" fillId="0" borderId="62" xfId="0" applyBorder="1"/>
    <xf numFmtId="0" fontId="0" fillId="0" borderId="0" xfId="0" applyBorder="1" applyAlignment="1">
      <alignment vertical="center"/>
    </xf>
    <xf numFmtId="170" fontId="4" fillId="6" borderId="42" xfId="0" applyNumberFormat="1" applyFont="1" applyFill="1" applyBorder="1" applyAlignment="1">
      <alignment horizontal="center"/>
    </xf>
    <xf numFmtId="0" fontId="0" fillId="22" borderId="4" xfId="0" applyFill="1" applyBorder="1" applyAlignment="1">
      <alignment horizontal="center"/>
    </xf>
    <xf numFmtId="0" fontId="0" fillId="0" borderId="15" xfId="0" applyBorder="1" applyAlignment="1">
      <alignment horizontal="center" vertical="center"/>
    </xf>
    <xf numFmtId="0" fontId="4" fillId="22" borderId="90" xfId="0" applyFont="1" applyFill="1" applyBorder="1" applyAlignment="1">
      <alignment horizontal="left"/>
    </xf>
    <xf numFmtId="0" fontId="4" fillId="22" borderId="130" xfId="0" applyFont="1" applyFill="1" applyBorder="1" applyAlignment="1">
      <alignment horizontal="left"/>
    </xf>
    <xf numFmtId="0" fontId="16" fillId="22" borderId="126" xfId="0" applyFont="1" applyFill="1" applyBorder="1" applyAlignment="1">
      <alignment horizontal="center"/>
    </xf>
    <xf numFmtId="0" fontId="16" fillId="22" borderId="128" xfId="0" applyFont="1" applyFill="1" applyBorder="1" applyAlignment="1">
      <alignment horizontal="center"/>
    </xf>
    <xf numFmtId="0" fontId="0" fillId="0" borderId="0" xfId="0" applyFill="1" applyBorder="1"/>
    <xf numFmtId="167" fontId="0" fillId="0" borderId="0" xfId="0" applyNumberFormat="1" applyFill="1" applyBorder="1"/>
    <xf numFmtId="167" fontId="0" fillId="0" borderId="0" xfId="0" applyNumberFormat="1" applyFill="1" applyBorder="1" applyAlignment="1">
      <alignment horizontal="right"/>
    </xf>
    <xf numFmtId="0" fontId="0" fillId="0" borderId="96" xfId="0" applyBorder="1"/>
    <xf numFmtId="167" fontId="0" fillId="22" borderId="2" xfId="0" applyNumberFormat="1" applyFill="1" applyBorder="1"/>
    <xf numFmtId="167" fontId="0" fillId="22" borderId="150" xfId="0" applyNumberFormat="1" applyFill="1" applyBorder="1" applyAlignment="1">
      <alignment horizontal="right"/>
    </xf>
    <xf numFmtId="0" fontId="0" fillId="0" borderId="0" xfId="0" applyFill="1"/>
    <xf numFmtId="0" fontId="0" fillId="0" borderId="95" xfId="0" applyFill="1" applyBorder="1"/>
    <xf numFmtId="165" fontId="0" fillId="0" borderId="70" xfId="0" applyNumberFormat="1" applyBorder="1" applyAlignment="1">
      <alignment horizontal="center"/>
    </xf>
    <xf numFmtId="165" fontId="0" fillId="0" borderId="73" xfId="0" applyNumberFormat="1" applyBorder="1" applyAlignment="1">
      <alignment horizontal="center"/>
    </xf>
    <xf numFmtId="165" fontId="0" fillId="0" borderId="77" xfId="0" applyNumberFormat="1" applyBorder="1" applyAlignment="1">
      <alignment horizontal="center"/>
    </xf>
    <xf numFmtId="165" fontId="4" fillId="2" borderId="82" xfId="0" applyNumberFormat="1" applyFont="1" applyFill="1" applyBorder="1" applyAlignment="1">
      <alignment horizontal="center"/>
    </xf>
    <xf numFmtId="0" fontId="4" fillId="2" borderId="151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8" fillId="0" borderId="0" xfId="0" applyFont="1"/>
    <xf numFmtId="165" fontId="0" fillId="24" borderId="143" xfId="0" applyNumberFormat="1" applyFill="1" applyBorder="1" applyAlignment="1">
      <alignment horizontal="center"/>
    </xf>
    <xf numFmtId="165" fontId="0" fillId="19" borderId="133" xfId="0" applyNumberFormat="1" applyFill="1" applyBorder="1" applyAlignment="1">
      <alignment horizontal="center"/>
    </xf>
    <xf numFmtId="0" fontId="0" fillId="0" borderId="156" xfId="0" applyBorder="1" applyAlignment="1">
      <alignment horizontal="center" vertical="center" wrapText="1"/>
    </xf>
    <xf numFmtId="165" fontId="0" fillId="0" borderId="157" xfId="0" applyNumberFormat="1" applyBorder="1" applyAlignment="1">
      <alignment horizontal="center"/>
    </xf>
    <xf numFmtId="165" fontId="0" fillId="0" borderId="158" xfId="0" applyNumberFormat="1" applyBorder="1" applyAlignment="1">
      <alignment horizontal="center"/>
    </xf>
    <xf numFmtId="165" fontId="0" fillId="0" borderId="159" xfId="0" applyNumberFormat="1" applyBorder="1" applyAlignment="1">
      <alignment horizontal="center"/>
    </xf>
    <xf numFmtId="0" fontId="0" fillId="0" borderId="131" xfId="0" applyBorder="1" applyAlignment="1">
      <alignment horizontal="center" vertical="center" wrapText="1"/>
    </xf>
    <xf numFmtId="165" fontId="0" fillId="0" borderId="75" xfId="0" applyNumberFormat="1" applyBorder="1" applyAlignment="1">
      <alignment horizontal="center"/>
    </xf>
    <xf numFmtId="165" fontId="0" fillId="0" borderId="74" xfId="0" applyNumberFormat="1" applyBorder="1" applyAlignment="1">
      <alignment horizontal="center"/>
    </xf>
    <xf numFmtId="165" fontId="0" fillId="0" borderId="161" xfId="0" applyNumberFormat="1" applyBorder="1" applyAlignment="1">
      <alignment horizontal="center"/>
    </xf>
    <xf numFmtId="0" fontId="0" fillId="0" borderId="150" xfId="0" applyBorder="1" applyAlignment="1">
      <alignment horizontal="center" vertical="center" wrapText="1"/>
    </xf>
    <xf numFmtId="165" fontId="0" fillId="0" borderId="79" xfId="0" applyNumberFormat="1" applyBorder="1" applyAlignment="1">
      <alignment horizontal="center"/>
    </xf>
    <xf numFmtId="0" fontId="0" fillId="27" borderId="156" xfId="0" applyFill="1" applyBorder="1" applyAlignment="1">
      <alignment horizontal="center" vertical="center" wrapText="1"/>
    </xf>
    <xf numFmtId="165" fontId="0" fillId="27" borderId="71" xfId="0" applyNumberFormat="1" applyFill="1" applyBorder="1" applyAlignment="1">
      <alignment horizontal="center"/>
    </xf>
    <xf numFmtId="165" fontId="0" fillId="27" borderId="162" xfId="0" applyNumberFormat="1" applyFill="1" applyBorder="1" applyAlignment="1">
      <alignment horizontal="center"/>
    </xf>
    <xf numFmtId="0" fontId="0" fillId="27" borderId="150" xfId="0" applyFill="1" applyBorder="1" applyAlignment="1">
      <alignment horizontal="center" vertical="center" wrapText="1"/>
    </xf>
    <xf numFmtId="165" fontId="0" fillId="27" borderId="78" xfId="0" applyNumberFormat="1" applyFill="1" applyBorder="1" applyAlignment="1">
      <alignment horizontal="center"/>
    </xf>
    <xf numFmtId="165" fontId="0" fillId="27" borderId="163" xfId="0" applyNumberFormat="1" applyFill="1" applyBorder="1" applyAlignment="1">
      <alignment horizontal="center"/>
    </xf>
    <xf numFmtId="0" fontId="0" fillId="27" borderId="81" xfId="0" applyFill="1" applyBorder="1" applyAlignment="1">
      <alignment horizontal="center" vertical="center" wrapText="1"/>
    </xf>
    <xf numFmtId="171" fontId="0" fillId="27" borderId="165" xfId="0" applyNumberFormat="1" applyFill="1" applyBorder="1" applyAlignment="1">
      <alignment horizontal="center"/>
    </xf>
    <xf numFmtId="171" fontId="0" fillId="27" borderId="166" xfId="0" applyNumberFormat="1" applyFill="1" applyBorder="1" applyAlignment="1">
      <alignment horizontal="center"/>
    </xf>
    <xf numFmtId="3" fontId="0" fillId="0" borderId="77" xfId="0" applyNumberFormat="1" applyBorder="1" applyAlignment="1">
      <alignment horizontal="center"/>
    </xf>
    <xf numFmtId="3" fontId="0" fillId="0" borderId="79" xfId="0" applyNumberFormat="1" applyBorder="1" applyAlignment="1">
      <alignment horizontal="center"/>
    </xf>
    <xf numFmtId="3" fontId="0" fillId="0" borderId="80" xfId="0" applyNumberFormat="1" applyBorder="1" applyAlignment="1">
      <alignment horizontal="center"/>
    </xf>
    <xf numFmtId="3" fontId="0" fillId="0" borderId="135" xfId="0" applyNumberFormat="1" applyBorder="1" applyAlignment="1">
      <alignment horizontal="center"/>
    </xf>
    <xf numFmtId="166" fontId="0" fillId="10" borderId="88" xfId="0" applyNumberFormat="1" applyFill="1" applyBorder="1" applyAlignment="1">
      <alignment horizontal="center"/>
    </xf>
    <xf numFmtId="166" fontId="0" fillId="10" borderId="101" xfId="0" applyNumberFormat="1" applyFill="1" applyBorder="1" applyAlignment="1">
      <alignment horizontal="center"/>
    </xf>
    <xf numFmtId="0" fontId="19" fillId="0" borderId="0" xfId="0" applyFont="1"/>
    <xf numFmtId="0" fontId="0" fillId="0" borderId="0" xfId="0" applyAlignment="1" applyProtection="1">
      <alignment horizontal="right" vertical="center"/>
    </xf>
    <xf numFmtId="0" fontId="1" fillId="2" borderId="0" xfId="0" applyFont="1" applyFill="1" applyProtection="1"/>
    <xf numFmtId="0" fontId="0" fillId="0" borderId="0" xfId="0" applyProtection="1"/>
    <xf numFmtId="0" fontId="2" fillId="0" borderId="0" xfId="0" applyFont="1" applyBorder="1" applyAlignment="1" applyProtection="1">
      <alignment horizontal="center" vertical="center"/>
    </xf>
    <xf numFmtId="0" fontId="0" fillId="0" borderId="0" xfId="0" applyBorder="1" applyAlignment="1" applyProtection="1"/>
    <xf numFmtId="0" fontId="0" fillId="3" borderId="0" xfId="0" applyFill="1" applyProtection="1"/>
    <xf numFmtId="164" fontId="0" fillId="0" borderId="0" xfId="0" applyNumberFormat="1" applyFill="1" applyProtection="1"/>
    <xf numFmtId="164" fontId="0" fillId="0" borderId="0" xfId="0" applyNumberFormat="1" applyFill="1" applyBorder="1" applyProtection="1"/>
    <xf numFmtId="0" fontId="18" fillId="0" borderId="0" xfId="0" applyFont="1" applyFill="1" applyProtection="1"/>
    <xf numFmtId="164" fontId="0" fillId="0" borderId="0" xfId="0" applyNumberFormat="1" applyProtection="1"/>
    <xf numFmtId="0" fontId="0" fillId="3" borderId="16" xfId="0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center" vertical="center"/>
    </xf>
    <xf numFmtId="0" fontId="1" fillId="2" borderId="17" xfId="0" applyFont="1" applyFill="1" applyBorder="1" applyAlignment="1" applyProtection="1">
      <alignment horizontal="center" vertical="center"/>
    </xf>
    <xf numFmtId="0" fontId="0" fillId="2" borderId="16" xfId="0" applyFill="1" applyBorder="1" applyAlignment="1" applyProtection="1">
      <alignment horizontal="center" vertical="center"/>
    </xf>
    <xf numFmtId="0" fontId="0" fillId="3" borderId="1" xfId="0" applyFill="1" applyBorder="1" applyAlignment="1" applyProtection="1">
      <alignment horizontal="center" vertical="center"/>
    </xf>
    <xf numFmtId="0" fontId="1" fillId="2" borderId="36" xfId="0" applyFont="1" applyFill="1" applyBorder="1" applyAlignment="1" applyProtection="1">
      <alignment horizontal="center" vertical="center"/>
    </xf>
    <xf numFmtId="0" fontId="1" fillId="2" borderId="16" xfId="0" applyFont="1" applyFill="1" applyBorder="1" applyAlignment="1" applyProtection="1">
      <alignment horizontal="center" vertical="center"/>
    </xf>
    <xf numFmtId="0" fontId="0" fillId="3" borderId="17" xfId="0" applyFill="1" applyBorder="1" applyAlignment="1" applyProtection="1">
      <alignment horizontal="center" vertical="center"/>
    </xf>
    <xf numFmtId="0" fontId="0" fillId="3" borderId="18" xfId="0" applyFill="1" applyBorder="1" applyAlignment="1" applyProtection="1">
      <alignment horizontal="center" vertical="center"/>
    </xf>
    <xf numFmtId="0" fontId="1" fillId="2" borderId="18" xfId="0" applyFont="1" applyFill="1" applyBorder="1" applyAlignment="1" applyProtection="1">
      <alignment horizontal="center" vertical="center"/>
    </xf>
    <xf numFmtId="0" fontId="0" fillId="0" borderId="19" xfId="0" applyBorder="1" applyAlignment="1" applyProtection="1">
      <alignment horizontal="center" vertical="center"/>
    </xf>
    <xf numFmtId="0" fontId="0" fillId="0" borderId="3" xfId="0" applyBorder="1" applyAlignment="1" applyProtection="1">
      <alignment horizontal="center" vertical="center"/>
    </xf>
    <xf numFmtId="0" fontId="0" fillId="0" borderId="20" xfId="0" applyBorder="1" applyAlignment="1" applyProtection="1">
      <alignment horizontal="center" vertical="center"/>
    </xf>
    <xf numFmtId="0" fontId="0" fillId="0" borderId="39" xfId="0" applyBorder="1" applyAlignment="1" applyProtection="1">
      <alignment horizontal="center" vertical="center"/>
    </xf>
    <xf numFmtId="0" fontId="0" fillId="0" borderId="21" xfId="0" applyBorder="1" applyAlignment="1" applyProtection="1">
      <alignment horizontal="center" vertical="center"/>
    </xf>
    <xf numFmtId="0" fontId="0" fillId="0" borderId="15" xfId="0" applyBorder="1" applyAlignment="1" applyProtection="1">
      <alignment horizontal="center" vertical="center"/>
    </xf>
    <xf numFmtId="14" fontId="0" fillId="0" borderId="0" xfId="0" applyNumberFormat="1" applyAlignment="1" applyProtection="1">
      <alignment horizontal="right" vertical="center"/>
    </xf>
    <xf numFmtId="2" fontId="0" fillId="0" borderId="22" xfId="0" applyNumberFormat="1" applyBorder="1" applyAlignment="1" applyProtection="1">
      <alignment horizontal="center" vertical="center"/>
    </xf>
    <xf numFmtId="2" fontId="0" fillId="0" borderId="4" xfId="0" applyNumberFormat="1" applyBorder="1" applyAlignment="1" applyProtection="1">
      <alignment horizontal="center" vertical="center"/>
    </xf>
    <xf numFmtId="2" fontId="0" fillId="0" borderId="23" xfId="0" applyNumberFormat="1" applyBorder="1" applyAlignment="1" applyProtection="1">
      <alignment horizontal="center" vertical="center"/>
    </xf>
    <xf numFmtId="2" fontId="0" fillId="0" borderId="40" xfId="0" applyNumberFormat="1" applyBorder="1" applyAlignment="1" applyProtection="1">
      <alignment horizontal="center" vertical="center"/>
    </xf>
    <xf numFmtId="2" fontId="0" fillId="0" borderId="16" xfId="0" applyNumberFormat="1" applyBorder="1" applyAlignment="1" applyProtection="1">
      <alignment horizontal="center" vertical="center"/>
    </xf>
    <xf numFmtId="2" fontId="0" fillId="0" borderId="1" xfId="0" applyNumberFormat="1" applyBorder="1" applyAlignment="1" applyProtection="1">
      <alignment horizontal="center" vertical="center"/>
    </xf>
    <xf numFmtId="2" fontId="0" fillId="0" borderId="17" xfId="0" applyNumberFormat="1" applyBorder="1" applyAlignment="1" applyProtection="1">
      <alignment horizontal="center" vertical="center"/>
    </xf>
    <xf numFmtId="2" fontId="0" fillId="0" borderId="43" xfId="0" applyNumberFormat="1" applyBorder="1" applyAlignment="1" applyProtection="1">
      <alignment horizontal="center" vertical="center"/>
    </xf>
    <xf numFmtId="2" fontId="0" fillId="0" borderId="18" xfId="0" applyNumberFormat="1" applyFill="1" applyBorder="1" applyAlignment="1" applyProtection="1">
      <alignment horizontal="center" vertical="center"/>
    </xf>
    <xf numFmtId="2" fontId="0" fillId="0" borderId="18" xfId="0" applyNumberFormat="1" applyBorder="1" applyAlignment="1" applyProtection="1">
      <alignment horizontal="center" vertical="center"/>
    </xf>
    <xf numFmtId="2" fontId="0" fillId="0" borderId="22" xfId="0" applyNumberFormat="1" applyFill="1" applyBorder="1" applyAlignment="1" applyProtection="1">
      <alignment horizontal="center" vertical="center"/>
    </xf>
    <xf numFmtId="2" fontId="0" fillId="0" borderId="4" xfId="0" applyNumberFormat="1" applyFill="1" applyBorder="1" applyAlignment="1" applyProtection="1">
      <alignment horizontal="center" vertical="center"/>
    </xf>
    <xf numFmtId="2" fontId="0" fillId="0" borderId="23" xfId="0" applyNumberFormat="1" applyFill="1" applyBorder="1" applyAlignment="1" applyProtection="1">
      <alignment horizontal="center" vertical="center"/>
    </xf>
    <xf numFmtId="2" fontId="0" fillId="0" borderId="30" xfId="0" applyNumberFormat="1" applyFill="1" applyBorder="1" applyAlignment="1" applyProtection="1">
      <alignment horizontal="center" vertical="center"/>
    </xf>
    <xf numFmtId="2" fontId="0" fillId="0" borderId="27" xfId="0" applyNumberFormat="1" applyFill="1" applyBorder="1" applyAlignment="1" applyProtection="1">
      <alignment horizontal="center" vertical="center"/>
    </xf>
    <xf numFmtId="2" fontId="0" fillId="0" borderId="40" xfId="0" applyNumberFormat="1" applyFill="1" applyBorder="1" applyAlignment="1" applyProtection="1">
      <alignment horizontal="center" vertical="center"/>
    </xf>
    <xf numFmtId="2" fontId="0" fillId="0" borderId="31" xfId="0" applyNumberFormat="1" applyFill="1" applyBorder="1" applyAlignment="1" applyProtection="1">
      <alignment horizontal="center" vertical="center"/>
    </xf>
    <xf numFmtId="2" fontId="0" fillId="0" borderId="30" xfId="0" applyNumberFormat="1" applyBorder="1" applyAlignment="1" applyProtection="1">
      <alignment horizontal="center" vertical="center"/>
    </xf>
    <xf numFmtId="2" fontId="0" fillId="0" borderId="32" xfId="0" applyNumberFormat="1" applyBorder="1" applyAlignment="1" applyProtection="1">
      <alignment horizontal="center" vertical="center"/>
    </xf>
    <xf numFmtId="2" fontId="0" fillId="0" borderId="42" xfId="0" applyNumberFormat="1" applyBorder="1" applyAlignment="1" applyProtection="1">
      <alignment horizontal="center" vertical="center"/>
    </xf>
    <xf numFmtId="2" fontId="0" fillId="0" borderId="43" xfId="0" applyNumberFormat="1" applyFill="1" applyBorder="1" applyAlignment="1" applyProtection="1">
      <alignment horizontal="center" vertical="center"/>
    </xf>
    <xf numFmtId="2" fontId="0" fillId="0" borderId="27" xfId="0" applyNumberFormat="1" applyBorder="1" applyAlignment="1" applyProtection="1">
      <alignment horizontal="center" vertical="center"/>
    </xf>
    <xf numFmtId="2" fontId="0" fillId="0" borderId="31" xfId="0" applyNumberFormat="1" applyBorder="1" applyAlignment="1" applyProtection="1">
      <alignment horizontal="center" vertical="center"/>
    </xf>
    <xf numFmtId="2" fontId="0" fillId="0" borderId="32" xfId="0" applyNumberFormat="1" applyFill="1" applyBorder="1" applyAlignment="1" applyProtection="1">
      <alignment horizontal="center" vertical="center"/>
    </xf>
    <xf numFmtId="2" fontId="0" fillId="0" borderId="28" xfId="0" applyNumberFormat="1" applyFill="1" applyBorder="1" applyAlignment="1" applyProtection="1">
      <alignment horizontal="center" vertical="center"/>
    </xf>
    <xf numFmtId="2" fontId="0" fillId="0" borderId="3" xfId="0" applyNumberFormat="1" applyBorder="1" applyAlignment="1" applyProtection="1">
      <alignment horizontal="center" vertical="center"/>
    </xf>
    <xf numFmtId="2" fontId="0" fillId="0" borderId="20" xfId="0" applyNumberFormat="1" applyBorder="1" applyAlignment="1" applyProtection="1">
      <alignment horizontal="center" vertical="center"/>
    </xf>
    <xf numFmtId="2" fontId="0" fillId="0" borderId="19" xfId="0" applyNumberFormat="1" applyBorder="1" applyAlignment="1" applyProtection="1">
      <alignment horizontal="center" vertical="center"/>
    </xf>
    <xf numFmtId="2" fontId="0" fillId="0" borderId="26" xfId="0" applyNumberFormat="1" applyBorder="1" applyAlignment="1" applyProtection="1">
      <alignment horizontal="center" vertical="center"/>
    </xf>
    <xf numFmtId="2" fontId="0" fillId="0" borderId="39" xfId="0" applyNumberFormat="1" applyBorder="1" applyAlignment="1" applyProtection="1">
      <alignment horizontal="center" vertical="center"/>
    </xf>
    <xf numFmtId="2" fontId="0" fillId="0" borderId="12" xfId="0" applyNumberFormat="1" applyBorder="1" applyAlignment="1" applyProtection="1">
      <alignment horizontal="center" vertical="center"/>
    </xf>
    <xf numFmtId="2" fontId="0" fillId="0" borderId="2" xfId="0" applyNumberFormat="1" applyBorder="1" applyAlignment="1" applyProtection="1">
      <alignment horizontal="center" vertical="center"/>
    </xf>
    <xf numFmtId="2" fontId="0" fillId="0" borderId="2" xfId="0" applyNumberFormat="1" applyFill="1" applyBorder="1" applyAlignment="1" applyProtection="1">
      <alignment horizontal="center" vertical="center"/>
    </xf>
    <xf numFmtId="2" fontId="0" fillId="0" borderId="13" xfId="0" applyNumberFormat="1" applyBorder="1" applyAlignment="1" applyProtection="1">
      <alignment horizontal="center" vertical="center"/>
    </xf>
    <xf numFmtId="2" fontId="0" fillId="0" borderId="21" xfId="0" applyNumberFormat="1" applyBorder="1" applyAlignment="1" applyProtection="1">
      <alignment horizontal="center" vertical="center"/>
    </xf>
    <xf numFmtId="2" fontId="0" fillId="0" borderId="25" xfId="0" applyNumberFormat="1" applyFill="1" applyBorder="1" applyAlignment="1" applyProtection="1">
      <alignment horizontal="center" vertical="center"/>
    </xf>
    <xf numFmtId="2" fontId="0" fillId="0" borderId="45" xfId="0" applyNumberFormat="1" applyFill="1" applyBorder="1" applyAlignment="1" applyProtection="1">
      <alignment horizontal="center" vertical="center"/>
    </xf>
    <xf numFmtId="14" fontId="4" fillId="5" borderId="11" xfId="0" applyNumberFormat="1" applyFont="1" applyFill="1" applyBorder="1" applyProtection="1"/>
    <xf numFmtId="4" fontId="4" fillId="5" borderId="16" xfId="0" applyNumberFormat="1" applyFont="1" applyFill="1" applyBorder="1" applyAlignment="1" applyProtection="1">
      <alignment horizontal="center" vertical="center"/>
    </xf>
    <xf numFmtId="4" fontId="4" fillId="5" borderId="1" xfId="0" applyNumberFormat="1" applyFont="1" applyFill="1" applyBorder="1" applyAlignment="1" applyProtection="1">
      <alignment horizontal="center" vertical="center"/>
    </xf>
    <xf numFmtId="4" fontId="4" fillId="5" borderId="17" xfId="0" applyNumberFormat="1" applyFont="1" applyFill="1" applyBorder="1" applyAlignment="1" applyProtection="1">
      <alignment horizontal="center" vertical="center"/>
    </xf>
    <xf numFmtId="4" fontId="4" fillId="5" borderId="16" xfId="0" applyNumberFormat="1" applyFont="1" applyFill="1" applyBorder="1" applyAlignment="1" applyProtection="1">
      <alignment horizontal="center"/>
    </xf>
    <xf numFmtId="4" fontId="4" fillId="5" borderId="1" xfId="0" applyNumberFormat="1" applyFont="1" applyFill="1" applyBorder="1" applyAlignment="1" applyProtection="1">
      <alignment horizontal="center"/>
    </xf>
    <xf numFmtId="4" fontId="4" fillId="5" borderId="36" xfId="0" applyNumberFormat="1" applyFont="1" applyFill="1" applyBorder="1" applyAlignment="1" applyProtection="1">
      <alignment horizontal="center"/>
    </xf>
    <xf numFmtId="4" fontId="4" fillId="5" borderId="17" xfId="0" applyNumberFormat="1" applyFont="1" applyFill="1" applyBorder="1" applyAlignment="1" applyProtection="1">
      <alignment horizontal="center"/>
    </xf>
    <xf numFmtId="4" fontId="4" fillId="5" borderId="18" xfId="0" applyNumberFormat="1" applyFont="1" applyFill="1" applyBorder="1" applyAlignment="1" applyProtection="1">
      <alignment horizontal="center"/>
    </xf>
    <xf numFmtId="4" fontId="4" fillId="7" borderId="18" xfId="0" applyNumberFormat="1" applyFont="1" applyFill="1" applyBorder="1" applyAlignment="1" applyProtection="1">
      <alignment horizontal="center" vertical="center"/>
    </xf>
    <xf numFmtId="14" fontId="4" fillId="6" borderId="42" xfId="0" applyNumberFormat="1" applyFont="1" applyFill="1" applyBorder="1" applyProtection="1"/>
    <xf numFmtId="165" fontId="4" fillId="6" borderId="31" xfId="0" applyNumberFormat="1" applyFont="1" applyFill="1" applyBorder="1" applyAlignment="1" applyProtection="1">
      <alignment horizontal="center" vertical="center"/>
    </xf>
    <xf numFmtId="165" fontId="4" fillId="6" borderId="30" xfId="0" applyNumberFormat="1" applyFont="1" applyFill="1" applyBorder="1" applyAlignment="1" applyProtection="1">
      <alignment horizontal="center" vertical="center"/>
    </xf>
    <xf numFmtId="165" fontId="4" fillId="6" borderId="32" xfId="0" applyNumberFormat="1" applyFont="1" applyFill="1" applyBorder="1" applyAlignment="1" applyProtection="1">
      <alignment horizontal="center" vertical="center"/>
    </xf>
    <xf numFmtId="165" fontId="4" fillId="6" borderId="31" xfId="0" applyNumberFormat="1" applyFont="1" applyFill="1" applyBorder="1" applyProtection="1"/>
    <xf numFmtId="165" fontId="4" fillId="6" borderId="30" xfId="0" applyNumberFormat="1" applyFont="1" applyFill="1" applyBorder="1" applyProtection="1"/>
    <xf numFmtId="165" fontId="4" fillId="6" borderId="37" xfId="0" applyNumberFormat="1" applyFont="1" applyFill="1" applyBorder="1" applyProtection="1"/>
    <xf numFmtId="165" fontId="4" fillId="6" borderId="32" xfId="0" applyNumberFormat="1" applyFont="1" applyFill="1" applyBorder="1" applyProtection="1"/>
    <xf numFmtId="165" fontId="4" fillId="6" borderId="42" xfId="0" applyNumberFormat="1" applyFont="1" applyFill="1" applyBorder="1" applyProtection="1"/>
    <xf numFmtId="2" fontId="0" fillId="7" borderId="44" xfId="0" applyNumberFormat="1" applyFill="1" applyBorder="1" applyAlignment="1" applyProtection="1">
      <alignment horizontal="center"/>
    </xf>
    <xf numFmtId="170" fontId="4" fillId="6" borderId="42" xfId="0" applyNumberFormat="1" applyFont="1" applyFill="1" applyBorder="1" applyAlignment="1" applyProtection="1">
      <alignment horizontal="center"/>
    </xf>
    <xf numFmtId="0" fontId="4" fillId="4" borderId="44" xfId="0" applyFont="1" applyFill="1" applyBorder="1" applyProtection="1"/>
    <xf numFmtId="165" fontId="4" fillId="4" borderId="33" xfId="0" applyNumberFormat="1" applyFont="1" applyFill="1" applyBorder="1" applyAlignment="1" applyProtection="1">
      <alignment horizontal="center" vertical="center"/>
    </xf>
    <xf numFmtId="165" fontId="4" fillId="4" borderId="34" xfId="0" applyNumberFormat="1" applyFont="1" applyFill="1" applyBorder="1" applyAlignment="1" applyProtection="1">
      <alignment horizontal="center" vertical="center"/>
    </xf>
    <xf numFmtId="165" fontId="4" fillId="4" borderId="35" xfId="0" applyNumberFormat="1" applyFont="1" applyFill="1" applyBorder="1" applyAlignment="1" applyProtection="1">
      <alignment horizontal="center" vertical="center"/>
    </xf>
    <xf numFmtId="165" fontId="4" fillId="4" borderId="33" xfId="0" applyNumberFormat="1" applyFont="1" applyFill="1" applyBorder="1" applyAlignment="1" applyProtection="1">
      <alignment horizontal="center"/>
    </xf>
    <xf numFmtId="165" fontId="4" fillId="4" borderId="34" xfId="0" applyNumberFormat="1" applyFont="1" applyFill="1" applyBorder="1" applyAlignment="1" applyProtection="1">
      <alignment horizontal="center"/>
    </xf>
    <xf numFmtId="165" fontId="4" fillId="4" borderId="38" xfId="0" applyNumberFormat="1" applyFont="1" applyFill="1" applyBorder="1" applyAlignment="1" applyProtection="1">
      <alignment horizontal="center"/>
    </xf>
    <xf numFmtId="165" fontId="4" fillId="4" borderId="35" xfId="0" applyNumberFormat="1" applyFont="1" applyFill="1" applyBorder="1" applyAlignment="1" applyProtection="1">
      <alignment horizontal="center"/>
    </xf>
    <xf numFmtId="165" fontId="4" fillId="4" borderId="44" xfId="0" applyNumberFormat="1" applyFont="1" applyFill="1" applyBorder="1" applyAlignment="1" applyProtection="1">
      <alignment horizontal="center"/>
    </xf>
    <xf numFmtId="165" fontId="4" fillId="4" borderId="145" xfId="0" applyNumberFormat="1" applyFont="1" applyFill="1" applyBorder="1" applyAlignment="1" applyProtection="1">
      <alignment horizontal="center" vertical="center"/>
    </xf>
    <xf numFmtId="165" fontId="4" fillId="0" borderId="0" xfId="0" applyNumberFormat="1" applyFont="1" applyFill="1" applyBorder="1" applyAlignment="1" applyProtection="1">
      <alignment horizontal="center" vertical="center"/>
    </xf>
    <xf numFmtId="165" fontId="4" fillId="0" borderId="0" xfId="0" applyNumberFormat="1" applyFont="1" applyFill="1" applyBorder="1" applyProtection="1"/>
    <xf numFmtId="0" fontId="2" fillId="0" borderId="146" xfId="0" applyFont="1" applyBorder="1" applyAlignment="1" applyProtection="1">
      <alignment horizontal="center" vertical="center"/>
    </xf>
    <xf numFmtId="165" fontId="4" fillId="4" borderId="57" xfId="0" applyNumberFormat="1" applyFont="1" applyFill="1" applyBorder="1" applyAlignment="1" applyProtection="1">
      <alignment horizontal="center" vertical="center"/>
    </xf>
    <xf numFmtId="165" fontId="10" fillId="0" borderId="10" xfId="0" applyNumberFormat="1" applyFont="1" applyFill="1" applyBorder="1" applyAlignment="1" applyProtection="1">
      <alignment horizontal="center" vertical="center"/>
    </xf>
    <xf numFmtId="165" fontId="4" fillId="0" borderId="10" xfId="0" applyNumberFormat="1" applyFont="1" applyFill="1" applyBorder="1" applyAlignment="1" applyProtection="1">
      <alignment horizontal="center" vertical="center"/>
    </xf>
    <xf numFmtId="0" fontId="18" fillId="0" borderId="0" xfId="0" applyFont="1" applyProtection="1"/>
    <xf numFmtId="0" fontId="9" fillId="26" borderId="46" xfId="0" applyFont="1" applyFill="1" applyBorder="1" applyAlignment="1" applyProtection="1">
      <alignment horizontal="center" vertical="center" wrapText="1"/>
    </xf>
    <xf numFmtId="165" fontId="9" fillId="26" borderId="47" xfId="0" applyNumberFormat="1" applyFont="1" applyFill="1" applyBorder="1" applyAlignment="1" applyProtection="1">
      <alignment horizontal="center" vertical="center"/>
    </xf>
    <xf numFmtId="0" fontId="0" fillId="0" borderId="0" xfId="0" applyBorder="1" applyProtection="1"/>
    <xf numFmtId="0" fontId="16" fillId="22" borderId="126" xfId="0" applyFont="1" applyFill="1" applyBorder="1" applyAlignment="1" applyProtection="1">
      <alignment horizontal="center"/>
    </xf>
    <xf numFmtId="0" fontId="16" fillId="22" borderId="128" xfId="0" applyFont="1" applyFill="1" applyBorder="1" applyAlignment="1" applyProtection="1">
      <alignment horizontal="center"/>
    </xf>
    <xf numFmtId="0" fontId="0" fillId="22" borderId="4" xfId="0" applyFill="1" applyBorder="1" applyAlignment="1" applyProtection="1">
      <alignment horizontal="center"/>
    </xf>
    <xf numFmtId="0" fontId="0" fillId="22" borderId="144" xfId="0" applyFill="1" applyBorder="1" applyAlignment="1" applyProtection="1">
      <alignment horizontal="center"/>
    </xf>
    <xf numFmtId="0" fontId="9" fillId="26" borderId="41" xfId="0" applyFont="1" applyFill="1" applyBorder="1" applyAlignment="1" applyProtection="1">
      <alignment horizontal="center" vertical="center" wrapText="1"/>
    </xf>
    <xf numFmtId="165" fontId="9" fillId="26" borderId="48" xfId="0" applyNumberFormat="1" applyFont="1" applyFill="1" applyBorder="1" applyAlignment="1" applyProtection="1">
      <alignment horizontal="center" vertical="center"/>
    </xf>
    <xf numFmtId="0" fontId="8" fillId="0" borderId="0" xfId="0" applyFont="1" applyBorder="1" applyProtection="1"/>
    <xf numFmtId="0" fontId="0" fillId="0" borderId="98" xfId="0" applyBorder="1" applyProtection="1"/>
    <xf numFmtId="0" fontId="4" fillId="22" borderId="90" xfId="0" applyFont="1" applyFill="1" applyBorder="1" applyAlignment="1" applyProtection="1">
      <alignment horizontal="left"/>
    </xf>
    <xf numFmtId="0" fontId="4" fillId="22" borderId="130" xfId="0" applyFont="1" applyFill="1" applyBorder="1" applyAlignment="1" applyProtection="1">
      <alignment horizontal="left"/>
    </xf>
    <xf numFmtId="167" fontId="0" fillId="22" borderId="30" xfId="0" applyNumberFormat="1" applyFill="1" applyBorder="1" applyProtection="1"/>
    <xf numFmtId="167" fontId="0" fillId="22" borderId="131" xfId="0" applyNumberFormat="1" applyFill="1" applyBorder="1" applyAlignment="1" applyProtection="1">
      <alignment horizontal="right"/>
    </xf>
    <xf numFmtId="0" fontId="9" fillId="26" borderId="51" xfId="0" applyFont="1" applyFill="1" applyBorder="1" applyAlignment="1" applyProtection="1">
      <alignment horizontal="center" vertical="center" wrapText="1"/>
    </xf>
    <xf numFmtId="165" fontId="9" fillId="26" borderId="52" xfId="0" applyNumberFormat="1" applyFont="1" applyFill="1" applyBorder="1" applyAlignment="1" applyProtection="1">
      <alignment horizontal="center" vertical="center"/>
    </xf>
    <xf numFmtId="0" fontId="0" fillId="0" borderId="0" xfId="0" applyFill="1" applyBorder="1" applyAlignment="1" applyProtection="1">
      <alignment horizontal="center"/>
    </xf>
    <xf numFmtId="168" fontId="0" fillId="22" borderId="131" xfId="0" applyNumberFormat="1" applyFill="1" applyBorder="1" applyAlignment="1" applyProtection="1">
      <alignment horizontal="right"/>
    </xf>
    <xf numFmtId="0" fontId="0" fillId="0" borderId="58" xfId="0" applyBorder="1" applyProtection="1"/>
    <xf numFmtId="0" fontId="9" fillId="2" borderId="53" xfId="0" applyFont="1" applyFill="1" applyBorder="1" applyAlignment="1" applyProtection="1">
      <alignment horizontal="center" vertical="center" wrapText="1"/>
    </xf>
    <xf numFmtId="4" fontId="9" fillId="2" borderId="54" xfId="0" applyNumberFormat="1" applyFont="1" applyFill="1" applyBorder="1" applyAlignment="1" applyProtection="1">
      <alignment horizontal="center" vertical="center"/>
    </xf>
    <xf numFmtId="165" fontId="9" fillId="2" borderId="54" xfId="0" applyNumberFormat="1" applyFont="1" applyFill="1" applyBorder="1" applyAlignment="1" applyProtection="1">
      <alignment horizontal="center" vertical="center"/>
    </xf>
    <xf numFmtId="0" fontId="9" fillId="2" borderId="49" xfId="0" applyFont="1" applyFill="1" applyBorder="1" applyAlignment="1" applyProtection="1">
      <alignment horizontal="center" vertical="center" wrapText="1"/>
    </xf>
    <xf numFmtId="165" fontId="9" fillId="2" borderId="50" xfId="0" applyNumberFormat="1" applyFont="1" applyFill="1" applyBorder="1" applyAlignment="1" applyProtection="1">
      <alignment horizontal="center" vertical="center"/>
    </xf>
    <xf numFmtId="0" fontId="0" fillId="0" borderId="62" xfId="0" applyBorder="1" applyProtection="1"/>
    <xf numFmtId="0" fontId="0" fillId="0" borderId="29" xfId="0" applyBorder="1" applyProtection="1"/>
    <xf numFmtId="0" fontId="0" fillId="0" borderId="57" xfId="0" applyBorder="1" applyProtection="1"/>
    <xf numFmtId="167" fontId="0" fillId="22" borderId="3" xfId="0" applyNumberFormat="1" applyFill="1" applyBorder="1" applyProtection="1"/>
    <xf numFmtId="167" fontId="0" fillId="22" borderId="133" xfId="0" applyNumberFormat="1" applyFill="1" applyBorder="1" applyAlignment="1" applyProtection="1">
      <alignment horizontal="right"/>
    </xf>
    <xf numFmtId="0" fontId="0" fillId="0" borderId="0" xfId="0" applyBorder="1" applyAlignment="1" applyProtection="1">
      <alignment vertical="center"/>
    </xf>
    <xf numFmtId="167" fontId="0" fillId="0" borderId="95" xfId="0" applyNumberFormat="1" applyFill="1" applyBorder="1" applyProtection="1"/>
    <xf numFmtId="167" fontId="0" fillId="0" borderId="95" xfId="0" applyNumberFormat="1" applyFill="1" applyBorder="1" applyAlignment="1" applyProtection="1">
      <alignment horizontal="right"/>
    </xf>
    <xf numFmtId="165" fontId="12" fillId="0" borderId="0" xfId="0" applyNumberFormat="1" applyFont="1" applyFill="1" applyBorder="1" applyAlignment="1" applyProtection="1">
      <alignment horizontal="left" vertical="center"/>
    </xf>
    <xf numFmtId="0" fontId="13" fillId="0" borderId="0" xfId="0" applyFont="1" applyBorder="1" applyAlignment="1" applyProtection="1">
      <alignment horizontal="left" vertical="center"/>
    </xf>
    <xf numFmtId="0" fontId="12" fillId="0" borderId="0" xfId="0" applyFont="1" applyFill="1" applyBorder="1" applyAlignment="1" applyProtection="1">
      <alignment horizontal="left" vertical="center"/>
    </xf>
    <xf numFmtId="165" fontId="4" fillId="6" borderId="30" xfId="0" applyNumberFormat="1" applyFont="1" applyFill="1" applyBorder="1" applyAlignment="1" applyProtection="1">
      <alignment horizontal="center"/>
    </xf>
    <xf numFmtId="165" fontId="4" fillId="6" borderId="37" xfId="0" applyNumberFormat="1" applyFont="1" applyFill="1" applyBorder="1" applyAlignment="1" applyProtection="1">
      <alignment horizontal="center"/>
    </xf>
    <xf numFmtId="165" fontId="4" fillId="6" borderId="31" xfId="0" applyNumberFormat="1" applyFont="1" applyFill="1" applyBorder="1" applyAlignment="1" applyProtection="1">
      <alignment horizontal="center"/>
    </xf>
    <xf numFmtId="165" fontId="4" fillId="6" borderId="32" xfId="0" applyNumberFormat="1" applyFont="1" applyFill="1" applyBorder="1" applyAlignment="1" applyProtection="1">
      <alignment horizontal="center"/>
    </xf>
    <xf numFmtId="165" fontId="4" fillId="6" borderId="42" xfId="0" applyNumberFormat="1" applyFont="1" applyFill="1" applyBorder="1" applyAlignment="1" applyProtection="1">
      <alignment horizontal="center"/>
    </xf>
    <xf numFmtId="165" fontId="22" fillId="0" borderId="0" xfId="0" applyNumberFormat="1" applyFont="1" applyFill="1" applyBorder="1" applyAlignment="1" applyProtection="1">
      <alignment horizontal="center" vertical="center"/>
    </xf>
    <xf numFmtId="0" fontId="22" fillId="0" borderId="96" xfId="0" applyFont="1" applyFill="1" applyBorder="1" applyAlignment="1">
      <alignment horizontal="center" vertical="center"/>
    </xf>
    <xf numFmtId="0" fontId="14" fillId="0" borderId="9" xfId="0" applyFont="1" applyBorder="1" applyAlignment="1">
      <alignment horizontal="left" vertical="center"/>
    </xf>
    <xf numFmtId="0" fontId="14" fillId="0" borderId="10" xfId="0" applyFont="1" applyBorder="1" applyAlignment="1">
      <alignment horizontal="left" vertical="center"/>
    </xf>
    <xf numFmtId="0" fontId="14" fillId="0" borderId="66" xfId="0" applyFont="1" applyBorder="1" applyAlignment="1">
      <alignment horizontal="left" vertical="center"/>
    </xf>
    <xf numFmtId="0" fontId="14" fillId="0" borderId="92" xfId="0" applyFont="1" applyBorder="1" applyAlignment="1">
      <alignment horizontal="left" vertic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62" xfId="0" applyBorder="1" applyAlignment="1">
      <alignment horizontal="center"/>
    </xf>
    <xf numFmtId="0" fontId="0" fillId="0" borderId="0" xfId="0" applyBorder="1" applyAlignment="1">
      <alignment horizontal="center"/>
    </xf>
    <xf numFmtId="0" fontId="15" fillId="14" borderId="86" xfId="0" applyFont="1" applyFill="1" applyBorder="1" applyAlignment="1">
      <alignment horizontal="center" vertical="center"/>
    </xf>
    <xf numFmtId="0" fontId="15" fillId="14" borderId="87" xfId="0" applyFont="1" applyFill="1" applyBorder="1" applyAlignment="1">
      <alignment horizontal="center" vertical="center"/>
    </xf>
    <xf numFmtId="0" fontId="15" fillId="14" borderId="102" xfId="0" applyFont="1" applyFill="1" applyBorder="1" applyAlignment="1">
      <alignment horizontal="center" vertical="center"/>
    </xf>
    <xf numFmtId="0" fontId="15" fillId="9" borderId="86" xfId="0" applyFont="1" applyFill="1" applyBorder="1" applyAlignment="1">
      <alignment horizontal="center" vertical="center"/>
    </xf>
    <xf numFmtId="0" fontId="15" fillId="9" borderId="87" xfId="0" applyFont="1" applyFill="1" applyBorder="1" applyAlignment="1">
      <alignment horizontal="center" vertical="center"/>
    </xf>
    <xf numFmtId="0" fontId="15" fillId="9" borderId="88" xfId="0" applyFont="1" applyFill="1" applyBorder="1" applyAlignment="1">
      <alignment horizontal="center" vertical="center"/>
    </xf>
    <xf numFmtId="0" fontId="15" fillId="11" borderId="86" xfId="0" applyFont="1" applyFill="1" applyBorder="1" applyAlignment="1">
      <alignment horizontal="center" vertical="center"/>
    </xf>
    <xf numFmtId="0" fontId="15" fillId="11" borderId="87" xfId="0" applyFont="1" applyFill="1" applyBorder="1" applyAlignment="1">
      <alignment horizontal="center" vertical="center"/>
    </xf>
    <xf numFmtId="0" fontId="15" fillId="11" borderId="88" xfId="0" applyFont="1" applyFill="1" applyBorder="1" applyAlignment="1">
      <alignment horizontal="center" vertical="center"/>
    </xf>
    <xf numFmtId="0" fontId="15" fillId="2" borderId="86" xfId="0" applyFont="1" applyFill="1" applyBorder="1" applyAlignment="1">
      <alignment horizontal="center" vertical="center"/>
    </xf>
    <xf numFmtId="0" fontId="15" fillId="2" borderId="87" xfId="0" applyFont="1" applyFill="1" applyBorder="1" applyAlignment="1">
      <alignment horizontal="center" vertical="center"/>
    </xf>
    <xf numFmtId="0" fontId="15" fillId="2" borderId="88" xfId="0" applyFont="1" applyFill="1" applyBorder="1" applyAlignment="1">
      <alignment horizontal="center" vertical="center"/>
    </xf>
    <xf numFmtId="0" fontId="15" fillId="8" borderId="67" xfId="0" applyFont="1" applyFill="1" applyBorder="1" applyAlignment="1">
      <alignment horizontal="center" vertical="center"/>
    </xf>
    <xf numFmtId="0" fontId="15" fillId="8" borderId="60" xfId="0" applyFont="1" applyFill="1" applyBorder="1" applyAlignment="1">
      <alignment horizontal="center" vertical="center"/>
    </xf>
    <xf numFmtId="0" fontId="15" fillId="8" borderId="68" xfId="0" applyFont="1" applyFill="1" applyBorder="1" applyAlignment="1">
      <alignment horizontal="center" vertical="center"/>
    </xf>
    <xf numFmtId="0" fontId="15" fillId="10" borderId="86" xfId="0" applyFont="1" applyFill="1" applyBorder="1" applyAlignment="1">
      <alignment horizontal="center" vertical="center" wrapText="1"/>
    </xf>
    <xf numFmtId="0" fontId="15" fillId="10" borderId="88" xfId="0" applyFont="1" applyFill="1" applyBorder="1" applyAlignment="1">
      <alignment horizontal="center" vertical="center" wrapText="1"/>
    </xf>
    <xf numFmtId="0" fontId="16" fillId="0" borderId="155" xfId="0" applyFont="1" applyBorder="1" applyAlignment="1">
      <alignment horizontal="center" vertical="center" textRotation="75"/>
    </xf>
    <xf numFmtId="0" fontId="16" fillId="0" borderId="160" xfId="0" applyFont="1" applyBorder="1" applyAlignment="1">
      <alignment horizontal="center" vertical="center" textRotation="75"/>
    </xf>
    <xf numFmtId="0" fontId="16" fillId="0" borderId="62" xfId="0" applyFont="1" applyBorder="1" applyAlignment="1">
      <alignment horizontal="center" vertical="center" textRotation="75"/>
    </xf>
    <xf numFmtId="0" fontId="0" fillId="0" borderId="164" xfId="0" applyBorder="1" applyAlignment="1"/>
    <xf numFmtId="0" fontId="16" fillId="0" borderId="152" xfId="0" applyFont="1" applyBorder="1" applyAlignment="1">
      <alignment horizontal="center" vertical="center" textRotation="75"/>
    </xf>
    <xf numFmtId="0" fontId="16" fillId="0" borderId="153" xfId="0" applyFont="1" applyBorder="1" applyAlignment="1">
      <alignment horizontal="center" vertical="center" textRotation="75"/>
    </xf>
    <xf numFmtId="0" fontId="0" fillId="0" borderId="154" xfId="0" applyBorder="1" applyAlignment="1"/>
    <xf numFmtId="0" fontId="16" fillId="0" borderId="6" xfId="0" applyFont="1" applyBorder="1" applyAlignment="1">
      <alignment horizontal="center" vertical="center" textRotation="75"/>
    </xf>
    <xf numFmtId="0" fontId="16" fillId="0" borderId="31" xfId="0" applyFont="1" applyBorder="1" applyAlignment="1">
      <alignment horizontal="center" vertical="center" textRotation="75"/>
    </xf>
    <xf numFmtId="0" fontId="16" fillId="0" borderId="12" xfId="0" applyFont="1" applyBorder="1" applyAlignment="1">
      <alignment horizontal="center" vertical="center" textRotation="75"/>
    </xf>
    <xf numFmtId="1" fontId="14" fillId="0" borderId="55" xfId="0" applyNumberFormat="1" applyFont="1" applyBorder="1" applyAlignment="1">
      <alignment horizontal="center" vertical="center"/>
    </xf>
    <xf numFmtId="1" fontId="14" fillId="0" borderId="56" xfId="0" applyNumberFormat="1" applyFont="1" applyBorder="1" applyAlignment="1">
      <alignment horizontal="center" vertical="center"/>
    </xf>
    <xf numFmtId="0" fontId="4" fillId="12" borderId="63" xfId="0" applyFont="1" applyFill="1" applyBorder="1" applyAlignment="1">
      <alignment horizontal="center" vertical="center"/>
    </xf>
    <xf numFmtId="0" fontId="4" fillId="12" borderId="74" xfId="0" applyFont="1" applyFill="1" applyBorder="1" applyAlignment="1">
      <alignment horizontal="center" vertical="center"/>
    </xf>
    <xf numFmtId="164" fontId="4" fillId="7" borderId="114" xfId="0" applyNumberFormat="1" applyFont="1" applyFill="1" applyBorder="1" applyAlignment="1">
      <alignment horizontal="center" vertical="center" textRotation="180"/>
    </xf>
    <xf numFmtId="164" fontId="4" fillId="7" borderId="115" xfId="0" applyNumberFormat="1" applyFont="1" applyFill="1" applyBorder="1" applyAlignment="1">
      <alignment horizontal="center" vertical="center" textRotation="180"/>
    </xf>
    <xf numFmtId="164" fontId="4" fillId="7" borderId="112" xfId="0" applyNumberFormat="1" applyFont="1" applyFill="1" applyBorder="1" applyAlignment="1">
      <alignment horizontal="center" vertical="center" textRotation="180"/>
    </xf>
    <xf numFmtId="165" fontId="0" fillId="22" borderId="30" xfId="0" applyNumberFormat="1" applyFill="1" applyBorder="1" applyAlignment="1">
      <alignment horizontal="center"/>
    </xf>
    <xf numFmtId="0" fontId="0" fillId="22" borderId="131" xfId="0" applyFill="1" applyBorder="1" applyAlignment="1">
      <alignment horizontal="center"/>
    </xf>
    <xf numFmtId="0" fontId="4" fillId="24" borderId="107" xfId="0" applyFont="1" applyFill="1" applyBorder="1" applyAlignment="1">
      <alignment horizontal="left"/>
    </xf>
    <xf numFmtId="0" fontId="4" fillId="24" borderId="30" xfId="0" applyFont="1" applyFill="1" applyBorder="1" applyAlignment="1">
      <alignment horizontal="left"/>
    </xf>
    <xf numFmtId="0" fontId="4" fillId="22" borderId="132" xfId="0" applyFont="1" applyFill="1" applyBorder="1" applyAlignment="1">
      <alignment horizontal="left"/>
    </xf>
    <xf numFmtId="0" fontId="4" fillId="22" borderId="3" xfId="0" applyFont="1" applyFill="1" applyBorder="1" applyAlignment="1">
      <alignment horizontal="left"/>
    </xf>
    <xf numFmtId="168" fontId="0" fillId="22" borderId="3" xfId="0" applyNumberFormat="1" applyFill="1" applyBorder="1" applyAlignment="1">
      <alignment horizontal="center"/>
    </xf>
    <xf numFmtId="0" fontId="0" fillId="22" borderId="3" xfId="0" applyFill="1" applyBorder="1" applyAlignment="1">
      <alignment horizontal="center"/>
    </xf>
    <xf numFmtId="166" fontId="0" fillId="22" borderId="3" xfId="0" applyNumberFormat="1" applyFill="1" applyBorder="1" applyAlignment="1">
      <alignment horizontal="center"/>
    </xf>
    <xf numFmtId="166" fontId="0" fillId="22" borderId="39" xfId="0" applyNumberFormat="1" applyFill="1" applyBorder="1" applyAlignment="1">
      <alignment horizontal="center"/>
    </xf>
    <xf numFmtId="1" fontId="0" fillId="22" borderId="3" xfId="0" applyNumberFormat="1" applyFill="1" applyBorder="1" applyAlignment="1">
      <alignment horizontal="center"/>
    </xf>
    <xf numFmtId="2" fontId="0" fillId="22" borderId="39" xfId="0" applyNumberFormat="1" applyFill="1" applyBorder="1" applyAlignment="1">
      <alignment horizontal="center"/>
    </xf>
    <xf numFmtId="2" fontId="0" fillId="22" borderId="26" xfId="0" applyNumberFormat="1" applyFill="1" applyBorder="1" applyAlignment="1">
      <alignment horizontal="center"/>
    </xf>
    <xf numFmtId="167" fontId="0" fillId="22" borderId="3" xfId="0" applyNumberFormat="1" applyFill="1" applyBorder="1" applyAlignment="1">
      <alignment horizontal="center"/>
    </xf>
    <xf numFmtId="0" fontId="0" fillId="22" borderId="39" xfId="0" applyFill="1" applyBorder="1" applyAlignment="1">
      <alignment horizontal="center"/>
    </xf>
    <xf numFmtId="165" fontId="0" fillId="22" borderId="3" xfId="0" applyNumberFormat="1" applyFill="1" applyBorder="1" applyAlignment="1">
      <alignment horizontal="center"/>
    </xf>
    <xf numFmtId="0" fontId="0" fillId="22" borderId="133" xfId="0" applyFill="1" applyBorder="1" applyAlignment="1">
      <alignment horizontal="center"/>
    </xf>
    <xf numFmtId="0" fontId="4" fillId="24" borderId="132" xfId="0" applyFont="1" applyFill="1" applyBorder="1" applyAlignment="1">
      <alignment horizontal="left"/>
    </xf>
    <xf numFmtId="0" fontId="4" fillId="24" borderId="3" xfId="0" applyFont="1" applyFill="1" applyBorder="1" applyAlignment="1">
      <alignment horizontal="left"/>
    </xf>
    <xf numFmtId="0" fontId="4" fillId="22" borderId="107" xfId="0" applyFont="1" applyFill="1" applyBorder="1" applyAlignment="1">
      <alignment horizontal="left"/>
    </xf>
    <xf numFmtId="0" fontId="4" fillId="22" borderId="30" xfId="0" applyFont="1" applyFill="1" applyBorder="1" applyAlignment="1">
      <alignment horizontal="left"/>
    </xf>
    <xf numFmtId="168" fontId="0" fillId="22" borderId="30" xfId="0" applyNumberFormat="1" applyFill="1" applyBorder="1" applyAlignment="1">
      <alignment horizontal="center"/>
    </xf>
    <xf numFmtId="0" fontId="0" fillId="22" borderId="30" xfId="0" applyFill="1" applyBorder="1" applyAlignment="1">
      <alignment horizontal="center"/>
    </xf>
    <xf numFmtId="166" fontId="0" fillId="22" borderId="30" xfId="0" applyNumberFormat="1" applyFill="1" applyBorder="1" applyAlignment="1">
      <alignment horizontal="center"/>
    </xf>
    <xf numFmtId="166" fontId="0" fillId="22" borderId="37" xfId="0" applyNumberFormat="1" applyFill="1" applyBorder="1" applyAlignment="1">
      <alignment horizontal="center"/>
    </xf>
    <xf numFmtId="1" fontId="0" fillId="22" borderId="30" xfId="0" applyNumberFormat="1" applyFill="1" applyBorder="1" applyAlignment="1">
      <alignment horizontal="center"/>
    </xf>
    <xf numFmtId="2" fontId="0" fillId="22" borderId="37" xfId="0" applyNumberFormat="1" applyFill="1" applyBorder="1" applyAlignment="1">
      <alignment horizontal="center"/>
    </xf>
    <xf numFmtId="2" fontId="0" fillId="22" borderId="130" xfId="0" applyNumberFormat="1" applyFill="1" applyBorder="1" applyAlignment="1">
      <alignment horizontal="center"/>
    </xf>
    <xf numFmtId="167" fontId="0" fillId="22" borderId="30" xfId="0" applyNumberFormat="1" applyFill="1" applyBorder="1" applyAlignment="1">
      <alignment horizontal="center"/>
    </xf>
    <xf numFmtId="0" fontId="0" fillId="22" borderId="37" xfId="0" applyFill="1" applyBorder="1" applyAlignment="1">
      <alignment horizontal="center"/>
    </xf>
    <xf numFmtId="0" fontId="0" fillId="12" borderId="36" xfId="0" applyFill="1" applyBorder="1" applyAlignment="1">
      <alignment horizontal="center"/>
    </xf>
    <xf numFmtId="0" fontId="0" fillId="12" borderId="127" xfId="0" applyFill="1" applyBorder="1" applyAlignment="1">
      <alignment horizontal="center"/>
    </xf>
    <xf numFmtId="0" fontId="0" fillId="12" borderId="128" xfId="0" applyFill="1" applyBorder="1" applyAlignment="1">
      <alignment horizontal="center"/>
    </xf>
    <xf numFmtId="0" fontId="0" fillId="19" borderId="36" xfId="0" applyFill="1" applyBorder="1" applyAlignment="1">
      <alignment horizontal="center"/>
    </xf>
    <xf numFmtId="0" fontId="0" fillId="19" borderId="127" xfId="0" applyFill="1" applyBorder="1" applyAlignment="1">
      <alignment horizontal="center"/>
    </xf>
    <xf numFmtId="0" fontId="0" fillId="19" borderId="129" xfId="0" applyFill="1" applyBorder="1" applyAlignment="1">
      <alignment horizontal="center"/>
    </xf>
    <xf numFmtId="0" fontId="4" fillId="22" borderId="90" xfId="0" applyFont="1" applyFill="1" applyBorder="1" applyAlignment="1">
      <alignment horizontal="center"/>
    </xf>
    <xf numFmtId="0" fontId="4" fillId="22" borderId="130" xfId="0" applyFont="1" applyFill="1" applyBorder="1" applyAlignment="1">
      <alignment horizontal="center"/>
    </xf>
    <xf numFmtId="0" fontId="0" fillId="22" borderId="64" xfId="0" applyFill="1" applyBorder="1" applyAlignment="1">
      <alignment horizontal="center"/>
    </xf>
    <xf numFmtId="0" fontId="0" fillId="22" borderId="4" xfId="0" applyFill="1" applyBorder="1" applyAlignment="1">
      <alignment horizontal="center"/>
    </xf>
    <xf numFmtId="0" fontId="0" fillId="22" borderId="40" xfId="0" applyFill="1" applyBorder="1" applyAlignment="1">
      <alignment horizontal="center"/>
    </xf>
    <xf numFmtId="0" fontId="20" fillId="22" borderId="4" xfId="0" applyFont="1" applyFill="1" applyBorder="1" applyAlignment="1">
      <alignment horizontal="center"/>
    </xf>
    <xf numFmtId="0" fontId="20" fillId="22" borderId="40" xfId="0" applyFont="1" applyFill="1" applyBorder="1" applyAlignment="1">
      <alignment horizontal="center"/>
    </xf>
    <xf numFmtId="0" fontId="21" fillId="22" borderId="30" xfId="0" applyFont="1" applyFill="1" applyBorder="1" applyAlignment="1">
      <alignment horizontal="center"/>
    </xf>
    <xf numFmtId="0" fontId="21" fillId="22" borderId="131" xfId="0" applyFont="1" applyFill="1" applyBorder="1" applyAlignment="1">
      <alignment horizontal="center"/>
    </xf>
    <xf numFmtId="0" fontId="0" fillId="0" borderId="60" xfId="0" applyBorder="1" applyAlignment="1">
      <alignment horizontal="center"/>
    </xf>
    <xf numFmtId="1" fontId="16" fillId="22" borderId="105" xfId="0" applyNumberFormat="1" applyFont="1" applyFill="1" applyBorder="1" applyAlignment="1">
      <alignment horizontal="center"/>
    </xf>
    <xf numFmtId="0" fontId="16" fillId="22" borderId="1" xfId="0" applyFont="1" applyFill="1" applyBorder="1" applyAlignment="1">
      <alignment horizontal="center"/>
    </xf>
    <xf numFmtId="0" fontId="16" fillId="22" borderId="125" xfId="0" applyFont="1" applyFill="1" applyBorder="1" applyAlignment="1">
      <alignment horizontal="center"/>
    </xf>
    <xf numFmtId="0" fontId="16" fillId="24" borderId="127" xfId="0" applyFont="1" applyFill="1" applyBorder="1" applyAlignment="1">
      <alignment horizontal="left" vertical="center"/>
    </xf>
    <xf numFmtId="0" fontId="16" fillId="24" borderId="128" xfId="0" applyFont="1" applyFill="1" applyBorder="1" applyAlignment="1">
      <alignment horizontal="left" vertical="center"/>
    </xf>
    <xf numFmtId="0" fontId="0" fillId="24" borderId="36" xfId="0" applyFill="1" applyBorder="1" applyAlignment="1">
      <alignment horizontal="center"/>
    </xf>
    <xf numFmtId="0" fontId="0" fillId="24" borderId="127" xfId="0" applyFill="1" applyBorder="1" applyAlignment="1">
      <alignment horizontal="center"/>
    </xf>
    <xf numFmtId="0" fontId="0" fillId="24" borderId="128" xfId="0" applyFill="1" applyBorder="1" applyAlignment="1">
      <alignment horizontal="center"/>
    </xf>
    <xf numFmtId="0" fontId="4" fillId="12" borderId="107" xfId="0" applyFont="1" applyFill="1" applyBorder="1" applyAlignment="1">
      <alignment horizontal="center" vertical="center" wrapText="1"/>
    </xf>
    <xf numFmtId="0" fontId="4" fillId="12" borderId="37" xfId="0" applyFont="1" applyFill="1" applyBorder="1" applyAlignment="1">
      <alignment horizontal="center" vertical="center" wrapText="1"/>
    </xf>
    <xf numFmtId="0" fontId="4" fillId="18" borderId="107" xfId="0" applyFont="1" applyFill="1" applyBorder="1" applyAlignment="1">
      <alignment horizontal="center" vertical="center" wrapText="1"/>
    </xf>
    <xf numFmtId="0" fontId="4" fillId="18" borderId="37" xfId="0" applyFont="1" applyFill="1" applyBorder="1" applyAlignment="1">
      <alignment horizontal="center" vertical="center" wrapText="1"/>
    </xf>
    <xf numFmtId="0" fontId="4" fillId="13" borderId="116" xfId="0" applyFont="1" applyFill="1" applyBorder="1" applyAlignment="1">
      <alignment horizontal="center" vertical="center"/>
    </xf>
    <xf numFmtId="0" fontId="4" fillId="13" borderId="117" xfId="0" applyFont="1" applyFill="1" applyBorder="1" applyAlignment="1">
      <alignment horizontal="center" vertical="center"/>
    </xf>
    <xf numFmtId="0" fontId="4" fillId="0" borderId="95" xfId="0" applyFont="1" applyFill="1" applyBorder="1" applyAlignment="1">
      <alignment horizontal="center" vertical="center"/>
    </xf>
    <xf numFmtId="0" fontId="4" fillId="0" borderId="98" xfId="0" applyFont="1" applyFill="1" applyBorder="1" applyAlignment="1">
      <alignment horizontal="center" vertical="center"/>
    </xf>
    <xf numFmtId="166" fontId="0" fillId="10" borderId="121" xfId="0" applyNumberFormat="1" applyFill="1" applyBorder="1" applyAlignment="1">
      <alignment horizontal="center"/>
    </xf>
    <xf numFmtId="0" fontId="0" fillId="0" borderId="122" xfId="0" applyBorder="1"/>
    <xf numFmtId="166" fontId="0" fillId="10" borderId="83" xfId="0" applyNumberFormat="1" applyFill="1" applyBorder="1" applyAlignment="1">
      <alignment horizontal="center"/>
    </xf>
    <xf numFmtId="166" fontId="0" fillId="10" borderId="122" xfId="0" applyNumberFormat="1" applyFill="1" applyBorder="1" applyAlignment="1">
      <alignment horizontal="center"/>
    </xf>
    <xf numFmtId="166" fontId="0" fillId="10" borderId="95" xfId="0" applyNumberFormat="1" applyFill="1" applyBorder="1" applyAlignment="1">
      <alignment horizontal="center"/>
    </xf>
    <xf numFmtId="166" fontId="0" fillId="10" borderId="101" xfId="0" applyNumberFormat="1" applyFill="1" applyBorder="1" applyAlignment="1">
      <alignment horizontal="center"/>
    </xf>
    <xf numFmtId="166" fontId="0" fillId="0" borderId="94" xfId="0" applyNumberFormat="1" applyFill="1" applyBorder="1" applyAlignment="1">
      <alignment horizontal="center"/>
    </xf>
    <xf numFmtId="166" fontId="0" fillId="0" borderId="95" xfId="0" applyNumberFormat="1" applyFill="1" applyBorder="1" applyAlignment="1">
      <alignment horizontal="center"/>
    </xf>
    <xf numFmtId="0" fontId="4" fillId="13" borderId="134" xfId="0" applyFont="1" applyFill="1" applyBorder="1" applyAlignment="1">
      <alignment horizontal="center" vertical="center"/>
    </xf>
    <xf numFmtId="1" fontId="14" fillId="0" borderId="86" xfId="0" applyNumberFormat="1" applyFont="1" applyBorder="1" applyAlignment="1">
      <alignment horizontal="center" vertical="center"/>
    </xf>
    <xf numFmtId="1" fontId="14" fillId="0" borderId="87" xfId="0" applyNumberFormat="1" applyFont="1" applyBorder="1" applyAlignment="1">
      <alignment horizontal="center" vertical="center"/>
    </xf>
    <xf numFmtId="0" fontId="14" fillId="0" borderId="5" xfId="0" applyFont="1" applyBorder="1" applyAlignment="1">
      <alignment horizontal="left" vertical="center"/>
    </xf>
    <xf numFmtId="0" fontId="14" fillId="0" borderId="87" xfId="0" applyFont="1" applyBorder="1" applyAlignment="1">
      <alignment horizontal="left" vertical="center"/>
    </xf>
    <xf numFmtId="166" fontId="0" fillId="10" borderId="97" xfId="0" applyNumberFormat="1" applyFill="1" applyBorder="1" applyAlignment="1">
      <alignment horizontal="center"/>
    </xf>
    <xf numFmtId="0" fontId="0" fillId="0" borderId="87" xfId="0" applyBorder="1"/>
    <xf numFmtId="166" fontId="0" fillId="10" borderId="86" xfId="0" applyNumberFormat="1" applyFill="1" applyBorder="1" applyAlignment="1">
      <alignment horizontal="center"/>
    </xf>
    <xf numFmtId="166" fontId="0" fillId="10" borderId="87" xfId="0" applyNumberFormat="1" applyFill="1" applyBorder="1" applyAlignment="1">
      <alignment horizontal="center"/>
    </xf>
    <xf numFmtId="0" fontId="15" fillId="11" borderId="97" xfId="0" applyFont="1" applyFill="1" applyBorder="1" applyAlignment="1">
      <alignment horizontal="center" vertical="center"/>
    </xf>
    <xf numFmtId="0" fontId="15" fillId="8" borderId="86" xfId="0" applyFont="1" applyFill="1" applyBorder="1" applyAlignment="1">
      <alignment horizontal="center" vertical="center"/>
    </xf>
    <xf numFmtId="0" fontId="15" fillId="8" borderId="87" xfId="0" applyFont="1" applyFill="1" applyBorder="1" applyAlignment="1">
      <alignment horizontal="center" vertical="center"/>
    </xf>
    <xf numFmtId="0" fontId="15" fillId="8" borderId="102" xfId="0" applyFont="1" applyFill="1" applyBorder="1" applyAlignment="1">
      <alignment horizontal="center" vertical="center"/>
    </xf>
    <xf numFmtId="0" fontId="4" fillId="12" borderId="105" xfId="0" applyFont="1" applyFill="1" applyBorder="1" applyAlignment="1">
      <alignment horizontal="center" vertical="center" wrapText="1"/>
    </xf>
    <xf numFmtId="0" fontId="4" fillId="12" borderId="17" xfId="0" applyFont="1" applyFill="1" applyBorder="1" applyAlignment="1">
      <alignment horizontal="center" vertical="center" wrapText="1"/>
    </xf>
    <xf numFmtId="0" fontId="4" fillId="12" borderId="32" xfId="0" applyFont="1" applyFill="1" applyBorder="1" applyAlignment="1">
      <alignment horizontal="center" vertical="center" wrapText="1"/>
    </xf>
    <xf numFmtId="0" fontId="4" fillId="18" borderId="32" xfId="0" applyFont="1" applyFill="1" applyBorder="1" applyAlignment="1">
      <alignment horizontal="center" vertical="center" wrapText="1"/>
    </xf>
    <xf numFmtId="166" fontId="0" fillId="10" borderId="88" xfId="0" applyNumberFormat="1" applyFill="1" applyBorder="1" applyAlignment="1">
      <alignment horizontal="center"/>
    </xf>
    <xf numFmtId="166" fontId="0" fillId="21" borderId="86" xfId="0" applyNumberFormat="1" applyFill="1" applyBorder="1" applyAlignment="1">
      <alignment horizontal="center"/>
    </xf>
    <xf numFmtId="166" fontId="0" fillId="21" borderId="87" xfId="0" applyNumberFormat="1" applyFill="1" applyBorder="1" applyAlignment="1">
      <alignment horizontal="center"/>
    </xf>
    <xf numFmtId="0" fontId="15" fillId="7" borderId="94" xfId="0" applyFont="1" applyFill="1" applyBorder="1" applyAlignment="1">
      <alignment horizontal="center" vertical="center" wrapText="1"/>
    </xf>
    <xf numFmtId="0" fontId="15" fillId="7" borderId="95" xfId="0" applyFont="1" applyFill="1" applyBorder="1" applyAlignment="1">
      <alignment horizontal="center" vertical="center" wrapText="1"/>
    </xf>
    <xf numFmtId="0" fontId="15" fillId="7" borderId="101" xfId="0" applyFont="1" applyFill="1" applyBorder="1" applyAlignment="1">
      <alignment horizontal="center" vertical="center" wrapText="1"/>
    </xf>
    <xf numFmtId="0" fontId="15" fillId="7" borderId="96" xfId="0" applyFont="1" applyFill="1" applyBorder="1" applyAlignment="1">
      <alignment horizontal="center" vertical="center" wrapText="1"/>
    </xf>
    <xf numFmtId="0" fontId="15" fillId="7" borderId="0" xfId="0" applyFont="1" applyFill="1" applyBorder="1" applyAlignment="1">
      <alignment horizontal="center" vertical="center" wrapText="1"/>
    </xf>
    <xf numFmtId="0" fontId="15" fillId="7" borderId="100" xfId="0" applyFont="1" applyFill="1" applyBorder="1" applyAlignment="1">
      <alignment horizontal="center" vertical="center" wrapText="1"/>
    </xf>
    <xf numFmtId="0" fontId="15" fillId="7" borderId="104" xfId="0" applyFont="1" applyFill="1" applyBorder="1" applyAlignment="1">
      <alignment horizontal="center" vertical="center" wrapText="1"/>
    </xf>
    <xf numFmtId="0" fontId="15" fillId="7" borderId="5" xfId="0" applyFont="1" applyFill="1" applyBorder="1" applyAlignment="1">
      <alignment horizontal="center" vertical="center" wrapText="1"/>
    </xf>
    <xf numFmtId="0" fontId="15" fillId="7" borderId="103" xfId="0" applyFont="1" applyFill="1" applyBorder="1" applyAlignment="1">
      <alignment horizontal="center" vertical="center" wrapText="1"/>
    </xf>
    <xf numFmtId="0" fontId="4" fillId="19" borderId="107" xfId="0" applyFont="1" applyFill="1" applyBorder="1" applyAlignment="1">
      <alignment horizontal="center" vertical="center" wrapText="1"/>
    </xf>
    <xf numFmtId="0" fontId="4" fillId="19" borderId="32" xfId="0" applyFont="1" applyFill="1" applyBorder="1" applyAlignment="1">
      <alignment horizontal="center" vertical="center" wrapText="1"/>
    </xf>
    <xf numFmtId="0" fontId="4" fillId="20" borderId="107" xfId="0" applyFont="1" applyFill="1" applyBorder="1" applyAlignment="1">
      <alignment horizontal="center" vertical="center" wrapText="1"/>
    </xf>
    <xf numFmtId="0" fontId="4" fillId="20" borderId="32" xfId="0" applyFont="1" applyFill="1" applyBorder="1" applyAlignment="1">
      <alignment horizontal="center" vertical="center" wrapText="1"/>
    </xf>
    <xf numFmtId="1" fontId="14" fillId="0" borderId="88" xfId="0" applyNumberFormat="1" applyFont="1" applyBorder="1" applyAlignment="1">
      <alignment horizontal="center" vertical="center"/>
    </xf>
    <xf numFmtId="0" fontId="14" fillId="0" borderId="94" xfId="0" applyFont="1" applyBorder="1" applyAlignment="1">
      <alignment horizontal="left" vertical="center"/>
    </xf>
    <xf numFmtId="0" fontId="14" fillId="0" borderId="95" xfId="0" applyFont="1" applyBorder="1" applyAlignment="1">
      <alignment horizontal="left" vertical="center"/>
    </xf>
    <xf numFmtId="0" fontId="14" fillId="0" borderId="88" xfId="0" applyFont="1" applyBorder="1" applyAlignment="1">
      <alignment horizontal="left" vertical="center"/>
    </xf>
    <xf numFmtId="0" fontId="0" fillId="0" borderId="96" xfId="0" applyBorder="1" applyAlignment="1">
      <alignment horizontal="center"/>
    </xf>
    <xf numFmtId="0" fontId="0" fillId="0" borderId="104" xfId="0" applyBorder="1" applyAlignment="1">
      <alignment horizontal="center"/>
    </xf>
    <xf numFmtId="0" fontId="0" fillId="0" borderId="5" xfId="0" applyBorder="1" applyAlignment="1">
      <alignment horizontal="center"/>
    </xf>
    <xf numFmtId="0" fontId="15" fillId="9" borderId="97" xfId="0" applyFont="1" applyFill="1" applyBorder="1" applyAlignment="1">
      <alignment horizontal="center" vertical="center"/>
    </xf>
    <xf numFmtId="0" fontId="15" fillId="9" borderId="95" xfId="0" applyFont="1" applyFill="1" applyBorder="1" applyAlignment="1">
      <alignment horizontal="center" vertical="center"/>
    </xf>
    <xf numFmtId="0" fontId="15" fillId="9" borderId="98" xfId="0" applyFont="1" applyFill="1" applyBorder="1" applyAlignment="1">
      <alignment horizontal="center" vertical="center"/>
    </xf>
    <xf numFmtId="0" fontId="15" fillId="11" borderId="99" xfId="0" applyFont="1" applyFill="1" applyBorder="1" applyAlignment="1">
      <alignment horizontal="center" vertical="center"/>
    </xf>
    <xf numFmtId="0" fontId="15" fillId="11" borderId="95" xfId="0" applyFont="1" applyFill="1" applyBorder="1" applyAlignment="1">
      <alignment horizontal="center" vertical="center"/>
    </xf>
    <xf numFmtId="0" fontId="15" fillId="11" borderId="98" xfId="0" applyFont="1" applyFill="1" applyBorder="1" applyAlignment="1">
      <alignment horizontal="center" vertical="center"/>
    </xf>
    <xf numFmtId="0" fontId="15" fillId="10" borderId="0" xfId="0" applyFont="1" applyFill="1" applyBorder="1" applyAlignment="1">
      <alignment horizontal="center" vertical="center" wrapText="1"/>
    </xf>
    <xf numFmtId="0" fontId="15" fillId="10" borderId="100" xfId="0" applyFont="1" applyFill="1" applyBorder="1" applyAlignment="1">
      <alignment horizontal="center" vertical="center" wrapText="1"/>
    </xf>
    <xf numFmtId="0" fontId="15" fillId="10" borderId="5" xfId="0" applyFont="1" applyFill="1" applyBorder="1" applyAlignment="1">
      <alignment horizontal="center" vertical="center" wrapText="1"/>
    </xf>
    <xf numFmtId="0" fontId="15" fillId="10" borderId="103" xfId="0" applyFont="1" applyFill="1" applyBorder="1" applyAlignment="1">
      <alignment horizontal="center" vertical="center" wrapText="1"/>
    </xf>
    <xf numFmtId="0" fontId="15" fillId="14" borderId="94" xfId="0" applyFont="1" applyFill="1" applyBorder="1" applyAlignment="1">
      <alignment horizontal="center" vertical="center" wrapText="1"/>
    </xf>
    <xf numFmtId="0" fontId="15" fillId="14" borderId="95" xfId="0" applyFont="1" applyFill="1" applyBorder="1" applyAlignment="1">
      <alignment horizontal="center" vertical="center" wrapText="1"/>
    </xf>
    <xf numFmtId="0" fontId="15" fillId="14" borderId="101" xfId="0" applyFont="1" applyFill="1" applyBorder="1" applyAlignment="1">
      <alignment horizontal="center" vertical="center" wrapText="1"/>
    </xf>
    <xf numFmtId="0" fontId="15" fillId="14" borderId="104" xfId="0" applyFont="1" applyFill="1" applyBorder="1" applyAlignment="1">
      <alignment horizontal="center" vertical="center" wrapText="1"/>
    </xf>
    <xf numFmtId="0" fontId="15" fillId="14" borderId="5" xfId="0" applyFont="1" applyFill="1" applyBorder="1" applyAlignment="1">
      <alignment horizontal="center" vertical="center" wrapText="1"/>
    </xf>
    <xf numFmtId="0" fontId="15" fillId="14" borderId="103" xfId="0" applyFont="1" applyFill="1" applyBorder="1" applyAlignment="1">
      <alignment horizontal="center" vertical="center" wrapText="1"/>
    </xf>
    <xf numFmtId="0" fontId="7" fillId="0" borderId="121" xfId="0" applyFont="1" applyFill="1" applyBorder="1" applyAlignment="1" applyProtection="1">
      <alignment vertical="center" wrapText="1"/>
    </xf>
    <xf numFmtId="0" fontId="0" fillId="0" borderId="122" xfId="0" applyBorder="1" applyAlignment="1" applyProtection="1">
      <alignment vertical="center"/>
    </xf>
    <xf numFmtId="0" fontId="0" fillId="0" borderId="147" xfId="0" applyBorder="1" applyAlignment="1" applyProtection="1">
      <alignment vertical="center"/>
    </xf>
    <xf numFmtId="165" fontId="10" fillId="0" borderId="66" xfId="0" applyNumberFormat="1" applyFont="1" applyFill="1" applyBorder="1" applyAlignment="1" applyProtection="1">
      <alignment horizontal="center" vertical="center"/>
    </xf>
    <xf numFmtId="0" fontId="0" fillId="0" borderId="56" xfId="0" applyBorder="1" applyAlignment="1" applyProtection="1">
      <alignment horizontal="center" vertical="center"/>
    </xf>
    <xf numFmtId="165" fontId="10" fillId="0" borderId="29" xfId="0" applyNumberFormat="1" applyFont="1" applyFill="1" applyBorder="1" applyAlignment="1" applyProtection="1">
      <alignment horizontal="center" vertical="center"/>
    </xf>
    <xf numFmtId="0" fontId="0" fillId="0" borderId="57" xfId="0" applyBorder="1" applyAlignment="1" applyProtection="1">
      <alignment horizontal="center" vertical="center"/>
    </xf>
    <xf numFmtId="165" fontId="10" fillId="0" borderId="55" xfId="0" applyNumberFormat="1" applyFont="1" applyFill="1" applyBorder="1" applyAlignment="1" applyProtection="1">
      <alignment horizontal="center" vertical="center"/>
    </xf>
    <xf numFmtId="0" fontId="2" fillId="0" borderId="11" xfId="0" applyFont="1" applyBorder="1" applyAlignment="1" applyProtection="1">
      <alignment horizontal="center" vertical="center"/>
    </xf>
    <xf numFmtId="0" fontId="2" fillId="0" borderId="15" xfId="0" applyFont="1" applyBorder="1" applyAlignment="1" applyProtection="1">
      <alignment horizontal="center" vertical="center"/>
    </xf>
    <xf numFmtId="0" fontId="4" fillId="22" borderId="116" xfId="0" applyFont="1" applyFill="1" applyBorder="1" applyAlignment="1" applyProtection="1">
      <alignment horizontal="left"/>
    </xf>
    <xf numFmtId="0" fontId="4" fillId="22" borderId="26" xfId="0" applyFont="1" applyFill="1" applyBorder="1" applyAlignment="1" applyProtection="1">
      <alignment horizontal="left"/>
    </xf>
    <xf numFmtId="0" fontId="4" fillId="0" borderId="95" xfId="0" applyFont="1" applyFill="1" applyBorder="1" applyAlignment="1" applyProtection="1">
      <alignment horizontal="left"/>
    </xf>
    <xf numFmtId="1" fontId="14" fillId="22" borderId="86" xfId="0" applyNumberFormat="1" applyFont="1" applyFill="1" applyBorder="1" applyAlignment="1" applyProtection="1">
      <alignment horizontal="center" vertical="center"/>
    </xf>
    <xf numFmtId="0" fontId="0" fillId="0" borderId="87" xfId="0" applyBorder="1" applyAlignment="1" applyProtection="1">
      <alignment horizontal="center" vertical="center"/>
    </xf>
    <xf numFmtId="0" fontId="0" fillId="0" borderId="88" xfId="0" applyBorder="1" applyAlignment="1" applyProtection="1">
      <alignment horizontal="center" vertical="center"/>
    </xf>
    <xf numFmtId="165" fontId="10" fillId="0" borderId="59" xfId="0" applyNumberFormat="1" applyFont="1" applyFill="1" applyBorder="1" applyAlignment="1" applyProtection="1">
      <alignment horizontal="left" vertical="center"/>
    </xf>
    <xf numFmtId="0" fontId="0" fillId="0" borderId="60" xfId="0" applyBorder="1" applyAlignment="1" applyProtection="1">
      <alignment horizontal="left" vertical="center"/>
    </xf>
    <xf numFmtId="0" fontId="0" fillId="0" borderId="61" xfId="0" applyBorder="1" applyAlignment="1" applyProtection="1">
      <alignment horizontal="left" vertical="center"/>
    </xf>
    <xf numFmtId="49" fontId="11" fillId="0" borderId="55" xfId="0" applyNumberFormat="1" applyFont="1" applyFill="1" applyBorder="1" applyAlignment="1" applyProtection="1">
      <alignment horizontal="center" vertical="center"/>
    </xf>
    <xf numFmtId="0" fontId="0" fillId="0" borderId="66" xfId="0" applyBorder="1" applyAlignment="1" applyProtection="1">
      <alignment horizontal="center" vertical="center"/>
    </xf>
    <xf numFmtId="0" fontId="2" fillId="0" borderId="11" xfId="0" applyFont="1" applyBorder="1" applyAlignment="1" applyProtection="1">
      <alignment horizontal="center" vertical="center" wrapText="1"/>
    </xf>
    <xf numFmtId="0" fontId="2" fillId="0" borderId="15" xfId="0" applyFont="1" applyBorder="1" applyAlignment="1" applyProtection="1">
      <alignment horizontal="center" vertical="center" wrapText="1"/>
    </xf>
    <xf numFmtId="0" fontId="2" fillId="0" borderId="6" xfId="0" applyFont="1" applyBorder="1" applyAlignment="1" applyProtection="1">
      <alignment horizontal="center" vertical="center"/>
    </xf>
    <xf numFmtId="0" fontId="2" fillId="0" borderId="7" xfId="0" applyFont="1" applyBorder="1" applyAlignment="1" applyProtection="1"/>
    <xf numFmtId="0" fontId="2" fillId="0" borderId="8" xfId="0" applyFont="1" applyBorder="1" applyAlignment="1" applyProtection="1"/>
    <xf numFmtId="0" fontId="2" fillId="0" borderId="12" xfId="0" applyFont="1" applyBorder="1" applyAlignment="1" applyProtection="1"/>
    <xf numFmtId="0" fontId="2" fillId="0" borderId="2" xfId="0" applyFont="1" applyBorder="1" applyAlignment="1" applyProtection="1"/>
    <xf numFmtId="0" fontId="2" fillId="0" borderId="13" xfId="0" applyFont="1" applyBorder="1" applyAlignment="1" applyProtection="1"/>
    <xf numFmtId="0" fontId="2" fillId="0" borderId="9" xfId="0" applyFont="1" applyBorder="1" applyAlignment="1" applyProtection="1">
      <alignment horizontal="center" vertical="center"/>
    </xf>
    <xf numFmtId="0" fontId="2" fillId="0" borderId="10" xfId="0" applyFont="1" applyBorder="1" applyAlignment="1" applyProtection="1">
      <alignment horizontal="center" vertical="center"/>
    </xf>
    <xf numFmtId="0" fontId="2" fillId="0" borderId="10" xfId="0" applyFont="1" applyBorder="1" applyAlignment="1" applyProtection="1"/>
    <xf numFmtId="0" fontId="0" fillId="0" borderId="10" xfId="0" applyBorder="1" applyAlignment="1" applyProtection="1"/>
    <xf numFmtId="0" fontId="2" fillId="0" borderId="14" xfId="0" applyFont="1" applyBorder="1" applyAlignment="1" applyProtection="1"/>
    <xf numFmtId="0" fontId="2" fillId="0" borderId="5" xfId="0" applyFont="1" applyBorder="1" applyAlignment="1" applyProtection="1"/>
    <xf numFmtId="0" fontId="0" fillId="0" borderId="5" xfId="0" applyBorder="1" applyAlignment="1" applyProtection="1"/>
    <xf numFmtId="0" fontId="2" fillId="0" borderId="7" xfId="0" applyFont="1" applyBorder="1" applyAlignment="1" applyProtection="1">
      <alignment horizontal="center" vertical="center"/>
    </xf>
    <xf numFmtId="0" fontId="2" fillId="0" borderId="8" xfId="0" applyFont="1" applyBorder="1" applyAlignment="1" applyProtection="1">
      <alignment horizontal="center" vertical="center"/>
    </xf>
    <xf numFmtId="0" fontId="2" fillId="0" borderId="12" xfId="0" applyFont="1" applyBorder="1" applyAlignment="1" applyProtection="1">
      <alignment horizontal="center" vertical="center"/>
    </xf>
    <xf numFmtId="0" fontId="2" fillId="0" borderId="2" xfId="0" applyFont="1" applyBorder="1" applyAlignment="1" applyProtection="1">
      <alignment horizontal="center" vertical="center"/>
    </xf>
    <xf numFmtId="0" fontId="2" fillId="0" borderId="13" xfId="0" applyFont="1" applyBorder="1" applyAlignment="1" applyProtection="1">
      <alignment horizontal="center" vertical="center"/>
    </xf>
    <xf numFmtId="0" fontId="0" fillId="0" borderId="15" xfId="0" applyBorder="1" applyAlignment="1" applyProtection="1">
      <alignment horizontal="center" vertical="center"/>
    </xf>
    <xf numFmtId="0" fontId="2" fillId="0" borderId="24" xfId="0" applyFont="1" applyBorder="1" applyAlignment="1" applyProtection="1">
      <alignment horizontal="center" vertical="center" wrapText="1"/>
    </xf>
    <xf numFmtId="0" fontId="2" fillId="0" borderId="25" xfId="0" applyFont="1" applyBorder="1" applyAlignment="1" applyProtection="1">
      <alignment horizontal="center" vertical="center" wrapText="1"/>
    </xf>
    <xf numFmtId="0" fontId="12" fillId="0" borderId="0" xfId="0" applyFont="1" applyFill="1" applyBorder="1" applyAlignment="1" applyProtection="1">
      <alignment horizontal="left" vertical="center" wrapText="1"/>
    </xf>
    <xf numFmtId="0" fontId="13" fillId="0" borderId="0" xfId="0" applyFont="1" applyBorder="1" applyAlignment="1" applyProtection="1">
      <alignment horizontal="left" vertical="center" wrapText="1"/>
    </xf>
    <xf numFmtId="0" fontId="9" fillId="0" borderId="10" xfId="0" applyFont="1" applyFill="1" applyBorder="1" applyAlignment="1" applyProtection="1">
      <alignment horizontal="center" vertical="center" wrapText="1"/>
    </xf>
    <xf numFmtId="0" fontId="0" fillId="0" borderId="10" xfId="0" applyFill="1" applyBorder="1" applyAlignment="1" applyProtection="1">
      <alignment horizontal="center" vertical="center"/>
    </xf>
    <xf numFmtId="165" fontId="12" fillId="0" borderId="0" xfId="0" applyNumberFormat="1" applyFont="1" applyFill="1" applyBorder="1" applyAlignment="1" applyProtection="1">
      <alignment horizontal="left" vertical="center"/>
    </xf>
    <xf numFmtId="0" fontId="13" fillId="0" borderId="0" xfId="0" applyFont="1" applyBorder="1" applyAlignment="1" applyProtection="1">
      <alignment horizontal="left" vertical="center"/>
    </xf>
    <xf numFmtId="0" fontId="12" fillId="0" borderId="0" xfId="0" applyFont="1" applyFill="1" applyBorder="1" applyAlignment="1">
      <alignment horizontal="left" vertical="center" wrapText="1"/>
    </xf>
    <xf numFmtId="0" fontId="13" fillId="0" borderId="0" xfId="0" applyFont="1" applyBorder="1" applyAlignment="1">
      <alignment horizontal="left" vertical="center" wrapText="1"/>
    </xf>
    <xf numFmtId="0" fontId="9" fillId="0" borderId="10" xfId="0" applyFont="1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/>
    </xf>
    <xf numFmtId="165" fontId="12" fillId="0" borderId="0" xfId="0" applyNumberFormat="1" applyFont="1" applyFill="1" applyBorder="1" applyAlignment="1">
      <alignment horizontal="left" vertical="center"/>
    </xf>
    <xf numFmtId="0" fontId="13" fillId="0" borderId="0" xfId="0" applyFont="1" applyBorder="1" applyAlignment="1">
      <alignment horizontal="left" vertical="center"/>
    </xf>
    <xf numFmtId="165" fontId="10" fillId="0" borderId="66" xfId="0" applyNumberFormat="1" applyFont="1" applyFill="1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165" fontId="10" fillId="0" borderId="29" xfId="0" applyNumberFormat="1" applyFont="1" applyFill="1" applyBorder="1" applyAlignment="1">
      <alignment horizontal="center" vertical="center"/>
    </xf>
    <xf numFmtId="0" fontId="0" fillId="0" borderId="57" xfId="0" applyBorder="1" applyAlignment="1">
      <alignment horizontal="center" vertical="center"/>
    </xf>
    <xf numFmtId="165" fontId="10" fillId="0" borderId="55" xfId="0" applyNumberFormat="1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1" fontId="14" fillId="22" borderId="86" xfId="0" applyNumberFormat="1" applyFont="1" applyFill="1" applyBorder="1" applyAlignment="1">
      <alignment horizontal="center" vertical="center"/>
    </xf>
    <xf numFmtId="0" fontId="0" fillId="0" borderId="87" xfId="0" applyBorder="1" applyAlignment="1">
      <alignment horizontal="center" vertical="center"/>
    </xf>
    <xf numFmtId="0" fontId="0" fillId="0" borderId="88" xfId="0" applyBorder="1" applyAlignment="1">
      <alignment horizontal="center" vertical="center"/>
    </xf>
    <xf numFmtId="165" fontId="10" fillId="0" borderId="59" xfId="0" applyNumberFormat="1" applyFont="1" applyFill="1" applyBorder="1" applyAlignment="1">
      <alignment horizontal="left" vertical="center"/>
    </xf>
    <xf numFmtId="0" fontId="0" fillId="0" borderId="60" xfId="0" applyBorder="1" applyAlignment="1">
      <alignment horizontal="left" vertical="center"/>
    </xf>
    <xf numFmtId="0" fontId="0" fillId="0" borderId="61" xfId="0" applyBorder="1" applyAlignment="1">
      <alignment horizontal="left" vertical="center"/>
    </xf>
    <xf numFmtId="0" fontId="7" fillId="0" borderId="121" xfId="0" applyFont="1" applyFill="1" applyBorder="1" applyAlignment="1">
      <alignment vertical="center" wrapText="1"/>
    </xf>
    <xf numFmtId="0" fontId="0" fillId="0" borderId="122" xfId="0" applyBorder="1" applyAlignment="1">
      <alignment vertical="center"/>
    </xf>
    <xf numFmtId="0" fontId="0" fillId="0" borderId="147" xfId="0" applyBorder="1" applyAlignment="1">
      <alignment vertical="center"/>
    </xf>
    <xf numFmtId="0" fontId="4" fillId="22" borderId="116" xfId="0" applyFont="1" applyFill="1" applyBorder="1" applyAlignment="1">
      <alignment horizontal="left"/>
    </xf>
    <xf numFmtId="0" fontId="4" fillId="22" borderId="26" xfId="0" applyFont="1" applyFill="1" applyBorder="1" applyAlignment="1">
      <alignment horizontal="left"/>
    </xf>
    <xf numFmtId="49" fontId="11" fillId="0" borderId="55" xfId="0" applyNumberFormat="1" applyFont="1" applyFill="1" applyBorder="1" applyAlignment="1">
      <alignment horizontal="center" vertical="center"/>
    </xf>
    <xf numFmtId="0" fontId="0" fillId="0" borderId="66" xfId="0" applyBorder="1" applyAlignment="1">
      <alignment horizontal="center" vertical="center"/>
    </xf>
    <xf numFmtId="0" fontId="2" fillId="0" borderId="11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/>
    <xf numFmtId="0" fontId="2" fillId="0" borderId="8" xfId="0" applyFont="1" applyBorder="1" applyAlignment="1"/>
    <xf numFmtId="0" fontId="2" fillId="0" borderId="12" xfId="0" applyFont="1" applyBorder="1" applyAlignment="1"/>
    <xf numFmtId="0" fontId="2" fillId="0" borderId="2" xfId="0" applyFont="1" applyBorder="1" applyAlignment="1"/>
    <xf numFmtId="0" fontId="2" fillId="0" borderId="13" xfId="0" applyFont="1" applyBorder="1" applyAlignment="1"/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0" xfId="0" applyFont="1" applyBorder="1" applyAlignment="1"/>
    <xf numFmtId="0" fontId="0" fillId="0" borderId="10" xfId="0" applyBorder="1" applyAlignment="1"/>
    <xf numFmtId="0" fontId="2" fillId="0" borderId="14" xfId="0" applyFont="1" applyBorder="1" applyAlignment="1"/>
    <xf numFmtId="0" fontId="2" fillId="0" borderId="5" xfId="0" applyFont="1" applyBorder="1" applyAlignment="1"/>
    <xf numFmtId="0" fontId="0" fillId="0" borderId="5" xfId="0" applyBorder="1" applyAlignment="1"/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2" fillId="0" borderId="24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7" fillId="0" borderId="0" xfId="0" applyFont="1" applyFill="1" applyBorder="1" applyAlignment="1">
      <alignment horizontal="left" vertical="center" wrapText="1"/>
    </xf>
    <xf numFmtId="0" fontId="0" fillId="0" borderId="0" xfId="0" applyBorder="1" applyAlignment="1">
      <alignment horizontal="left" vertical="center"/>
    </xf>
    <xf numFmtId="0" fontId="4" fillId="0" borderId="148" xfId="0" applyFont="1" applyFill="1" applyBorder="1" applyAlignment="1">
      <alignment horizontal="left"/>
    </xf>
    <xf numFmtId="0" fontId="4" fillId="0" borderId="0" xfId="0" applyFont="1" applyFill="1" applyBorder="1" applyAlignment="1">
      <alignment horizontal="left"/>
    </xf>
    <xf numFmtId="0" fontId="4" fillId="0" borderId="95" xfId="0" applyFont="1" applyFill="1" applyBorder="1" applyAlignment="1">
      <alignment horizontal="left"/>
    </xf>
    <xf numFmtId="0" fontId="4" fillId="22" borderId="149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99FFCC"/>
      <color rgb="FFDB6D29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ept/Utilities%20Department/Divisions/Water%20Treatment/Binney/BWPF%20Operating%20Reports/BWPF%20Flow%20Reports%20and%20Query%20Tool/BWPF%20Monthly%20Plant%20Flows%202012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Yearly Summary "/>
      <sheetName val="January"/>
      <sheetName val="February"/>
      <sheetName val="March"/>
      <sheetName val="April"/>
      <sheetName val="May"/>
      <sheetName val="June"/>
      <sheetName val="July"/>
      <sheetName val="August"/>
      <sheetName val="September"/>
      <sheetName val="October"/>
      <sheetName val="November"/>
      <sheetName val="December"/>
      <sheetName val="Sheet4"/>
    </sheetNames>
    <sheetDataSet>
      <sheetData sheetId="0">
        <row r="29">
          <cell r="C29">
            <v>1342.9573150251554</v>
          </cell>
          <cell r="D29">
            <v>5.9562346835977413</v>
          </cell>
          <cell r="Q29">
            <v>23.624071483337403</v>
          </cell>
          <cell r="R29">
            <v>1.9313404541015625E-3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5" Type="http://schemas.openxmlformats.org/officeDocument/2006/relationships/package" Target="../embeddings/Microsoft_Office_Word_Document2.docx"/><Relationship Id="rId4" Type="http://schemas.openxmlformats.org/officeDocument/2006/relationships/package" Target="../embeddings/Microsoft_Office_Word_Document1.docx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printerSettings" Target="../printerSettings/printerSettings20.bin"/><Relationship Id="rId1" Type="http://schemas.openxmlformats.org/officeDocument/2006/relationships/printerSettings" Target="../printerSettings/printerSettings19.bin"/><Relationship Id="rId4" Type="http://schemas.openxmlformats.org/officeDocument/2006/relationships/comments" Target="../comments8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printerSettings" Target="../printerSettings/printerSettings22.bin"/><Relationship Id="rId1" Type="http://schemas.openxmlformats.org/officeDocument/2006/relationships/printerSettings" Target="../printerSettings/printerSettings21.bin"/><Relationship Id="rId4" Type="http://schemas.openxmlformats.org/officeDocument/2006/relationships/comments" Target="../comments9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printerSettings" Target="../printerSettings/printerSettings24.bin"/><Relationship Id="rId1" Type="http://schemas.openxmlformats.org/officeDocument/2006/relationships/printerSettings" Target="../printerSettings/printerSettings23.bin"/><Relationship Id="rId4" Type="http://schemas.openxmlformats.org/officeDocument/2006/relationships/comments" Target="../comments10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printerSettings" Target="../printerSettings/printerSettings26.bin"/><Relationship Id="rId1" Type="http://schemas.openxmlformats.org/officeDocument/2006/relationships/printerSettings" Target="../printerSettings/printerSettings25.bin"/><Relationship Id="rId4" Type="http://schemas.openxmlformats.org/officeDocument/2006/relationships/comments" Target="../comments11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4.vml"/><Relationship Id="rId2" Type="http://schemas.openxmlformats.org/officeDocument/2006/relationships/printerSettings" Target="../printerSettings/printerSettings28.bin"/><Relationship Id="rId1" Type="http://schemas.openxmlformats.org/officeDocument/2006/relationships/printerSettings" Target="../printerSettings/printerSettings27.bin"/><Relationship Id="rId4" Type="http://schemas.openxmlformats.org/officeDocument/2006/relationships/comments" Target="../comments12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4" Type="http://schemas.openxmlformats.org/officeDocument/2006/relationships/comments" Target="../comments13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6.vml"/><Relationship Id="rId2" Type="http://schemas.openxmlformats.org/officeDocument/2006/relationships/printerSettings" Target="../printerSettings/printerSettings32.bin"/><Relationship Id="rId1" Type="http://schemas.openxmlformats.org/officeDocument/2006/relationships/printerSettings" Target="../printerSettings/printerSettings31.bin"/><Relationship Id="rId4" Type="http://schemas.openxmlformats.org/officeDocument/2006/relationships/comments" Target="../comments1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5" Type="http://schemas.openxmlformats.org/officeDocument/2006/relationships/package" Target="../embeddings/Microsoft_Office_Word_Document4.docx"/><Relationship Id="rId4" Type="http://schemas.openxmlformats.org/officeDocument/2006/relationships/package" Target="../embeddings/Microsoft_Office_Word_Document3.docx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printerSettings" Target="../printerSettings/printerSettings12.bin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printerSettings" Target="../printerSettings/printerSettings14.bin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5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4" Type="http://schemas.openxmlformats.org/officeDocument/2006/relationships/comments" Target="../comments6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printerSettings" Target="../printerSettings/printerSettings18.bin"/><Relationship Id="rId1" Type="http://schemas.openxmlformats.org/officeDocument/2006/relationships/printerSettings" Target="../printerSettings/printerSettings17.bin"/><Relationship Id="rId4" Type="http://schemas.openxmlformats.org/officeDocument/2006/relationships/comments" Target="../comments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L19" sqref="L19"/>
    </sheetView>
  </sheetViews>
  <sheetFormatPr defaultRowHeight="15"/>
  <sheetData/>
  <sheetProtection password="A25B" sheet="1" objects="1" scenarios="1"/>
  <customSheetViews>
    <customSheetView guid="{322E6371-A03C-4BCA-B267-212DFC76880A}">
      <selection activeCell="L19" sqref="L19"/>
      <pageMargins left="0.7" right="0.7" top="0.75" bottom="0.75" header="0.3" footer="0.3"/>
      <pageSetup orientation="portrait" r:id="rId1"/>
    </customSheetView>
  </customSheetViews>
  <pageMargins left="0.7" right="0.7" top="0.75" bottom="0.75" header="0.3" footer="0.3"/>
  <pageSetup orientation="portrait" r:id="rId2"/>
  <legacyDrawing r:id="rId3"/>
  <oleObjects>
    <oleObject progId="Word.Document.12" shapeId="33793" r:id="rId4"/>
    <oleObject progId="Word.Document.12" shapeId="33794" r:id="rId5"/>
  </oleObjects>
</worksheet>
</file>

<file path=xl/worksheets/sheet10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U62"/>
  <sheetViews>
    <sheetView topLeftCell="A31" zoomScale="75" zoomScaleNormal="75" workbookViewId="0">
      <selection activeCell="H51" sqref="H51"/>
    </sheetView>
  </sheetViews>
  <sheetFormatPr defaultRowHeight="15"/>
  <cols>
    <col min="1" max="1" width="35.140625" bestFit="1" customWidth="1"/>
    <col min="2" max="2" width="28.7109375" bestFit="1" customWidth="1"/>
    <col min="3" max="3" width="27.7109375" bestFit="1" customWidth="1"/>
    <col min="4" max="4" width="29.5703125" customWidth="1"/>
    <col min="5" max="5" width="24.140625" bestFit="1" customWidth="1"/>
    <col min="6" max="6" width="15" bestFit="1" customWidth="1"/>
    <col min="7" max="7" width="35.5703125" customWidth="1"/>
    <col min="8" max="8" width="21.85546875" bestFit="1" customWidth="1"/>
    <col min="9" max="9" width="23" bestFit="1" customWidth="1"/>
    <col min="10" max="10" width="25.85546875" bestFit="1" customWidth="1"/>
    <col min="11" max="11" width="19" bestFit="1" customWidth="1"/>
    <col min="12" max="12" width="17" bestFit="1" customWidth="1"/>
    <col min="13" max="13" width="16" bestFit="1" customWidth="1"/>
    <col min="14" max="14" width="19.5703125" bestFit="1" customWidth="1"/>
    <col min="15" max="16" width="16.140625" bestFit="1" customWidth="1"/>
    <col min="17" max="17" width="23.85546875" bestFit="1" customWidth="1"/>
    <col min="18" max="18" width="24.28515625" bestFit="1" customWidth="1"/>
    <col min="19" max="19" width="25.85546875" bestFit="1" customWidth="1"/>
    <col min="20" max="20" width="25.7109375" bestFit="1" customWidth="1"/>
    <col min="21" max="22" width="11.42578125" bestFit="1" customWidth="1"/>
    <col min="23" max="23" width="20.140625" bestFit="1" customWidth="1"/>
    <col min="24" max="24" width="19.85546875" bestFit="1" customWidth="1"/>
    <col min="25" max="25" width="22.42578125" bestFit="1" customWidth="1"/>
    <col min="26" max="26" width="22.140625" bestFit="1" customWidth="1"/>
    <col min="27" max="27" width="21.140625" bestFit="1" customWidth="1"/>
    <col min="28" max="28" width="32.7109375" bestFit="1" customWidth="1"/>
    <col min="29" max="29" width="36.7109375" customWidth="1"/>
    <col min="30" max="30" width="33.140625" bestFit="1" customWidth="1"/>
    <col min="31" max="31" width="26.85546875" customWidth="1"/>
    <col min="32" max="32" width="23" customWidth="1"/>
    <col min="33" max="33" width="22.28515625" customWidth="1"/>
    <col min="34" max="34" width="22.5703125" bestFit="1" customWidth="1"/>
    <col min="35" max="35" width="16" bestFit="1" customWidth="1"/>
    <col min="36" max="36" width="16.7109375" bestFit="1" customWidth="1"/>
    <col min="37" max="38" width="15.140625" bestFit="1" customWidth="1"/>
    <col min="39" max="39" width="21.28515625" bestFit="1" customWidth="1"/>
    <col min="40" max="40" width="18.28515625" bestFit="1" customWidth="1"/>
    <col min="41" max="41" width="15.140625" customWidth="1"/>
    <col min="42" max="43" width="15.140625" bestFit="1" customWidth="1"/>
  </cols>
  <sheetData>
    <row r="1" spans="1:47" ht="15" customHeight="1">
      <c r="A1" s="1" t="s">
        <v>0</v>
      </c>
      <c r="B1" s="2"/>
      <c r="C1" t="s">
        <v>1</v>
      </c>
      <c r="O1" s="3"/>
      <c r="P1" s="4"/>
      <c r="Q1" s="4"/>
      <c r="R1" s="4"/>
    </row>
    <row r="2" spans="1:47" ht="15" customHeight="1">
      <c r="A2" s="1" t="s">
        <v>2</v>
      </c>
      <c r="B2" s="5"/>
      <c r="O2" s="4"/>
      <c r="P2" s="4"/>
      <c r="Q2" s="4"/>
      <c r="R2" s="4"/>
    </row>
    <row r="3" spans="1:47" ht="15.75" thickBot="1">
      <c r="A3" s="6"/>
    </row>
    <row r="4" spans="1:47" ht="30" customHeight="1" thickTop="1">
      <c r="A4" s="13"/>
      <c r="B4" s="744" t="s">
        <v>3</v>
      </c>
      <c r="C4" s="745"/>
      <c r="D4" s="745"/>
      <c r="E4" s="745"/>
      <c r="F4" s="745"/>
      <c r="G4" s="745"/>
      <c r="H4" s="746"/>
      <c r="I4" s="744" t="s">
        <v>4</v>
      </c>
      <c r="J4" s="745"/>
      <c r="K4" s="745"/>
      <c r="L4" s="745"/>
      <c r="M4" s="745"/>
      <c r="N4" s="746"/>
      <c r="O4" s="750" t="s">
        <v>5</v>
      </c>
      <c r="P4" s="751"/>
      <c r="Q4" s="752"/>
      <c r="R4" s="752"/>
      <c r="S4" s="752"/>
      <c r="T4" s="753"/>
      <c r="U4" s="744" t="s">
        <v>6</v>
      </c>
      <c r="V4" s="757"/>
      <c r="W4" s="757"/>
      <c r="X4" s="757"/>
      <c r="Y4" s="757"/>
      <c r="Z4" s="757"/>
      <c r="AA4" s="758"/>
      <c r="AB4" s="727" t="s">
        <v>7</v>
      </c>
      <c r="AC4" s="763" t="s">
        <v>8</v>
      </c>
      <c r="AD4" s="742" t="s">
        <v>27</v>
      </c>
      <c r="AE4" s="742" t="s">
        <v>31</v>
      </c>
      <c r="AF4" s="742" t="s">
        <v>32</v>
      </c>
      <c r="AG4" s="742" t="s">
        <v>33</v>
      </c>
      <c r="AH4" s="727" t="s">
        <v>172</v>
      </c>
      <c r="AI4" s="727" t="s">
        <v>173</v>
      </c>
      <c r="AJ4" s="727" t="s">
        <v>174</v>
      </c>
      <c r="AK4" s="727" t="s">
        <v>175</v>
      </c>
      <c r="AL4" s="727" t="s">
        <v>176</v>
      </c>
      <c r="AM4" s="727" t="s">
        <v>177</v>
      </c>
      <c r="AN4" s="727" t="s">
        <v>178</v>
      </c>
      <c r="AO4" s="727" t="s">
        <v>181</v>
      </c>
      <c r="AP4" s="727" t="s">
        <v>179</v>
      </c>
      <c r="AQ4" s="727" t="s">
        <v>180</v>
      </c>
      <c r="AT4" t="s">
        <v>168</v>
      </c>
      <c r="AU4" s="324" t="s">
        <v>206</v>
      </c>
    </row>
    <row r="5" spans="1:47" ht="30" customHeight="1" thickBot="1">
      <c r="A5" s="13"/>
      <c r="B5" s="747"/>
      <c r="C5" s="748"/>
      <c r="D5" s="748"/>
      <c r="E5" s="748"/>
      <c r="F5" s="748"/>
      <c r="G5" s="748"/>
      <c r="H5" s="749"/>
      <c r="I5" s="747"/>
      <c r="J5" s="748"/>
      <c r="K5" s="748"/>
      <c r="L5" s="748"/>
      <c r="M5" s="748"/>
      <c r="N5" s="749"/>
      <c r="O5" s="754"/>
      <c r="P5" s="755"/>
      <c r="Q5" s="755"/>
      <c r="R5" s="755"/>
      <c r="S5" s="755"/>
      <c r="T5" s="756"/>
      <c r="U5" s="759"/>
      <c r="V5" s="760"/>
      <c r="W5" s="760"/>
      <c r="X5" s="760"/>
      <c r="Y5" s="760"/>
      <c r="Z5" s="760"/>
      <c r="AA5" s="761"/>
      <c r="AB5" s="762"/>
      <c r="AC5" s="764"/>
      <c r="AD5" s="743"/>
      <c r="AE5" s="743"/>
      <c r="AF5" s="743"/>
      <c r="AG5" s="743"/>
      <c r="AH5" s="728"/>
      <c r="AI5" s="728"/>
      <c r="AJ5" s="728"/>
      <c r="AK5" s="728"/>
      <c r="AL5" s="728"/>
      <c r="AM5" s="728"/>
      <c r="AN5" s="728"/>
      <c r="AO5" s="728"/>
      <c r="AP5" s="728"/>
      <c r="AQ5" s="728"/>
    </row>
    <row r="6" spans="1:47" ht="18">
      <c r="A6" s="7"/>
      <c r="B6" s="14" t="s">
        <v>9</v>
      </c>
      <c r="C6" s="8" t="s">
        <v>10</v>
      </c>
      <c r="D6" s="8" t="s">
        <v>11</v>
      </c>
      <c r="E6" s="8" t="s">
        <v>12</v>
      </c>
      <c r="F6" s="8" t="s">
        <v>13</v>
      </c>
      <c r="G6" s="8" t="s">
        <v>14</v>
      </c>
      <c r="H6" s="15" t="s">
        <v>15</v>
      </c>
      <c r="I6" s="16" t="s">
        <v>9</v>
      </c>
      <c r="J6" s="8" t="s">
        <v>16</v>
      </c>
      <c r="K6" s="8" t="s">
        <v>17</v>
      </c>
      <c r="L6" s="9" t="s">
        <v>18</v>
      </c>
      <c r="M6" s="8" t="s">
        <v>19</v>
      </c>
      <c r="N6" s="15" t="s">
        <v>13</v>
      </c>
      <c r="O6" s="14" t="s">
        <v>35</v>
      </c>
      <c r="P6" s="9" t="s">
        <v>36</v>
      </c>
      <c r="Q6" s="9" t="s">
        <v>37</v>
      </c>
      <c r="R6" s="9" t="s">
        <v>38</v>
      </c>
      <c r="S6" s="8" t="s">
        <v>39</v>
      </c>
      <c r="T6" s="39" t="s">
        <v>40</v>
      </c>
      <c r="U6" s="17" t="s">
        <v>41</v>
      </c>
      <c r="V6" s="8" t="s">
        <v>42</v>
      </c>
      <c r="W6" s="8" t="s">
        <v>43</v>
      </c>
      <c r="X6" s="8" t="s">
        <v>44</v>
      </c>
      <c r="Y6" s="8" t="s">
        <v>45</v>
      </c>
      <c r="Z6" s="8" t="s">
        <v>46</v>
      </c>
      <c r="AA6" s="18" t="s">
        <v>20</v>
      </c>
      <c r="AB6" s="19" t="s">
        <v>21</v>
      </c>
      <c r="AC6" s="19" t="s">
        <v>22</v>
      </c>
      <c r="AD6" s="42" t="s">
        <v>30</v>
      </c>
      <c r="AE6" s="42"/>
      <c r="AF6" s="42"/>
      <c r="AG6" s="42"/>
      <c r="AH6" s="42"/>
      <c r="AI6" s="42"/>
      <c r="AJ6" s="42"/>
      <c r="AK6" s="42"/>
      <c r="AL6" s="42"/>
      <c r="AM6" s="42"/>
      <c r="AN6" s="42"/>
      <c r="AO6" s="42"/>
      <c r="AP6" s="42"/>
      <c r="AQ6" s="42"/>
    </row>
    <row r="7" spans="1:47" ht="15.75" thickBot="1">
      <c r="A7" s="7"/>
      <c r="B7" s="20" t="s">
        <v>23</v>
      </c>
      <c r="C7" s="10" t="s">
        <v>23</v>
      </c>
      <c r="D7" s="10" t="s">
        <v>23</v>
      </c>
      <c r="E7" s="10" t="s">
        <v>23</v>
      </c>
      <c r="F7" s="10" t="s">
        <v>23</v>
      </c>
      <c r="G7" s="10" t="s">
        <v>24</v>
      </c>
      <c r="H7" s="21" t="s">
        <v>23</v>
      </c>
      <c r="I7" s="20" t="s">
        <v>23</v>
      </c>
      <c r="J7" s="10" t="s">
        <v>23</v>
      </c>
      <c r="K7" s="10" t="s">
        <v>23</v>
      </c>
      <c r="L7" s="10" t="s">
        <v>23</v>
      </c>
      <c r="M7" s="10" t="s">
        <v>23</v>
      </c>
      <c r="N7" s="21" t="s">
        <v>23</v>
      </c>
      <c r="O7" s="20" t="s">
        <v>23</v>
      </c>
      <c r="P7" s="10" t="s">
        <v>23</v>
      </c>
      <c r="Q7" s="10" t="s">
        <v>23</v>
      </c>
      <c r="R7" s="10" t="s">
        <v>23</v>
      </c>
      <c r="S7" s="10" t="s">
        <v>23</v>
      </c>
      <c r="T7" s="40" t="s">
        <v>23</v>
      </c>
      <c r="U7" s="20" t="s">
        <v>25</v>
      </c>
      <c r="V7" s="10" t="s">
        <v>25</v>
      </c>
      <c r="W7" s="10" t="s">
        <v>23</v>
      </c>
      <c r="X7" s="10" t="s">
        <v>23</v>
      </c>
      <c r="Y7" s="10" t="s">
        <v>23</v>
      </c>
      <c r="Z7" s="10" t="s">
        <v>23</v>
      </c>
      <c r="AA7" s="21" t="s">
        <v>23</v>
      </c>
      <c r="AB7" s="22" t="s">
        <v>25</v>
      </c>
      <c r="AC7" s="305" t="s">
        <v>23</v>
      </c>
      <c r="AD7" s="22" t="s">
        <v>28</v>
      </c>
      <c r="AE7" s="22" t="s">
        <v>28</v>
      </c>
      <c r="AF7" s="22" t="s">
        <v>28</v>
      </c>
      <c r="AG7" s="22" t="s">
        <v>34</v>
      </c>
      <c r="AH7" s="22" t="s">
        <v>169</v>
      </c>
      <c r="AI7" s="22" t="s">
        <v>169</v>
      </c>
      <c r="AJ7" s="22" t="s">
        <v>169</v>
      </c>
      <c r="AK7" s="22" t="s">
        <v>169</v>
      </c>
      <c r="AL7" s="22" t="s">
        <v>169</v>
      </c>
      <c r="AM7" s="22" t="s">
        <v>169</v>
      </c>
      <c r="AN7" s="22" t="s">
        <v>169</v>
      </c>
      <c r="AO7" s="22" t="s">
        <v>169</v>
      </c>
      <c r="AP7" s="22" t="s">
        <v>169</v>
      </c>
      <c r="AQ7" s="22" t="s">
        <v>169</v>
      </c>
    </row>
    <row r="8" spans="1:47">
      <c r="A8" s="11">
        <v>41061</v>
      </c>
      <c r="B8" s="49"/>
      <c r="C8" s="50">
        <v>0</v>
      </c>
      <c r="D8" s="50">
        <v>0</v>
      </c>
      <c r="E8" s="50">
        <v>0</v>
      </c>
      <c r="F8" s="50">
        <v>0</v>
      </c>
      <c r="G8" s="50">
        <v>0</v>
      </c>
      <c r="H8" s="51">
        <v>0</v>
      </c>
      <c r="I8" s="49">
        <v>603.00558783213285</v>
      </c>
      <c r="J8" s="50">
        <v>1791.3578063190023</v>
      </c>
      <c r="K8" s="50">
        <v>21.718765225013154</v>
      </c>
      <c r="L8" s="50">
        <v>0</v>
      </c>
      <c r="M8" s="50">
        <v>0</v>
      </c>
      <c r="N8" s="51">
        <v>0</v>
      </c>
      <c r="O8" s="49">
        <v>0</v>
      </c>
      <c r="P8" s="50">
        <v>0</v>
      </c>
      <c r="Q8" s="50">
        <v>0</v>
      </c>
      <c r="R8" s="50">
        <v>0</v>
      </c>
      <c r="S8" s="50">
        <v>0</v>
      </c>
      <c r="T8" s="52">
        <v>0</v>
      </c>
      <c r="U8" s="53">
        <v>547.67607337104425</v>
      </c>
      <c r="V8" s="54">
        <v>0</v>
      </c>
      <c r="W8" s="54">
        <v>56.760636740922855</v>
      </c>
      <c r="X8" s="54">
        <v>0</v>
      </c>
      <c r="Y8" s="54">
        <v>578.96590401331639</v>
      </c>
      <c r="Z8" s="54">
        <v>0</v>
      </c>
      <c r="AA8" s="55">
        <v>0</v>
      </c>
      <c r="AB8" s="56">
        <v>0</v>
      </c>
      <c r="AC8" s="57">
        <v>0</v>
      </c>
      <c r="AD8" s="57">
        <v>21.59702599313523</v>
      </c>
      <c r="AE8" s="58">
        <v>21.29123221106903</v>
      </c>
      <c r="AF8" s="58">
        <v>0</v>
      </c>
      <c r="AG8" s="58">
        <v>1</v>
      </c>
      <c r="AH8" s="57">
        <v>194.32343678474427</v>
      </c>
      <c r="AI8" s="57">
        <v>435.5681011835735</v>
      </c>
      <c r="AJ8" s="57">
        <v>1130.619701576233</v>
      </c>
      <c r="AK8" s="57">
        <v>997.54734134674084</v>
      </c>
      <c r="AL8" s="57">
        <v>867.63861195246398</v>
      </c>
      <c r="AM8" s="57">
        <v>1766.3828357696536</v>
      </c>
      <c r="AN8" s="57">
        <v>468.50049190521224</v>
      </c>
      <c r="AO8" s="57">
        <v>2393.3768194834392</v>
      </c>
      <c r="AP8" s="57">
        <v>356.57981872558594</v>
      </c>
      <c r="AQ8" s="57">
        <v>887.02531414031978</v>
      </c>
    </row>
    <row r="9" spans="1:47">
      <c r="A9" s="11">
        <v>41062</v>
      </c>
      <c r="B9" s="59"/>
      <c r="C9" s="60">
        <v>0</v>
      </c>
      <c r="D9" s="60">
        <v>0</v>
      </c>
      <c r="E9" s="60">
        <v>0</v>
      </c>
      <c r="F9" s="60">
        <v>0</v>
      </c>
      <c r="G9" s="60">
        <v>0</v>
      </c>
      <c r="H9" s="61">
        <v>0</v>
      </c>
      <c r="I9" s="59">
        <v>563.50669250488249</v>
      </c>
      <c r="J9" s="60">
        <v>1763.0154083013524</v>
      </c>
      <c r="K9" s="60">
        <v>21.792194193601723</v>
      </c>
      <c r="L9" s="60">
        <v>0</v>
      </c>
      <c r="M9" s="60">
        <v>0</v>
      </c>
      <c r="N9" s="61">
        <v>0</v>
      </c>
      <c r="O9" s="59">
        <v>0</v>
      </c>
      <c r="P9" s="60">
        <v>0</v>
      </c>
      <c r="Q9" s="62">
        <v>0</v>
      </c>
      <c r="R9" s="63">
        <v>0</v>
      </c>
      <c r="S9" s="60">
        <v>0</v>
      </c>
      <c r="T9" s="64">
        <v>0</v>
      </c>
      <c r="U9" s="65">
        <v>542.9661839591148</v>
      </c>
      <c r="V9" s="62">
        <v>0</v>
      </c>
      <c r="W9" s="62">
        <v>58.671126500765467</v>
      </c>
      <c r="X9" s="62">
        <v>0</v>
      </c>
      <c r="Y9" s="66">
        <v>588.74779297510872</v>
      </c>
      <c r="Z9" s="66">
        <v>0</v>
      </c>
      <c r="AA9" s="67">
        <v>0</v>
      </c>
      <c r="AB9" s="68">
        <v>0</v>
      </c>
      <c r="AC9" s="69">
        <v>0</v>
      </c>
      <c r="AD9" s="69">
        <v>21.748823045359689</v>
      </c>
      <c r="AE9" s="68">
        <v>21.416151196461716</v>
      </c>
      <c r="AF9" s="68">
        <v>0</v>
      </c>
      <c r="AG9" s="68">
        <v>1</v>
      </c>
      <c r="AH9" s="69">
        <v>276.50133785406751</v>
      </c>
      <c r="AI9" s="69">
        <v>515.0382529417675</v>
      </c>
      <c r="AJ9" s="69">
        <v>1133.8897261301679</v>
      </c>
      <c r="AK9" s="69">
        <v>999.96186186472562</v>
      </c>
      <c r="AL9" s="69">
        <v>867.5924487749736</v>
      </c>
      <c r="AM9" s="69">
        <v>1705.3222688039139</v>
      </c>
      <c r="AN9" s="69">
        <v>474.86926263173416</v>
      </c>
      <c r="AO9" s="69">
        <v>2477.5590718587241</v>
      </c>
      <c r="AP9" s="69">
        <v>351.37856769561768</v>
      </c>
      <c r="AQ9" s="69">
        <v>821.83969481786107</v>
      </c>
    </row>
    <row r="10" spans="1:47">
      <c r="A10" s="11">
        <v>41063</v>
      </c>
      <c r="B10" s="59"/>
      <c r="C10" s="60">
        <v>0</v>
      </c>
      <c r="D10" s="60">
        <v>0</v>
      </c>
      <c r="E10" s="60">
        <v>0</v>
      </c>
      <c r="F10" s="60">
        <v>0</v>
      </c>
      <c r="G10" s="60">
        <v>0</v>
      </c>
      <c r="H10" s="61">
        <v>0</v>
      </c>
      <c r="I10" s="59">
        <v>561.8569772402434</v>
      </c>
      <c r="J10" s="60">
        <v>1653.7146406809527</v>
      </c>
      <c r="K10" s="60">
        <v>20.479593169689185</v>
      </c>
      <c r="L10" s="60">
        <v>0</v>
      </c>
      <c r="M10" s="60">
        <v>0</v>
      </c>
      <c r="N10" s="61">
        <v>0</v>
      </c>
      <c r="O10" s="59">
        <v>0</v>
      </c>
      <c r="P10" s="60">
        <v>0</v>
      </c>
      <c r="Q10" s="60">
        <v>0</v>
      </c>
      <c r="R10" s="63">
        <v>0</v>
      </c>
      <c r="S10" s="60">
        <v>0</v>
      </c>
      <c r="T10" s="64">
        <v>0</v>
      </c>
      <c r="U10" s="65">
        <v>516.94777484469535</v>
      </c>
      <c r="V10" s="62">
        <v>0</v>
      </c>
      <c r="W10" s="62">
        <v>55.098832790056754</v>
      </c>
      <c r="X10" s="62">
        <v>0</v>
      </c>
      <c r="Y10" s="66">
        <v>550.01760044097909</v>
      </c>
      <c r="Z10" s="66">
        <v>0</v>
      </c>
      <c r="AA10" s="67">
        <v>0</v>
      </c>
      <c r="AB10" s="68">
        <v>0</v>
      </c>
      <c r="AC10" s="69">
        <v>0</v>
      </c>
      <c r="AD10" s="69">
        <v>20.875309100415969</v>
      </c>
      <c r="AE10" s="68">
        <v>20.500617941481501</v>
      </c>
      <c r="AF10" s="68">
        <v>0</v>
      </c>
      <c r="AG10" s="68">
        <v>1</v>
      </c>
      <c r="AH10" s="69">
        <v>206.44925038019815</v>
      </c>
      <c r="AI10" s="69">
        <v>443.53581689198813</v>
      </c>
      <c r="AJ10" s="69">
        <v>1184.5083774566654</v>
      </c>
      <c r="AK10" s="69">
        <v>1002.388760884603</v>
      </c>
      <c r="AL10" s="69">
        <v>871.84703661600759</v>
      </c>
      <c r="AM10" s="69">
        <v>1678.9891635894774</v>
      </c>
      <c r="AN10" s="69">
        <v>478.37337145805361</v>
      </c>
      <c r="AO10" s="69">
        <v>2283.7761539459229</v>
      </c>
      <c r="AP10" s="69">
        <v>351.78672159512843</v>
      </c>
      <c r="AQ10" s="69">
        <v>856.5221381187439</v>
      </c>
    </row>
    <row r="11" spans="1:47">
      <c r="A11" s="11">
        <v>41064</v>
      </c>
      <c r="B11" s="59"/>
      <c r="C11" s="60">
        <v>0</v>
      </c>
      <c r="D11" s="60">
        <v>0</v>
      </c>
      <c r="E11" s="60">
        <v>0</v>
      </c>
      <c r="F11" s="60">
        <v>0</v>
      </c>
      <c r="G11" s="60">
        <v>0</v>
      </c>
      <c r="H11" s="61">
        <v>0</v>
      </c>
      <c r="I11" s="59">
        <v>552.38748127619442</v>
      </c>
      <c r="J11" s="60">
        <v>1668.7639493624438</v>
      </c>
      <c r="K11" s="60">
        <v>20.474677687883368</v>
      </c>
      <c r="L11" s="60">
        <v>0</v>
      </c>
      <c r="M11" s="60">
        <v>0</v>
      </c>
      <c r="N11" s="61">
        <v>0</v>
      </c>
      <c r="O11" s="59">
        <v>0</v>
      </c>
      <c r="P11" s="60">
        <v>0</v>
      </c>
      <c r="Q11" s="60">
        <v>0</v>
      </c>
      <c r="R11" s="63">
        <v>0</v>
      </c>
      <c r="S11" s="60">
        <v>0</v>
      </c>
      <c r="T11" s="64">
        <v>0</v>
      </c>
      <c r="U11" s="65">
        <v>517.22519762250806</v>
      </c>
      <c r="V11" s="62">
        <v>0</v>
      </c>
      <c r="W11" s="62">
        <v>55.033644521236397</v>
      </c>
      <c r="X11" s="62">
        <v>0</v>
      </c>
      <c r="Y11" s="66">
        <v>566.9018571853635</v>
      </c>
      <c r="Z11" s="66">
        <v>0</v>
      </c>
      <c r="AA11" s="67">
        <v>0</v>
      </c>
      <c r="AB11" s="68">
        <v>0</v>
      </c>
      <c r="AC11" s="69">
        <v>0</v>
      </c>
      <c r="AD11" s="69">
        <v>20.882621379693337</v>
      </c>
      <c r="AE11" s="68">
        <v>20.498220162633686</v>
      </c>
      <c r="AF11" s="68">
        <v>0</v>
      </c>
      <c r="AG11" s="68">
        <v>1</v>
      </c>
      <c r="AH11" s="69">
        <v>217.64907854398092</v>
      </c>
      <c r="AI11" s="69">
        <v>461.19008183479303</v>
      </c>
      <c r="AJ11" s="69">
        <v>1211.9392668406167</v>
      </c>
      <c r="AK11" s="69">
        <v>1011.14747244517</v>
      </c>
      <c r="AL11" s="69">
        <v>856.9061624844868</v>
      </c>
      <c r="AM11" s="69">
        <v>1692.0583903630575</v>
      </c>
      <c r="AN11" s="69">
        <v>502.59678386052451</v>
      </c>
      <c r="AO11" s="69">
        <v>2356.3899813334147</v>
      </c>
      <c r="AP11" s="69">
        <v>399.08451925913482</v>
      </c>
      <c r="AQ11" s="69">
        <v>990.02316579818728</v>
      </c>
    </row>
    <row r="12" spans="1:47">
      <c r="A12" s="11">
        <v>41065</v>
      </c>
      <c r="B12" s="59"/>
      <c r="C12" s="60">
        <v>0</v>
      </c>
      <c r="D12" s="60">
        <v>0</v>
      </c>
      <c r="E12" s="60">
        <v>0</v>
      </c>
      <c r="F12" s="60">
        <v>0</v>
      </c>
      <c r="G12" s="60">
        <v>0</v>
      </c>
      <c r="H12" s="61">
        <v>0</v>
      </c>
      <c r="I12" s="59">
        <v>610.14413973490412</v>
      </c>
      <c r="J12" s="60">
        <v>1733.5304209391336</v>
      </c>
      <c r="K12" s="60">
        <v>21.185270505150182</v>
      </c>
      <c r="L12" s="60">
        <v>0</v>
      </c>
      <c r="M12" s="60">
        <v>0</v>
      </c>
      <c r="N12" s="61">
        <v>0</v>
      </c>
      <c r="O12" s="59">
        <v>0</v>
      </c>
      <c r="P12" s="60">
        <v>0</v>
      </c>
      <c r="Q12" s="60">
        <v>0</v>
      </c>
      <c r="R12" s="63">
        <v>0</v>
      </c>
      <c r="S12" s="60">
        <v>0</v>
      </c>
      <c r="T12" s="64">
        <v>0</v>
      </c>
      <c r="U12" s="65">
        <v>536.15238469442068</v>
      </c>
      <c r="V12" s="62">
        <v>0</v>
      </c>
      <c r="W12" s="62">
        <v>58.43008386691411</v>
      </c>
      <c r="X12" s="62">
        <v>0</v>
      </c>
      <c r="Y12" s="66">
        <v>566.82983134587801</v>
      </c>
      <c r="Z12" s="66">
        <v>0</v>
      </c>
      <c r="AA12" s="67">
        <v>0</v>
      </c>
      <c r="AB12" s="68">
        <v>0</v>
      </c>
      <c r="AC12" s="69">
        <v>0</v>
      </c>
      <c r="AD12" s="69">
        <v>21.639846995141703</v>
      </c>
      <c r="AE12" s="68">
        <v>21.240413821538439</v>
      </c>
      <c r="AF12" s="68">
        <v>0</v>
      </c>
      <c r="AG12" s="68">
        <v>1</v>
      </c>
      <c r="AH12" s="69">
        <v>287.93978056907656</v>
      </c>
      <c r="AI12" s="69">
        <v>534.25988547007239</v>
      </c>
      <c r="AJ12" s="69">
        <v>1157.9373479843139</v>
      </c>
      <c r="AK12" s="69">
        <v>1010.2316495895386</v>
      </c>
      <c r="AL12" s="69">
        <v>866.53325236638375</v>
      </c>
      <c r="AM12" s="69">
        <v>1703.3516469955443</v>
      </c>
      <c r="AN12" s="69">
        <v>486.41743987401327</v>
      </c>
      <c r="AO12" s="69">
        <v>2392.8759574890132</v>
      </c>
      <c r="AP12" s="69">
        <v>423.74969873428353</v>
      </c>
      <c r="AQ12" s="69">
        <v>938.31436611811318</v>
      </c>
    </row>
    <row r="13" spans="1:47">
      <c r="A13" s="11">
        <v>41066</v>
      </c>
      <c r="B13" s="59"/>
      <c r="C13" s="60">
        <v>0</v>
      </c>
      <c r="D13" s="60">
        <v>0</v>
      </c>
      <c r="E13" s="60">
        <v>0</v>
      </c>
      <c r="F13" s="60">
        <v>0</v>
      </c>
      <c r="G13" s="60">
        <v>0</v>
      </c>
      <c r="H13" s="61">
        <v>0</v>
      </c>
      <c r="I13" s="59">
        <v>650.26508076985704</v>
      </c>
      <c r="J13" s="60">
        <v>1761.272778115675</v>
      </c>
      <c r="K13" s="60">
        <v>21.525274610519485</v>
      </c>
      <c r="L13" s="60">
        <v>0</v>
      </c>
      <c r="M13" s="60">
        <v>0</v>
      </c>
      <c r="N13" s="61">
        <v>0</v>
      </c>
      <c r="O13" s="59">
        <v>0</v>
      </c>
      <c r="P13" s="60">
        <v>0</v>
      </c>
      <c r="Q13" s="60">
        <v>0</v>
      </c>
      <c r="R13" s="63">
        <v>0</v>
      </c>
      <c r="S13" s="60">
        <v>0</v>
      </c>
      <c r="T13" s="64">
        <v>0</v>
      </c>
      <c r="U13" s="65">
        <v>539.23595706091703</v>
      </c>
      <c r="V13" s="62">
        <v>0</v>
      </c>
      <c r="W13" s="62">
        <v>58.141736396153888</v>
      </c>
      <c r="X13" s="62">
        <v>0</v>
      </c>
      <c r="Y13" s="66">
        <v>572.89465436935347</v>
      </c>
      <c r="Z13" s="66">
        <v>0</v>
      </c>
      <c r="AA13" s="67">
        <v>0</v>
      </c>
      <c r="AB13" s="68">
        <v>0</v>
      </c>
      <c r="AC13" s="69">
        <v>0</v>
      </c>
      <c r="AD13" s="69">
        <v>21.64764812456237</v>
      </c>
      <c r="AE13" s="68">
        <v>21.370656002472451</v>
      </c>
      <c r="AF13" s="68">
        <v>0</v>
      </c>
      <c r="AG13" s="68">
        <v>1</v>
      </c>
      <c r="AH13" s="69">
        <v>211.69617544809975</v>
      </c>
      <c r="AI13" s="69">
        <v>452.85393211046852</v>
      </c>
      <c r="AJ13" s="69">
        <v>1138.0363755544026</v>
      </c>
      <c r="AK13" s="69">
        <v>1019.8501633961995</v>
      </c>
      <c r="AL13" s="69">
        <v>871.24007781346631</v>
      </c>
      <c r="AM13" s="69">
        <v>1781.5898264567059</v>
      </c>
      <c r="AN13" s="69">
        <v>474.57876874605819</v>
      </c>
      <c r="AO13" s="69">
        <v>2427.9675167083738</v>
      </c>
      <c r="AP13" s="69">
        <v>366.85568847656248</v>
      </c>
      <c r="AQ13" s="69">
        <v>894.29326162338259</v>
      </c>
    </row>
    <row r="14" spans="1:47">
      <c r="A14" s="11">
        <v>41067</v>
      </c>
      <c r="B14" s="59"/>
      <c r="C14" s="60">
        <v>0</v>
      </c>
      <c r="D14" s="60">
        <v>0</v>
      </c>
      <c r="E14" s="60">
        <v>0</v>
      </c>
      <c r="F14" s="60">
        <v>0</v>
      </c>
      <c r="G14" s="60">
        <v>0</v>
      </c>
      <c r="H14" s="61">
        <v>0</v>
      </c>
      <c r="I14" s="59">
        <v>509.01230751673484</v>
      </c>
      <c r="J14" s="60">
        <v>1370.593944104512</v>
      </c>
      <c r="K14" s="60">
        <v>16.944753949840916</v>
      </c>
      <c r="L14" s="60">
        <v>0</v>
      </c>
      <c r="M14" s="60">
        <v>0</v>
      </c>
      <c r="N14" s="61">
        <v>0</v>
      </c>
      <c r="O14" s="59">
        <v>0</v>
      </c>
      <c r="P14" s="60">
        <v>0</v>
      </c>
      <c r="Q14" s="60">
        <v>0</v>
      </c>
      <c r="R14" s="63">
        <v>0</v>
      </c>
      <c r="S14" s="60">
        <v>0</v>
      </c>
      <c r="T14" s="64">
        <v>0</v>
      </c>
      <c r="U14" s="65">
        <v>432.67292448679433</v>
      </c>
      <c r="V14" s="62">
        <v>0</v>
      </c>
      <c r="W14" s="62">
        <v>44.218518141905392</v>
      </c>
      <c r="X14" s="62">
        <v>0</v>
      </c>
      <c r="Y14" s="66">
        <v>448.56024870872562</v>
      </c>
      <c r="Z14" s="66">
        <v>0</v>
      </c>
      <c r="AA14" s="67">
        <v>0</v>
      </c>
      <c r="AB14" s="68">
        <v>0</v>
      </c>
      <c r="AC14" s="69">
        <v>0</v>
      </c>
      <c r="AD14" s="69">
        <v>17.267333885696186</v>
      </c>
      <c r="AE14" s="68">
        <v>17.045697913148487</v>
      </c>
      <c r="AF14" s="68">
        <v>0</v>
      </c>
      <c r="AG14" s="68">
        <v>1</v>
      </c>
      <c r="AH14" s="69">
        <v>352.17732723553974</v>
      </c>
      <c r="AI14" s="69">
        <v>583.62579867045076</v>
      </c>
      <c r="AJ14" s="69">
        <v>1136.6988476435345</v>
      </c>
      <c r="AK14" s="69">
        <v>979.34391428629556</v>
      </c>
      <c r="AL14" s="69">
        <v>863.67621154785161</v>
      </c>
      <c r="AM14" s="69">
        <v>1833.7823019663495</v>
      </c>
      <c r="AN14" s="69">
        <v>441.84730100631714</v>
      </c>
      <c r="AO14" s="69">
        <v>1962.4769805908202</v>
      </c>
      <c r="AP14" s="69">
        <v>253.82420044740039</v>
      </c>
      <c r="AQ14" s="69">
        <v>910.15528888702397</v>
      </c>
    </row>
    <row r="15" spans="1:47">
      <c r="A15" s="11">
        <v>41068</v>
      </c>
      <c r="B15" s="59"/>
      <c r="C15" s="60">
        <v>0</v>
      </c>
      <c r="D15" s="60">
        <v>0</v>
      </c>
      <c r="E15" s="60">
        <v>0</v>
      </c>
      <c r="F15" s="60">
        <v>0</v>
      </c>
      <c r="G15" s="60">
        <v>0</v>
      </c>
      <c r="H15" s="61">
        <v>0</v>
      </c>
      <c r="I15" s="59">
        <v>480.5635159174596</v>
      </c>
      <c r="J15" s="60">
        <v>1225.7456630706793</v>
      </c>
      <c r="K15" s="60">
        <v>14.861372450987506</v>
      </c>
      <c r="L15" s="60">
        <v>0</v>
      </c>
      <c r="M15" s="60">
        <v>0</v>
      </c>
      <c r="N15" s="61">
        <v>0</v>
      </c>
      <c r="O15" s="59">
        <v>0</v>
      </c>
      <c r="P15" s="60">
        <v>0</v>
      </c>
      <c r="Q15" s="60">
        <v>0</v>
      </c>
      <c r="R15" s="63">
        <v>0</v>
      </c>
      <c r="S15" s="60">
        <v>0</v>
      </c>
      <c r="T15" s="64">
        <v>0</v>
      </c>
      <c r="U15" s="65">
        <v>380.59612130059264</v>
      </c>
      <c r="V15" s="62">
        <v>0</v>
      </c>
      <c r="W15" s="62">
        <v>39.909194433689166</v>
      </c>
      <c r="X15" s="62">
        <v>0</v>
      </c>
      <c r="Y15" s="66">
        <v>375.31061018307963</v>
      </c>
      <c r="Z15" s="66">
        <v>0</v>
      </c>
      <c r="AA15" s="67">
        <v>0</v>
      </c>
      <c r="AB15" s="68">
        <v>0</v>
      </c>
      <c r="AC15" s="69">
        <v>0</v>
      </c>
      <c r="AD15" s="69">
        <v>14.893509770101954</v>
      </c>
      <c r="AE15" s="68">
        <v>14.673476333463526</v>
      </c>
      <c r="AF15" s="68">
        <v>0</v>
      </c>
      <c r="AG15" s="68">
        <v>1</v>
      </c>
      <c r="AH15" s="69">
        <v>206.15945134162902</v>
      </c>
      <c r="AI15" s="69">
        <v>461.97596731185911</v>
      </c>
      <c r="AJ15" s="69">
        <v>1225.2868158340457</v>
      </c>
      <c r="AK15" s="69">
        <v>984.82729466756189</v>
      </c>
      <c r="AL15" s="69">
        <v>875.01590188344312</v>
      </c>
      <c r="AM15" s="69">
        <v>1840.5313696543376</v>
      </c>
      <c r="AN15" s="69">
        <v>506.72261619567882</v>
      </c>
      <c r="AO15" s="69">
        <v>1703.1564632415771</v>
      </c>
      <c r="AP15" s="69">
        <v>375.28518013954164</v>
      </c>
      <c r="AQ15" s="69">
        <v>923.5091881434123</v>
      </c>
    </row>
    <row r="16" spans="1:47">
      <c r="A16" s="11">
        <v>41069</v>
      </c>
      <c r="B16" s="59"/>
      <c r="C16" s="60">
        <v>0</v>
      </c>
      <c r="D16" s="60">
        <v>0</v>
      </c>
      <c r="E16" s="60">
        <v>0</v>
      </c>
      <c r="F16" s="60">
        <v>0</v>
      </c>
      <c r="G16" s="60">
        <v>0</v>
      </c>
      <c r="H16" s="61">
        <v>0</v>
      </c>
      <c r="I16" s="59">
        <v>665.79284057617133</v>
      </c>
      <c r="J16" s="60">
        <v>1750.9308421452879</v>
      </c>
      <c r="K16" s="60">
        <v>21.50863050023716</v>
      </c>
      <c r="L16" s="60">
        <v>0</v>
      </c>
      <c r="M16" s="60">
        <v>0</v>
      </c>
      <c r="N16" s="61">
        <v>0</v>
      </c>
      <c r="O16" s="59">
        <v>0</v>
      </c>
      <c r="P16" s="60">
        <v>0</v>
      </c>
      <c r="Q16" s="60">
        <v>0</v>
      </c>
      <c r="R16" s="63">
        <v>0</v>
      </c>
      <c r="S16" s="60">
        <v>0</v>
      </c>
      <c r="T16" s="64">
        <v>0</v>
      </c>
      <c r="U16" s="65">
        <v>544.85153543684214</v>
      </c>
      <c r="V16" s="62">
        <v>0</v>
      </c>
      <c r="W16" s="62">
        <v>57.325985320409146</v>
      </c>
      <c r="X16" s="62">
        <v>0</v>
      </c>
      <c r="Y16" s="66">
        <v>574.90890102386368</v>
      </c>
      <c r="Z16" s="66">
        <v>0</v>
      </c>
      <c r="AA16" s="67">
        <v>0</v>
      </c>
      <c r="AB16" s="68">
        <v>0</v>
      </c>
      <c r="AC16" s="69">
        <v>0</v>
      </c>
      <c r="AD16" s="69">
        <v>21.727559234036335</v>
      </c>
      <c r="AE16" s="68">
        <v>21.329598849408796</v>
      </c>
      <c r="AF16" s="68">
        <v>0</v>
      </c>
      <c r="AG16" s="68">
        <v>1</v>
      </c>
      <c r="AH16" s="69">
        <v>219.38552039464315</v>
      </c>
      <c r="AI16" s="69">
        <v>490.48695840835575</v>
      </c>
      <c r="AJ16" s="69">
        <v>1295.0494668324786</v>
      </c>
      <c r="AK16" s="69">
        <v>1021.4135296503703</v>
      </c>
      <c r="AL16" s="69">
        <v>888.42567145029716</v>
      </c>
      <c r="AM16" s="69">
        <v>1830.0436581929528</v>
      </c>
      <c r="AN16" s="69">
        <v>547.71042569478345</v>
      </c>
      <c r="AO16" s="69">
        <v>2462.562376912435</v>
      </c>
      <c r="AP16" s="69">
        <v>413.98897684415175</v>
      </c>
      <c r="AQ16" s="69">
        <v>999.78405087788906</v>
      </c>
    </row>
    <row r="17" spans="1:43">
      <c r="A17" s="11">
        <v>41070</v>
      </c>
      <c r="B17" s="49"/>
      <c r="C17" s="50">
        <v>0</v>
      </c>
      <c r="D17" s="50">
        <v>0</v>
      </c>
      <c r="E17" s="50">
        <v>0</v>
      </c>
      <c r="F17" s="50">
        <v>0</v>
      </c>
      <c r="G17" s="50">
        <v>0</v>
      </c>
      <c r="H17" s="51">
        <v>0</v>
      </c>
      <c r="I17" s="49">
        <v>644.0811419804885</v>
      </c>
      <c r="J17" s="50">
        <v>1747.7993886947613</v>
      </c>
      <c r="K17" s="50">
        <v>21.306650187571861</v>
      </c>
      <c r="L17" s="60">
        <v>0</v>
      </c>
      <c r="M17" s="50">
        <v>0</v>
      </c>
      <c r="N17" s="51">
        <v>0</v>
      </c>
      <c r="O17" s="49">
        <v>0</v>
      </c>
      <c r="P17" s="50">
        <v>0</v>
      </c>
      <c r="Q17" s="50">
        <v>0</v>
      </c>
      <c r="R17" s="70">
        <v>0</v>
      </c>
      <c r="S17" s="50">
        <v>0</v>
      </c>
      <c r="T17" s="52">
        <v>0</v>
      </c>
      <c r="U17" s="71">
        <v>534.60233126746425</v>
      </c>
      <c r="V17" s="66">
        <v>0</v>
      </c>
      <c r="W17" s="62">
        <v>57.150954635937971</v>
      </c>
      <c r="X17" s="62">
        <v>0</v>
      </c>
      <c r="Y17" s="66">
        <v>585.69660447438673</v>
      </c>
      <c r="Z17" s="66">
        <v>0</v>
      </c>
      <c r="AA17" s="67">
        <v>0</v>
      </c>
      <c r="AB17" s="68">
        <v>0</v>
      </c>
      <c r="AC17" s="69">
        <v>0</v>
      </c>
      <c r="AD17" s="69">
        <v>21.436594216691102</v>
      </c>
      <c r="AE17" s="68">
        <v>21.023409520410755</v>
      </c>
      <c r="AF17" s="68">
        <v>0</v>
      </c>
      <c r="AG17" s="68">
        <v>1</v>
      </c>
      <c r="AH17" s="69">
        <v>226.98952434857688</v>
      </c>
      <c r="AI17" s="69">
        <v>446.20400114059447</v>
      </c>
      <c r="AJ17" s="69">
        <v>1133.3972604751584</v>
      </c>
      <c r="AK17" s="69">
        <v>1010.8766430536907</v>
      </c>
      <c r="AL17" s="69">
        <v>876.03874826431274</v>
      </c>
      <c r="AM17" s="69">
        <v>1815.1158775329586</v>
      </c>
      <c r="AN17" s="69">
        <v>492.08204957644148</v>
      </c>
      <c r="AO17" s="69">
        <v>2519.2416783650715</v>
      </c>
      <c r="AP17" s="69">
        <v>394.21436400413512</v>
      </c>
      <c r="AQ17" s="69">
        <v>790.27053314844738</v>
      </c>
    </row>
    <row r="18" spans="1:43">
      <c r="A18" s="11">
        <v>41071</v>
      </c>
      <c r="B18" s="59"/>
      <c r="C18" s="60">
        <v>0</v>
      </c>
      <c r="D18" s="60">
        <v>0</v>
      </c>
      <c r="E18" s="60">
        <v>0</v>
      </c>
      <c r="F18" s="60">
        <v>0</v>
      </c>
      <c r="G18" s="60">
        <v>0</v>
      </c>
      <c r="H18" s="61">
        <v>0</v>
      </c>
      <c r="I18" s="59">
        <v>638.26915486653581</v>
      </c>
      <c r="J18" s="60">
        <v>1670.7684548695934</v>
      </c>
      <c r="K18" s="60">
        <v>20.542525733510679</v>
      </c>
      <c r="L18" s="60">
        <v>0</v>
      </c>
      <c r="M18" s="60">
        <v>0</v>
      </c>
      <c r="N18" s="61">
        <v>0</v>
      </c>
      <c r="O18" s="59">
        <v>0</v>
      </c>
      <c r="P18" s="60">
        <v>0</v>
      </c>
      <c r="Q18" s="60">
        <v>0</v>
      </c>
      <c r="R18" s="63">
        <v>0</v>
      </c>
      <c r="S18" s="60">
        <v>0</v>
      </c>
      <c r="T18" s="64">
        <v>0</v>
      </c>
      <c r="U18" s="65">
        <v>520.77713383568471</v>
      </c>
      <c r="V18" s="62">
        <v>0</v>
      </c>
      <c r="W18" s="62">
        <v>56.303377517064455</v>
      </c>
      <c r="X18" s="62">
        <v>0</v>
      </c>
      <c r="Y18" s="66">
        <v>568.04447437922317</v>
      </c>
      <c r="Z18" s="66">
        <v>0</v>
      </c>
      <c r="AA18" s="67">
        <v>0</v>
      </c>
      <c r="AB18" s="68">
        <v>0</v>
      </c>
      <c r="AC18" s="69">
        <v>0</v>
      </c>
      <c r="AD18" s="69">
        <v>21.039692718452883</v>
      </c>
      <c r="AE18" s="68">
        <v>20.650120360415329</v>
      </c>
      <c r="AF18" s="68">
        <v>0</v>
      </c>
      <c r="AG18" s="68">
        <v>1</v>
      </c>
      <c r="AH18" s="69">
        <v>199.65764725208282</v>
      </c>
      <c r="AI18" s="69">
        <v>422.91995925903325</v>
      </c>
      <c r="AJ18" s="69">
        <v>1110.3074358622232</v>
      </c>
      <c r="AK18" s="69">
        <v>1004.9449368158976</v>
      </c>
      <c r="AL18" s="69">
        <v>862.05309222539245</v>
      </c>
      <c r="AM18" s="69">
        <v>1837.6440331776932</v>
      </c>
      <c r="AN18" s="69">
        <v>444.24747940699257</v>
      </c>
      <c r="AO18" s="69">
        <v>2294.7612055460609</v>
      </c>
      <c r="AP18" s="69">
        <v>411.73577725092571</v>
      </c>
      <c r="AQ18" s="69">
        <v>832.13957754770911</v>
      </c>
    </row>
    <row r="19" spans="1:43">
      <c r="A19" s="11">
        <v>41072</v>
      </c>
      <c r="B19" s="59"/>
      <c r="C19" s="60">
        <v>0</v>
      </c>
      <c r="D19" s="60">
        <v>0</v>
      </c>
      <c r="E19" s="60">
        <v>0</v>
      </c>
      <c r="F19" s="60">
        <v>0</v>
      </c>
      <c r="G19" s="60">
        <v>0</v>
      </c>
      <c r="H19" s="61">
        <v>0</v>
      </c>
      <c r="I19" s="59">
        <v>681.36100838979144</v>
      </c>
      <c r="J19" s="60">
        <v>1848.1830750783263</v>
      </c>
      <c r="K19" s="60">
        <v>22.714234387874654</v>
      </c>
      <c r="L19" s="60">
        <v>0</v>
      </c>
      <c r="M19" s="60">
        <v>0</v>
      </c>
      <c r="N19" s="61">
        <v>0</v>
      </c>
      <c r="O19" s="59">
        <v>0</v>
      </c>
      <c r="P19" s="60">
        <v>0</v>
      </c>
      <c r="Q19" s="60">
        <v>0</v>
      </c>
      <c r="R19" s="63">
        <v>0</v>
      </c>
      <c r="S19" s="60">
        <v>0</v>
      </c>
      <c r="T19" s="64">
        <v>0</v>
      </c>
      <c r="U19" s="65">
        <v>563.58909865485339</v>
      </c>
      <c r="V19" s="62">
        <v>0</v>
      </c>
      <c r="W19" s="62">
        <v>60.794011871019976</v>
      </c>
      <c r="X19" s="62">
        <v>0</v>
      </c>
      <c r="Y19" s="66">
        <v>625.43295453389521</v>
      </c>
      <c r="Z19" s="66">
        <v>0</v>
      </c>
      <c r="AA19" s="67">
        <v>0</v>
      </c>
      <c r="AB19" s="68">
        <v>0</v>
      </c>
      <c r="AC19" s="69">
        <v>0</v>
      </c>
      <c r="AD19" s="69">
        <v>23.21551673014957</v>
      </c>
      <c r="AE19" s="68">
        <v>22.815204210306579</v>
      </c>
      <c r="AF19" s="68">
        <v>0</v>
      </c>
      <c r="AG19" s="68">
        <v>1</v>
      </c>
      <c r="AH19" s="69">
        <v>208.1885464668274</v>
      </c>
      <c r="AI19" s="69">
        <v>450.76164331436155</v>
      </c>
      <c r="AJ19" s="69">
        <v>1189.043167114258</v>
      </c>
      <c r="AK19" s="69">
        <v>1011.649752553304</v>
      </c>
      <c r="AL19" s="69">
        <v>875.70078385670979</v>
      </c>
      <c r="AM19" s="69">
        <v>1845.4817764282222</v>
      </c>
      <c r="AN19" s="69">
        <v>498.1651251157125</v>
      </c>
      <c r="AO19" s="69">
        <v>2701.6223482767741</v>
      </c>
      <c r="AP19" s="69">
        <v>412.57774230639143</v>
      </c>
      <c r="AQ19" s="69">
        <v>914.7925521214803</v>
      </c>
    </row>
    <row r="20" spans="1:43">
      <c r="A20" s="11">
        <v>41073</v>
      </c>
      <c r="B20" s="59"/>
      <c r="C20" s="60">
        <v>0</v>
      </c>
      <c r="D20" s="60">
        <v>0</v>
      </c>
      <c r="E20" s="60">
        <v>0</v>
      </c>
      <c r="F20" s="60">
        <v>0</v>
      </c>
      <c r="G20" s="60">
        <v>0</v>
      </c>
      <c r="H20" s="61">
        <v>0</v>
      </c>
      <c r="I20" s="59">
        <v>663.3686917622889</v>
      </c>
      <c r="J20" s="60">
        <v>1847.2336219151814</v>
      </c>
      <c r="K20" s="60">
        <v>22.763868925968875</v>
      </c>
      <c r="L20" s="60">
        <v>0</v>
      </c>
      <c r="M20" s="60">
        <v>0</v>
      </c>
      <c r="N20" s="61">
        <v>0</v>
      </c>
      <c r="O20" s="59">
        <v>0</v>
      </c>
      <c r="P20" s="60">
        <v>0</v>
      </c>
      <c r="Q20" s="60">
        <v>0</v>
      </c>
      <c r="R20" s="63">
        <v>0</v>
      </c>
      <c r="S20" s="60">
        <v>0</v>
      </c>
      <c r="T20" s="64">
        <v>0</v>
      </c>
      <c r="U20" s="65">
        <v>555.73828101688355</v>
      </c>
      <c r="V20" s="62">
        <v>0</v>
      </c>
      <c r="W20" s="62">
        <v>58.785761198401445</v>
      </c>
      <c r="X20" s="62">
        <v>0</v>
      </c>
      <c r="Y20" s="66">
        <v>621.96032706101698</v>
      </c>
      <c r="Z20" s="66">
        <v>0</v>
      </c>
      <c r="AA20" s="67">
        <v>0</v>
      </c>
      <c r="AB20" s="68">
        <v>0</v>
      </c>
      <c r="AC20" s="69">
        <v>0</v>
      </c>
      <c r="AD20" s="69">
        <v>22.80971134437458</v>
      </c>
      <c r="AE20" s="68">
        <v>22.552593074926644</v>
      </c>
      <c r="AF20" s="68">
        <v>0</v>
      </c>
      <c r="AG20" s="68">
        <v>1</v>
      </c>
      <c r="AH20" s="69">
        <v>195.71070494651795</v>
      </c>
      <c r="AI20" s="69">
        <v>470.17710625330602</v>
      </c>
      <c r="AJ20" s="69">
        <v>1290.2284456888835</v>
      </c>
      <c r="AK20" s="69">
        <v>1012.1863855997721</v>
      </c>
      <c r="AL20" s="69">
        <v>876.87446603775015</v>
      </c>
      <c r="AM20" s="69">
        <v>1897.2502212524412</v>
      </c>
      <c r="AN20" s="69">
        <v>523.55987806320195</v>
      </c>
      <c r="AO20" s="69">
        <v>2667.2102850596111</v>
      </c>
      <c r="AP20" s="69">
        <v>365.24370528856906</v>
      </c>
      <c r="AQ20" s="69">
        <v>982.71755612691231</v>
      </c>
    </row>
    <row r="21" spans="1:43">
      <c r="A21" s="11">
        <v>41074</v>
      </c>
      <c r="B21" s="59"/>
      <c r="C21" s="60">
        <v>0</v>
      </c>
      <c r="D21" s="60">
        <v>0</v>
      </c>
      <c r="E21" s="60">
        <v>0</v>
      </c>
      <c r="F21" s="60">
        <v>0</v>
      </c>
      <c r="G21" s="60">
        <v>0</v>
      </c>
      <c r="H21" s="61">
        <v>0</v>
      </c>
      <c r="I21" s="59">
        <v>669.24043582280638</v>
      </c>
      <c r="J21" s="60">
        <v>1857.0216180165598</v>
      </c>
      <c r="K21" s="60">
        <v>22.755914253989886</v>
      </c>
      <c r="L21" s="60">
        <v>0</v>
      </c>
      <c r="M21" s="60">
        <v>0</v>
      </c>
      <c r="N21" s="61">
        <v>0</v>
      </c>
      <c r="O21" s="59">
        <v>0</v>
      </c>
      <c r="P21" s="60">
        <v>0</v>
      </c>
      <c r="Q21" s="60">
        <v>0</v>
      </c>
      <c r="R21" s="63">
        <v>0</v>
      </c>
      <c r="S21" s="60">
        <v>0</v>
      </c>
      <c r="T21" s="64">
        <v>0</v>
      </c>
      <c r="U21" s="65">
        <v>570.92003144158946</v>
      </c>
      <c r="V21" s="62">
        <v>0</v>
      </c>
      <c r="W21" s="62">
        <v>60.154794291655243</v>
      </c>
      <c r="X21" s="62">
        <v>0</v>
      </c>
      <c r="Y21" s="66">
        <v>638.38879963556963</v>
      </c>
      <c r="Z21" s="66">
        <v>0</v>
      </c>
      <c r="AA21" s="67">
        <v>0</v>
      </c>
      <c r="AB21" s="68">
        <v>0</v>
      </c>
      <c r="AC21" s="69">
        <v>0</v>
      </c>
      <c r="AD21" s="69">
        <v>23.254301938745758</v>
      </c>
      <c r="AE21" s="68">
        <v>23.002233834023464</v>
      </c>
      <c r="AF21" s="68">
        <v>0</v>
      </c>
      <c r="AG21" s="68">
        <v>1</v>
      </c>
      <c r="AH21" s="69">
        <v>208.98812980651854</v>
      </c>
      <c r="AI21" s="69">
        <v>468.99030389785764</v>
      </c>
      <c r="AJ21" s="69">
        <v>1247.4394526163737</v>
      </c>
      <c r="AK21" s="69">
        <v>1015.1825758616128</v>
      </c>
      <c r="AL21" s="69">
        <v>886.55473407109594</v>
      </c>
      <c r="AM21" s="69">
        <v>1799.0702807108562</v>
      </c>
      <c r="AN21" s="69">
        <v>540.71515755653388</v>
      </c>
      <c r="AO21" s="69">
        <v>2738.5347579956056</v>
      </c>
      <c r="AP21" s="69">
        <v>377.61543138821912</v>
      </c>
      <c r="AQ21" s="69">
        <v>1001.2890175183613</v>
      </c>
    </row>
    <row r="22" spans="1:43">
      <c r="A22" s="11">
        <v>41075</v>
      </c>
      <c r="B22" s="59"/>
      <c r="C22" s="60">
        <v>0</v>
      </c>
      <c r="D22" s="60">
        <v>0</v>
      </c>
      <c r="E22" s="60">
        <v>0</v>
      </c>
      <c r="F22" s="60">
        <v>0</v>
      </c>
      <c r="G22" s="60">
        <v>0</v>
      </c>
      <c r="H22" s="61">
        <v>0</v>
      </c>
      <c r="I22" s="59">
        <v>577.2258463223784</v>
      </c>
      <c r="J22" s="60">
        <v>1613.7949466069556</v>
      </c>
      <c r="K22" s="60">
        <v>19.684442145625717</v>
      </c>
      <c r="L22" s="60">
        <v>0</v>
      </c>
      <c r="M22" s="60">
        <v>0</v>
      </c>
      <c r="N22" s="61">
        <v>0</v>
      </c>
      <c r="O22" s="59">
        <v>0</v>
      </c>
      <c r="P22" s="60">
        <v>0</v>
      </c>
      <c r="Q22" s="60">
        <v>0</v>
      </c>
      <c r="R22" s="63">
        <v>0</v>
      </c>
      <c r="S22" s="60">
        <v>0</v>
      </c>
      <c r="T22" s="64">
        <v>0</v>
      </c>
      <c r="U22" s="65">
        <v>496.97635082669342</v>
      </c>
      <c r="V22" s="62">
        <v>0</v>
      </c>
      <c r="W22" s="62">
        <v>51.811054913202831</v>
      </c>
      <c r="X22" s="62">
        <v>0</v>
      </c>
      <c r="Y22" s="66">
        <v>549.44343659083063</v>
      </c>
      <c r="Z22" s="66">
        <v>0</v>
      </c>
      <c r="AA22" s="67">
        <v>0</v>
      </c>
      <c r="AB22" s="68">
        <v>0</v>
      </c>
      <c r="AC22" s="69">
        <v>0</v>
      </c>
      <c r="AD22" s="69">
        <v>20.072275997532753</v>
      </c>
      <c r="AE22" s="68">
        <v>19.820306548403092</v>
      </c>
      <c r="AF22" s="68">
        <v>0</v>
      </c>
      <c r="AG22" s="68">
        <v>1</v>
      </c>
      <c r="AH22" s="69">
        <v>211.90825181007384</v>
      </c>
      <c r="AI22" s="69">
        <v>454.97763973871861</v>
      </c>
      <c r="AJ22" s="69">
        <v>1154.5953220367433</v>
      </c>
      <c r="AK22" s="69">
        <v>992.65250511169427</v>
      </c>
      <c r="AL22" s="69">
        <v>863.71282119750981</v>
      </c>
      <c r="AM22" s="69">
        <v>1813.7754338582363</v>
      </c>
      <c r="AN22" s="69">
        <v>491.55751822789506</v>
      </c>
      <c r="AO22" s="69">
        <v>2361.3203008015953</v>
      </c>
      <c r="AP22" s="69">
        <v>335.45197466214501</v>
      </c>
      <c r="AQ22" s="69">
        <v>943.98553695678709</v>
      </c>
    </row>
    <row r="23" spans="1:43">
      <c r="A23" s="11">
        <v>41076</v>
      </c>
      <c r="B23" s="59"/>
      <c r="C23" s="60">
        <v>0</v>
      </c>
      <c r="D23" s="60">
        <v>0</v>
      </c>
      <c r="E23" s="60">
        <v>0</v>
      </c>
      <c r="F23" s="60">
        <v>0</v>
      </c>
      <c r="G23" s="60">
        <v>0</v>
      </c>
      <c r="H23" s="61">
        <v>0</v>
      </c>
      <c r="I23" s="59">
        <v>615.94762401580783</v>
      </c>
      <c r="J23" s="60">
        <v>1583.8926986058609</v>
      </c>
      <c r="K23" s="60">
        <v>19.422999998927114</v>
      </c>
      <c r="L23" s="60">
        <v>0</v>
      </c>
      <c r="M23" s="60">
        <v>0</v>
      </c>
      <c r="N23" s="61">
        <v>0</v>
      </c>
      <c r="O23" s="59">
        <v>0</v>
      </c>
      <c r="P23" s="60">
        <v>0</v>
      </c>
      <c r="Q23" s="60">
        <v>0</v>
      </c>
      <c r="R23" s="63">
        <v>0</v>
      </c>
      <c r="S23" s="60">
        <v>0</v>
      </c>
      <c r="T23" s="64">
        <v>0</v>
      </c>
      <c r="U23" s="65">
        <v>493.24059609307864</v>
      </c>
      <c r="V23" s="62">
        <v>0</v>
      </c>
      <c r="W23" s="62">
        <v>51.396113226811039</v>
      </c>
      <c r="X23" s="62">
        <v>0</v>
      </c>
      <c r="Y23" s="66">
        <v>527.30448309580561</v>
      </c>
      <c r="Z23" s="66">
        <v>0</v>
      </c>
      <c r="AA23" s="67">
        <v>0</v>
      </c>
      <c r="AB23" s="68">
        <v>0</v>
      </c>
      <c r="AC23" s="69">
        <v>0</v>
      </c>
      <c r="AD23" s="69">
        <v>19.770397185617025</v>
      </c>
      <c r="AE23" s="68">
        <v>19.476026585219078</v>
      </c>
      <c r="AF23" s="68">
        <v>0</v>
      </c>
      <c r="AG23" s="68">
        <v>1</v>
      </c>
      <c r="AH23" s="69">
        <v>271.92981155713403</v>
      </c>
      <c r="AI23" s="69">
        <v>507.1432785987854</v>
      </c>
      <c r="AJ23" s="69">
        <v>1135.1422308603924</v>
      </c>
      <c r="AK23" s="69">
        <v>990.25198294321672</v>
      </c>
      <c r="AL23" s="69">
        <v>868.42738876342787</v>
      </c>
      <c r="AM23" s="69">
        <v>1804.8811934153239</v>
      </c>
      <c r="AN23" s="69">
        <v>456.79838619232191</v>
      </c>
      <c r="AO23" s="69">
        <v>2273.9118764241534</v>
      </c>
      <c r="AP23" s="69">
        <v>344.93833580017088</v>
      </c>
      <c r="AQ23" s="69">
        <v>844.7290936470032</v>
      </c>
    </row>
    <row r="24" spans="1:43">
      <c r="A24" s="11">
        <v>41077</v>
      </c>
      <c r="B24" s="59"/>
      <c r="C24" s="60">
        <v>0</v>
      </c>
      <c r="D24" s="60">
        <v>0</v>
      </c>
      <c r="E24" s="60">
        <v>0</v>
      </c>
      <c r="F24" s="60">
        <v>0</v>
      </c>
      <c r="G24" s="60">
        <v>0</v>
      </c>
      <c r="H24" s="61">
        <v>0</v>
      </c>
      <c r="I24" s="59">
        <v>703.24078989029056</v>
      </c>
      <c r="J24" s="60">
        <v>1852.6919349670409</v>
      </c>
      <c r="K24" s="60">
        <v>22.833036792278254</v>
      </c>
      <c r="L24" s="60">
        <v>0</v>
      </c>
      <c r="M24" s="60">
        <v>0</v>
      </c>
      <c r="N24" s="61">
        <v>0</v>
      </c>
      <c r="O24" s="59">
        <v>0</v>
      </c>
      <c r="P24" s="60">
        <v>0</v>
      </c>
      <c r="Q24" s="60">
        <v>0</v>
      </c>
      <c r="R24" s="63">
        <v>0</v>
      </c>
      <c r="S24" s="60">
        <v>0</v>
      </c>
      <c r="T24" s="64">
        <v>0</v>
      </c>
      <c r="U24" s="65">
        <v>552.51077223884101</v>
      </c>
      <c r="V24" s="62">
        <v>0</v>
      </c>
      <c r="W24" s="62">
        <v>56.251172415415404</v>
      </c>
      <c r="X24" s="62">
        <v>0</v>
      </c>
      <c r="Y24" s="66">
        <v>604.76918457349268</v>
      </c>
      <c r="Z24" s="66">
        <v>0</v>
      </c>
      <c r="AA24" s="67">
        <v>0</v>
      </c>
      <c r="AB24" s="68">
        <v>0</v>
      </c>
      <c r="AC24" s="69">
        <v>0</v>
      </c>
      <c r="AD24" s="69">
        <v>22.507131926880881</v>
      </c>
      <c r="AE24" s="68">
        <v>22.122869674333256</v>
      </c>
      <c r="AF24" s="68">
        <v>0</v>
      </c>
      <c r="AG24" s="68">
        <v>1</v>
      </c>
      <c r="AH24" s="69">
        <v>218.32347106933594</v>
      </c>
      <c r="AI24" s="69">
        <v>480.35994892120357</v>
      </c>
      <c r="AJ24" s="69">
        <v>1310.8261289596555</v>
      </c>
      <c r="AK24" s="69">
        <v>1013.7379785537719</v>
      </c>
      <c r="AL24" s="69">
        <v>886.03932841618882</v>
      </c>
      <c r="AM24" s="69">
        <v>1832.8763366699218</v>
      </c>
      <c r="AN24" s="69">
        <v>511.36752675374345</v>
      </c>
      <c r="AO24" s="69">
        <v>2447.7135125478103</v>
      </c>
      <c r="AP24" s="69">
        <v>412.19586100578306</v>
      </c>
      <c r="AQ24" s="69">
        <v>937.20697078704848</v>
      </c>
    </row>
    <row r="25" spans="1:43">
      <c r="A25" s="11">
        <v>41078</v>
      </c>
      <c r="B25" s="59"/>
      <c r="C25" s="60">
        <v>0</v>
      </c>
      <c r="D25" s="60">
        <v>0</v>
      </c>
      <c r="E25" s="60">
        <v>0</v>
      </c>
      <c r="F25" s="60">
        <v>0</v>
      </c>
      <c r="G25" s="60">
        <v>0</v>
      </c>
      <c r="H25" s="61">
        <v>0</v>
      </c>
      <c r="I25" s="59">
        <v>720.78165429433216</v>
      </c>
      <c r="J25" s="60">
        <v>1961.5357892354332</v>
      </c>
      <c r="K25" s="60">
        <v>23.911549787719984</v>
      </c>
      <c r="L25" s="60">
        <v>0</v>
      </c>
      <c r="M25" s="60">
        <v>0</v>
      </c>
      <c r="N25" s="61">
        <v>0</v>
      </c>
      <c r="O25" s="59">
        <v>0</v>
      </c>
      <c r="P25" s="60">
        <v>0</v>
      </c>
      <c r="Q25" s="60">
        <v>0</v>
      </c>
      <c r="R25" s="63">
        <v>0</v>
      </c>
      <c r="S25" s="60">
        <v>0</v>
      </c>
      <c r="T25" s="64">
        <v>0</v>
      </c>
      <c r="U25" s="65">
        <v>601.20174619886654</v>
      </c>
      <c r="V25" s="62">
        <v>0</v>
      </c>
      <c r="W25" s="62">
        <v>60.671764365832018</v>
      </c>
      <c r="X25" s="62">
        <v>0</v>
      </c>
      <c r="Y25" s="66">
        <v>693.48020553588765</v>
      </c>
      <c r="Z25" s="66">
        <v>0</v>
      </c>
      <c r="AA25" s="67">
        <v>0</v>
      </c>
      <c r="AB25" s="68">
        <v>0</v>
      </c>
      <c r="AC25" s="69">
        <v>0</v>
      </c>
      <c r="AD25" s="69">
        <v>24.397092865573033</v>
      </c>
      <c r="AE25" s="68">
        <v>23.998890193638914</v>
      </c>
      <c r="AF25" s="68">
        <v>0</v>
      </c>
      <c r="AG25" s="68">
        <v>1</v>
      </c>
      <c r="AH25" s="69">
        <v>218.25687193870544</v>
      </c>
      <c r="AI25" s="69">
        <v>507.45108292897538</v>
      </c>
      <c r="AJ25" s="69">
        <v>1388.5487589518227</v>
      </c>
      <c r="AK25" s="69">
        <v>1028.1595197677611</v>
      </c>
      <c r="AL25" s="69">
        <v>897.58127733866388</v>
      </c>
      <c r="AM25" s="69">
        <v>1845.9371370951335</v>
      </c>
      <c r="AN25" s="69">
        <v>572.83043489456179</v>
      </c>
      <c r="AO25" s="69">
        <v>2920.158314259847</v>
      </c>
      <c r="AP25" s="69">
        <v>446.28428649902338</v>
      </c>
      <c r="AQ25" s="69">
        <v>1078.8641795158387</v>
      </c>
    </row>
    <row r="26" spans="1:43">
      <c r="A26" s="11">
        <v>41079</v>
      </c>
      <c r="B26" s="59"/>
      <c r="C26" s="60">
        <v>0</v>
      </c>
      <c r="D26" s="60">
        <v>0</v>
      </c>
      <c r="E26" s="60">
        <v>0</v>
      </c>
      <c r="F26" s="60">
        <v>0</v>
      </c>
      <c r="G26" s="60">
        <v>0</v>
      </c>
      <c r="H26" s="61">
        <v>0</v>
      </c>
      <c r="I26" s="59">
        <v>695.83376108805362</v>
      </c>
      <c r="J26" s="60">
        <v>1943.6654449462906</v>
      </c>
      <c r="K26" s="60">
        <v>23.916643668214448</v>
      </c>
      <c r="L26" s="60">
        <v>0</v>
      </c>
      <c r="M26" s="60">
        <v>0</v>
      </c>
      <c r="N26" s="61">
        <v>0</v>
      </c>
      <c r="O26" s="59">
        <v>0</v>
      </c>
      <c r="P26" s="60">
        <v>0</v>
      </c>
      <c r="Q26" s="60">
        <v>0</v>
      </c>
      <c r="R26" s="63">
        <v>0</v>
      </c>
      <c r="S26" s="60">
        <v>0</v>
      </c>
      <c r="T26" s="64">
        <v>0</v>
      </c>
      <c r="U26" s="65">
        <v>604.51502414279548</v>
      </c>
      <c r="V26" s="62">
        <v>0</v>
      </c>
      <c r="W26" s="62">
        <v>62.420052186648043</v>
      </c>
      <c r="X26" s="62">
        <v>0</v>
      </c>
      <c r="Y26" s="66">
        <v>701.62340141932339</v>
      </c>
      <c r="Z26" s="66">
        <v>0</v>
      </c>
      <c r="AA26" s="67">
        <v>0</v>
      </c>
      <c r="AB26" s="68">
        <v>0</v>
      </c>
      <c r="AC26" s="69">
        <v>0</v>
      </c>
      <c r="AD26" s="69">
        <v>24.403813225693213</v>
      </c>
      <c r="AE26" s="68">
        <v>23.999771025442019</v>
      </c>
      <c r="AF26" s="68">
        <v>0</v>
      </c>
      <c r="AG26" s="68">
        <v>1</v>
      </c>
      <c r="AH26" s="69">
        <v>449.60434570312498</v>
      </c>
      <c r="AI26" s="69">
        <v>1112.034643236796</v>
      </c>
      <c r="AJ26" s="69">
        <v>1414.7540231704711</v>
      </c>
      <c r="AK26" s="69">
        <v>1029.1670088450114</v>
      </c>
      <c r="AL26" s="69">
        <v>903.01917928059902</v>
      </c>
      <c r="AM26" s="69">
        <v>1842.3221953074133</v>
      </c>
      <c r="AN26" s="69">
        <v>582.33273542722077</v>
      </c>
      <c r="AO26" s="69">
        <v>3016.9079217274984</v>
      </c>
      <c r="AP26" s="69">
        <v>426.21007142066952</v>
      </c>
      <c r="AQ26" s="69">
        <v>1203.2805004119873</v>
      </c>
    </row>
    <row r="27" spans="1:43">
      <c r="A27" s="11">
        <v>41080</v>
      </c>
      <c r="B27" s="59"/>
      <c r="C27" s="60">
        <v>0</v>
      </c>
      <c r="D27" s="60">
        <v>0</v>
      </c>
      <c r="E27" s="60">
        <v>0</v>
      </c>
      <c r="F27" s="60">
        <v>0</v>
      </c>
      <c r="G27" s="60">
        <v>0</v>
      </c>
      <c r="H27" s="61">
        <v>0</v>
      </c>
      <c r="I27" s="59">
        <v>675.62824061711706</v>
      </c>
      <c r="J27" s="60">
        <v>1933.4349783579503</v>
      </c>
      <c r="K27" s="60">
        <v>23.886109233895915</v>
      </c>
      <c r="L27" s="60">
        <v>0</v>
      </c>
      <c r="M27" s="60">
        <v>0</v>
      </c>
      <c r="N27" s="61">
        <v>0</v>
      </c>
      <c r="O27" s="59">
        <v>0</v>
      </c>
      <c r="P27" s="60">
        <v>0</v>
      </c>
      <c r="Q27" s="60">
        <v>0</v>
      </c>
      <c r="R27" s="63">
        <v>0</v>
      </c>
      <c r="S27" s="60">
        <v>0</v>
      </c>
      <c r="T27" s="64">
        <v>0</v>
      </c>
      <c r="U27" s="65">
        <v>601.20584812164441</v>
      </c>
      <c r="V27" s="62">
        <v>0</v>
      </c>
      <c r="W27" s="62">
        <v>63.553519114851994</v>
      </c>
      <c r="X27" s="62">
        <v>0</v>
      </c>
      <c r="Y27" s="62">
        <v>672.17632716496757</v>
      </c>
      <c r="Z27" s="62">
        <v>0</v>
      </c>
      <c r="AA27" s="72">
        <v>0</v>
      </c>
      <c r="AB27" s="69">
        <v>0</v>
      </c>
      <c r="AC27" s="69">
        <v>0</v>
      </c>
      <c r="AD27" s="69">
        <v>23.984173183970949</v>
      </c>
      <c r="AE27" s="69">
        <v>23.577453450272941</v>
      </c>
      <c r="AF27" s="69">
        <v>0</v>
      </c>
      <c r="AG27" s="69">
        <v>1</v>
      </c>
      <c r="AH27" s="69">
        <v>251.32097808520001</v>
      </c>
      <c r="AI27" s="69">
        <v>1040.2291432698569</v>
      </c>
      <c r="AJ27" s="69">
        <v>1222.0185579935712</v>
      </c>
      <c r="AK27" s="69">
        <v>1011.479088910421</v>
      </c>
      <c r="AL27" s="69">
        <v>874.91067810058598</v>
      </c>
      <c r="AM27" s="69">
        <v>1834.4238072713217</v>
      </c>
      <c r="AN27" s="69">
        <v>503.62725342114766</v>
      </c>
      <c r="AO27" s="69">
        <v>3175.0820404052738</v>
      </c>
      <c r="AP27" s="69">
        <v>368.60038485527036</v>
      </c>
      <c r="AQ27" s="69">
        <v>910.29282169342059</v>
      </c>
    </row>
    <row r="28" spans="1:43">
      <c r="A28" s="11">
        <v>41081</v>
      </c>
      <c r="B28" s="59"/>
      <c r="C28" s="60">
        <v>0</v>
      </c>
      <c r="D28" s="60">
        <v>0</v>
      </c>
      <c r="E28" s="60">
        <v>0</v>
      </c>
      <c r="F28" s="60">
        <v>0</v>
      </c>
      <c r="G28" s="60">
        <v>0</v>
      </c>
      <c r="H28" s="61">
        <v>0</v>
      </c>
      <c r="I28" s="59">
        <v>725.05790630976571</v>
      </c>
      <c r="J28" s="60">
        <v>1934.2267341613756</v>
      </c>
      <c r="K28" s="60">
        <v>21.462003050247784</v>
      </c>
      <c r="L28" s="60">
        <v>0</v>
      </c>
      <c r="M28" s="60">
        <v>0</v>
      </c>
      <c r="N28" s="61">
        <v>0</v>
      </c>
      <c r="O28" s="59">
        <v>0</v>
      </c>
      <c r="P28" s="60">
        <v>0</v>
      </c>
      <c r="Q28" s="60">
        <v>0</v>
      </c>
      <c r="R28" s="63">
        <v>0</v>
      </c>
      <c r="S28" s="60">
        <v>0</v>
      </c>
      <c r="T28" s="64">
        <v>0</v>
      </c>
      <c r="U28" s="65">
        <v>602.09701624976253</v>
      </c>
      <c r="V28" s="62">
        <v>0</v>
      </c>
      <c r="W28" s="62">
        <v>62.156506496667831</v>
      </c>
      <c r="X28" s="62">
        <v>0</v>
      </c>
      <c r="Y28" s="66">
        <v>671.253415552776</v>
      </c>
      <c r="Z28" s="66">
        <v>0</v>
      </c>
      <c r="AA28" s="67">
        <v>0</v>
      </c>
      <c r="AB28" s="68">
        <v>0</v>
      </c>
      <c r="AC28" s="69">
        <v>0</v>
      </c>
      <c r="AD28" s="69">
        <v>23.977075941032812</v>
      </c>
      <c r="AE28" s="68">
        <v>23.601221285046272</v>
      </c>
      <c r="AF28" s="68">
        <v>0</v>
      </c>
      <c r="AG28" s="68">
        <v>1</v>
      </c>
      <c r="AH28" s="69">
        <v>208.51594017346699</v>
      </c>
      <c r="AI28" s="69">
        <v>1022.0501340866089</v>
      </c>
      <c r="AJ28" s="69">
        <v>1228.7230084101359</v>
      </c>
      <c r="AK28" s="69">
        <v>1013.2448842366535</v>
      </c>
      <c r="AL28" s="69">
        <v>871.13351977666207</v>
      </c>
      <c r="AM28" s="69">
        <v>1762.5134443918864</v>
      </c>
      <c r="AN28" s="69">
        <v>493.72558590571083</v>
      </c>
      <c r="AO28" s="69">
        <v>2834.5471281687419</v>
      </c>
      <c r="AP28" s="69">
        <v>366.21191700299579</v>
      </c>
      <c r="AQ28" s="69">
        <v>945.48371747334818</v>
      </c>
    </row>
    <row r="29" spans="1:43">
      <c r="A29" s="11">
        <v>41082</v>
      </c>
      <c r="B29" s="59"/>
      <c r="C29" s="60">
        <v>0</v>
      </c>
      <c r="D29" s="60">
        <v>0</v>
      </c>
      <c r="E29" s="60">
        <v>0</v>
      </c>
      <c r="F29" s="60">
        <v>0</v>
      </c>
      <c r="G29" s="60">
        <v>0</v>
      </c>
      <c r="H29" s="61">
        <v>0</v>
      </c>
      <c r="I29" s="59">
        <v>729.24665937423663</v>
      </c>
      <c r="J29" s="60">
        <v>1883.5018834432021</v>
      </c>
      <c r="K29" s="60">
        <v>17.527865227063504</v>
      </c>
      <c r="L29" s="60">
        <v>0</v>
      </c>
      <c r="M29" s="60">
        <v>0</v>
      </c>
      <c r="N29" s="61">
        <v>0</v>
      </c>
      <c r="O29" s="59">
        <v>0</v>
      </c>
      <c r="P29" s="60">
        <v>0</v>
      </c>
      <c r="Q29" s="60">
        <v>0</v>
      </c>
      <c r="R29" s="63">
        <v>0</v>
      </c>
      <c r="S29" s="60">
        <v>0</v>
      </c>
      <c r="T29" s="64">
        <v>0</v>
      </c>
      <c r="U29" s="65">
        <v>601.61020859612449</v>
      </c>
      <c r="V29" s="62">
        <v>0</v>
      </c>
      <c r="W29" s="62">
        <v>61.791169701019896</v>
      </c>
      <c r="X29" s="62">
        <v>0</v>
      </c>
      <c r="Y29" s="66">
        <v>641.99140591621517</v>
      </c>
      <c r="Z29" s="66">
        <v>0</v>
      </c>
      <c r="AA29" s="67">
        <v>0</v>
      </c>
      <c r="AB29" s="68">
        <v>0</v>
      </c>
      <c r="AC29" s="69">
        <v>0</v>
      </c>
      <c r="AD29" s="69">
        <v>23.957966125673714</v>
      </c>
      <c r="AE29" s="68">
        <v>23.589931634378406</v>
      </c>
      <c r="AF29" s="68">
        <v>0</v>
      </c>
      <c r="AG29" s="68">
        <v>1</v>
      </c>
      <c r="AH29" s="69">
        <v>217.31232438087463</v>
      </c>
      <c r="AI29" s="69">
        <v>1046.7024810155233</v>
      </c>
      <c r="AJ29" s="69">
        <v>1338.3749055226644</v>
      </c>
      <c r="AK29" s="69">
        <v>1030.3721789677936</v>
      </c>
      <c r="AL29" s="69">
        <v>887.60840517679833</v>
      </c>
      <c r="AM29" s="69">
        <v>1704.7534128189084</v>
      </c>
      <c r="AN29" s="69">
        <v>560.0803030649821</v>
      </c>
      <c r="AO29" s="69">
        <v>2908.4177673339846</v>
      </c>
      <c r="AP29" s="69">
        <v>376.43883422215777</v>
      </c>
      <c r="AQ29" s="69">
        <v>1002.5706497510274</v>
      </c>
    </row>
    <row r="30" spans="1:43">
      <c r="A30" s="11">
        <v>41083</v>
      </c>
      <c r="B30" s="59"/>
      <c r="C30" s="60">
        <v>0</v>
      </c>
      <c r="D30" s="60">
        <v>0</v>
      </c>
      <c r="E30" s="60">
        <v>0</v>
      </c>
      <c r="F30" s="60">
        <v>0</v>
      </c>
      <c r="G30" s="60">
        <v>0</v>
      </c>
      <c r="H30" s="61">
        <v>0</v>
      </c>
      <c r="I30" s="59">
        <v>693.77077643076541</v>
      </c>
      <c r="J30" s="60">
        <v>1720.0802857716924</v>
      </c>
      <c r="K30" s="60">
        <v>21.476094896594645</v>
      </c>
      <c r="L30" s="60">
        <v>0</v>
      </c>
      <c r="M30" s="60">
        <v>0</v>
      </c>
      <c r="N30" s="61">
        <v>0</v>
      </c>
      <c r="O30" s="59">
        <v>0</v>
      </c>
      <c r="P30" s="60">
        <v>0</v>
      </c>
      <c r="Q30" s="60">
        <v>0</v>
      </c>
      <c r="R30" s="63">
        <v>0</v>
      </c>
      <c r="S30" s="60">
        <v>0</v>
      </c>
      <c r="T30" s="64">
        <v>0</v>
      </c>
      <c r="U30" s="65">
        <v>612.35933621725303</v>
      </c>
      <c r="V30" s="62">
        <v>0</v>
      </c>
      <c r="W30" s="62">
        <v>62.147320576508768</v>
      </c>
      <c r="X30" s="62">
        <v>0</v>
      </c>
      <c r="Y30" s="66">
        <v>648.73683981895476</v>
      </c>
      <c r="Z30" s="66">
        <v>0</v>
      </c>
      <c r="AA30" s="67">
        <v>0</v>
      </c>
      <c r="AB30" s="68">
        <v>0</v>
      </c>
      <c r="AC30" s="69">
        <v>0</v>
      </c>
      <c r="AD30" s="69">
        <v>24.399503505229948</v>
      </c>
      <c r="AE30" s="68">
        <v>24.000350468287767</v>
      </c>
      <c r="AF30" s="68">
        <v>0</v>
      </c>
      <c r="AG30" s="68">
        <v>1</v>
      </c>
      <c r="AH30" s="69">
        <v>457.73536054293311</v>
      </c>
      <c r="AI30" s="69">
        <v>1318.2366145451865</v>
      </c>
      <c r="AJ30" s="69">
        <v>1466.9604650497436</v>
      </c>
      <c r="AK30" s="69">
        <v>1050.1056098937988</v>
      </c>
      <c r="AL30" s="69">
        <v>907.28158861796044</v>
      </c>
      <c r="AM30" s="69">
        <v>1726.8711869557699</v>
      </c>
      <c r="AN30" s="69">
        <v>600.50765352249152</v>
      </c>
      <c r="AO30" s="69">
        <v>3024.0098468780516</v>
      </c>
      <c r="AP30" s="69">
        <v>404.46500504811604</v>
      </c>
      <c r="AQ30" s="69">
        <v>1036.2271789232889</v>
      </c>
    </row>
    <row r="31" spans="1:43">
      <c r="A31" s="11">
        <v>41084</v>
      </c>
      <c r="B31" s="59"/>
      <c r="C31" s="60">
        <v>0</v>
      </c>
      <c r="D31" s="60">
        <v>0</v>
      </c>
      <c r="E31" s="60">
        <v>0</v>
      </c>
      <c r="F31" s="60">
        <v>0</v>
      </c>
      <c r="G31" s="60">
        <v>0</v>
      </c>
      <c r="H31" s="61">
        <v>0</v>
      </c>
      <c r="I31" s="59">
        <v>673.51645545959423</v>
      </c>
      <c r="J31" s="60">
        <v>1722.3302382151319</v>
      </c>
      <c r="K31" s="60">
        <v>23.668292806545889</v>
      </c>
      <c r="L31" s="60">
        <v>0</v>
      </c>
      <c r="M31" s="60">
        <v>0</v>
      </c>
      <c r="N31" s="61">
        <v>0</v>
      </c>
      <c r="O31" s="59">
        <v>0</v>
      </c>
      <c r="P31" s="60">
        <v>0</v>
      </c>
      <c r="Q31" s="60">
        <v>0</v>
      </c>
      <c r="R31" s="63">
        <v>0</v>
      </c>
      <c r="S31" s="60">
        <v>0</v>
      </c>
      <c r="T31" s="64">
        <v>0</v>
      </c>
      <c r="U31" s="65">
        <v>600.67464974721702</v>
      </c>
      <c r="V31" s="62">
        <v>0</v>
      </c>
      <c r="W31" s="62">
        <v>61.159513608614617</v>
      </c>
      <c r="X31" s="62">
        <v>0</v>
      </c>
      <c r="Y31" s="66">
        <v>623.56792636712294</v>
      </c>
      <c r="Z31" s="66">
        <v>0</v>
      </c>
      <c r="AA31" s="67">
        <v>0</v>
      </c>
      <c r="AB31" s="68">
        <v>0</v>
      </c>
      <c r="AC31" s="69">
        <v>0</v>
      </c>
      <c r="AD31" s="69">
        <v>23.937200125058506</v>
      </c>
      <c r="AE31" s="68">
        <v>23.554790023344836</v>
      </c>
      <c r="AF31" s="68">
        <v>0</v>
      </c>
      <c r="AG31" s="68">
        <v>1</v>
      </c>
      <c r="AH31" s="69">
        <v>245.08303335507711</v>
      </c>
      <c r="AI31" s="69">
        <v>1117.7847616195684</v>
      </c>
      <c r="AJ31" s="69">
        <v>1496.3082436879474</v>
      </c>
      <c r="AK31" s="69">
        <v>1048.9768505096438</v>
      </c>
      <c r="AL31" s="69">
        <v>922.07199980417897</v>
      </c>
      <c r="AM31" s="69">
        <v>1754.4683470408122</v>
      </c>
      <c r="AN31" s="69">
        <v>613.7125815073648</v>
      </c>
      <c r="AO31" s="69">
        <v>2985.2266386667884</v>
      </c>
      <c r="AP31" s="69">
        <v>406.05000416437781</v>
      </c>
      <c r="AQ31" s="69">
        <v>1137.5344198862713</v>
      </c>
    </row>
    <row r="32" spans="1:43">
      <c r="A32" s="11">
        <v>41085</v>
      </c>
      <c r="B32" s="59"/>
      <c r="C32" s="60">
        <v>0</v>
      </c>
      <c r="D32" s="60">
        <v>0</v>
      </c>
      <c r="E32" s="60">
        <v>0</v>
      </c>
      <c r="F32" s="60">
        <v>0</v>
      </c>
      <c r="G32" s="60">
        <v>0</v>
      </c>
      <c r="H32" s="61">
        <v>0</v>
      </c>
      <c r="I32" s="59">
        <v>658.43227300644014</v>
      </c>
      <c r="J32" s="60">
        <v>1726.6940601348924</v>
      </c>
      <c r="K32" s="60">
        <v>23.633688324689849</v>
      </c>
      <c r="L32" s="60">
        <v>0</v>
      </c>
      <c r="M32" s="60">
        <v>0</v>
      </c>
      <c r="N32" s="61">
        <v>0</v>
      </c>
      <c r="O32" s="59">
        <v>0</v>
      </c>
      <c r="P32" s="60">
        <v>0</v>
      </c>
      <c r="Q32" s="60">
        <v>0</v>
      </c>
      <c r="R32" s="63">
        <v>0</v>
      </c>
      <c r="S32" s="60">
        <v>0</v>
      </c>
      <c r="T32" s="64">
        <v>0</v>
      </c>
      <c r="U32" s="65">
        <v>601.61312736935793</v>
      </c>
      <c r="V32" s="62">
        <v>0</v>
      </c>
      <c r="W32" s="62">
        <v>61.035626379648818</v>
      </c>
      <c r="X32" s="62">
        <v>0</v>
      </c>
      <c r="Y32" s="66">
        <v>623.64434736569478</v>
      </c>
      <c r="Z32" s="66">
        <v>0</v>
      </c>
      <c r="AA32" s="67">
        <v>0</v>
      </c>
      <c r="AB32" s="68">
        <v>0</v>
      </c>
      <c r="AC32" s="69">
        <v>0</v>
      </c>
      <c r="AD32" s="69">
        <v>23.979132643673164</v>
      </c>
      <c r="AE32" s="68">
        <v>23.58735098226845</v>
      </c>
      <c r="AF32" s="68">
        <v>0</v>
      </c>
      <c r="AG32" s="68">
        <v>1</v>
      </c>
      <c r="AH32" s="69">
        <v>204.24584197998047</v>
      </c>
      <c r="AI32" s="69">
        <v>1089.4581744511922</v>
      </c>
      <c r="AJ32" s="69">
        <v>1451.6288699467975</v>
      </c>
      <c r="AK32" s="69">
        <v>1048.6285394032795</v>
      </c>
      <c r="AL32" s="69">
        <v>912.74144817988076</v>
      </c>
      <c r="AM32" s="69">
        <v>1769.4632595062258</v>
      </c>
      <c r="AN32" s="69">
        <v>626.83371041615806</v>
      </c>
      <c r="AO32" s="69">
        <v>2894.9346318562825</v>
      </c>
      <c r="AP32" s="69">
        <v>407.16657303174338</v>
      </c>
      <c r="AQ32" s="69">
        <v>1222.4129335721334</v>
      </c>
    </row>
    <row r="33" spans="1:43">
      <c r="A33" s="11">
        <v>41086</v>
      </c>
      <c r="B33" s="59"/>
      <c r="C33" s="60">
        <v>0</v>
      </c>
      <c r="D33" s="60">
        <v>0</v>
      </c>
      <c r="E33" s="60">
        <v>0</v>
      </c>
      <c r="F33" s="60">
        <v>0</v>
      </c>
      <c r="G33" s="60">
        <v>0</v>
      </c>
      <c r="H33" s="61">
        <v>0</v>
      </c>
      <c r="I33" s="59">
        <v>654.3755292892472</v>
      </c>
      <c r="J33" s="60">
        <v>1576.6401942570947</v>
      </c>
      <c r="K33" s="60">
        <v>26.627575742204918</v>
      </c>
      <c r="L33" s="60">
        <v>0</v>
      </c>
      <c r="M33" s="60">
        <v>0</v>
      </c>
      <c r="N33" s="61">
        <v>0</v>
      </c>
      <c r="O33" s="59">
        <v>0</v>
      </c>
      <c r="P33" s="60">
        <v>0</v>
      </c>
      <c r="Q33" s="60">
        <v>0</v>
      </c>
      <c r="R33" s="63">
        <v>0</v>
      </c>
      <c r="S33" s="60">
        <v>0</v>
      </c>
      <c r="T33" s="64">
        <v>0</v>
      </c>
      <c r="U33" s="65">
        <v>601.54018645816927</v>
      </c>
      <c r="V33" s="62">
        <v>0</v>
      </c>
      <c r="W33" s="62">
        <v>61.073661301533328</v>
      </c>
      <c r="X33" s="62">
        <v>0</v>
      </c>
      <c r="Y33" s="66">
        <v>585.33232868512573</v>
      </c>
      <c r="Z33" s="66">
        <v>0</v>
      </c>
      <c r="AA33" s="67">
        <v>0</v>
      </c>
      <c r="AB33" s="68">
        <v>0</v>
      </c>
      <c r="AC33" s="69">
        <v>0</v>
      </c>
      <c r="AD33" s="69">
        <v>23.959941896465086</v>
      </c>
      <c r="AE33" s="68">
        <v>23.576326123334475</v>
      </c>
      <c r="AF33" s="68">
        <v>0</v>
      </c>
      <c r="AG33" s="68">
        <v>1</v>
      </c>
      <c r="AH33" s="69">
        <v>207.86580727895102</v>
      </c>
      <c r="AI33" s="69">
        <v>1103.5868019739787</v>
      </c>
      <c r="AJ33" s="69">
        <v>1466.1635533650715</v>
      </c>
      <c r="AK33" s="69">
        <v>1053.0705703099568</v>
      </c>
      <c r="AL33" s="69">
        <v>917.48075405756629</v>
      </c>
      <c r="AM33" s="69">
        <v>1776.5265037536624</v>
      </c>
      <c r="AN33" s="69">
        <v>656.76572430928547</v>
      </c>
      <c r="AO33" s="69">
        <v>2990.1109408060715</v>
      </c>
      <c r="AP33" s="69">
        <v>408.95923439661675</v>
      </c>
      <c r="AQ33" s="69">
        <v>1179.7325846672061</v>
      </c>
    </row>
    <row r="34" spans="1:43">
      <c r="A34" s="11">
        <v>41087</v>
      </c>
      <c r="B34" s="59"/>
      <c r="C34" s="60">
        <v>0</v>
      </c>
      <c r="D34" s="60">
        <v>0</v>
      </c>
      <c r="E34" s="60">
        <v>0</v>
      </c>
      <c r="F34" s="60">
        <v>0</v>
      </c>
      <c r="G34" s="60">
        <v>0</v>
      </c>
      <c r="H34" s="61">
        <v>0</v>
      </c>
      <c r="I34" s="59">
        <v>664.06065327326439</v>
      </c>
      <c r="J34" s="60">
        <v>1478.1537557601973</v>
      </c>
      <c r="K34" s="60">
        <v>33.694634163379739</v>
      </c>
      <c r="L34" s="60">
        <v>0</v>
      </c>
      <c r="M34" s="60">
        <v>0</v>
      </c>
      <c r="N34" s="61">
        <v>0</v>
      </c>
      <c r="O34" s="59">
        <v>0</v>
      </c>
      <c r="P34" s="60">
        <v>0</v>
      </c>
      <c r="Q34" s="60">
        <v>0</v>
      </c>
      <c r="R34" s="63">
        <v>0</v>
      </c>
      <c r="S34" s="60">
        <v>0</v>
      </c>
      <c r="T34" s="64">
        <v>0</v>
      </c>
      <c r="U34" s="65">
        <v>612.25838322109939</v>
      </c>
      <c r="V34" s="62">
        <v>0</v>
      </c>
      <c r="W34" s="62">
        <v>62.61161437829341</v>
      </c>
      <c r="X34" s="62">
        <v>0</v>
      </c>
      <c r="Y34" s="66">
        <v>553.76850948333902</v>
      </c>
      <c r="Z34" s="66">
        <v>0</v>
      </c>
      <c r="AA34" s="67">
        <v>0</v>
      </c>
      <c r="AB34" s="68">
        <v>0</v>
      </c>
      <c r="AC34" s="69">
        <v>0</v>
      </c>
      <c r="AD34" s="69">
        <v>24.265851757261476</v>
      </c>
      <c r="AE34" s="68">
        <v>23.995698776409085</v>
      </c>
      <c r="AF34" s="68">
        <v>0</v>
      </c>
      <c r="AG34" s="68">
        <v>1</v>
      </c>
      <c r="AH34" s="69">
        <v>204.86500862439473</v>
      </c>
      <c r="AI34" s="69">
        <v>1085.7413022994995</v>
      </c>
      <c r="AJ34" s="69">
        <v>1397.0924013773599</v>
      </c>
      <c r="AK34" s="69">
        <v>1032.715514055888</v>
      </c>
      <c r="AL34" s="69">
        <v>896.98044099807703</v>
      </c>
      <c r="AM34" s="69">
        <v>1748.5150457382201</v>
      </c>
      <c r="AN34" s="69">
        <v>625.59946489334106</v>
      </c>
      <c r="AO34" s="69">
        <v>2940.0767628987628</v>
      </c>
      <c r="AP34" s="69">
        <v>402.16209004720054</v>
      </c>
      <c r="AQ34" s="69">
        <v>1088.1831492424012</v>
      </c>
    </row>
    <row r="35" spans="1:43">
      <c r="A35" s="11">
        <v>41088</v>
      </c>
      <c r="B35" s="59"/>
      <c r="C35" s="60">
        <v>0</v>
      </c>
      <c r="D35" s="60">
        <v>0</v>
      </c>
      <c r="E35" s="60">
        <v>0</v>
      </c>
      <c r="F35" s="60">
        <v>0</v>
      </c>
      <c r="G35" s="60">
        <v>0</v>
      </c>
      <c r="H35" s="61">
        <v>0</v>
      </c>
      <c r="I35" s="59">
        <v>633.77910823821992</v>
      </c>
      <c r="J35" s="60">
        <v>1387.019939359029</v>
      </c>
      <c r="K35" s="60">
        <v>35.000320289532397</v>
      </c>
      <c r="L35" s="60">
        <v>0</v>
      </c>
      <c r="M35" s="60">
        <v>0</v>
      </c>
      <c r="N35" s="61">
        <v>0</v>
      </c>
      <c r="O35" s="59">
        <v>0</v>
      </c>
      <c r="P35" s="60">
        <v>0</v>
      </c>
      <c r="Q35" s="60">
        <v>0</v>
      </c>
      <c r="R35" s="63">
        <v>0</v>
      </c>
      <c r="S35" s="60">
        <v>0</v>
      </c>
      <c r="T35" s="64">
        <v>0</v>
      </c>
      <c r="U35" s="65">
        <v>600.53811442057599</v>
      </c>
      <c r="V35" s="62">
        <v>0</v>
      </c>
      <c r="W35" s="62">
        <v>61.481019701560314</v>
      </c>
      <c r="X35" s="62">
        <v>0</v>
      </c>
      <c r="Y35" s="66">
        <v>534.62755213578612</v>
      </c>
      <c r="Z35" s="66">
        <v>0</v>
      </c>
      <c r="AA35" s="67">
        <v>0</v>
      </c>
      <c r="AB35" s="68">
        <v>0</v>
      </c>
      <c r="AC35" s="69">
        <v>0</v>
      </c>
      <c r="AD35" s="69">
        <v>23.985376420948217</v>
      </c>
      <c r="AE35" s="68">
        <v>23.556916662589241</v>
      </c>
      <c r="AF35" s="68">
        <v>0</v>
      </c>
      <c r="AG35" s="68">
        <v>1</v>
      </c>
      <c r="AH35" s="69">
        <v>210.26023101806641</v>
      </c>
      <c r="AI35" s="69">
        <v>1021.5352116266886</v>
      </c>
      <c r="AJ35" s="69">
        <v>1546.8098747889201</v>
      </c>
      <c r="AK35" s="69">
        <v>1020.9489600499469</v>
      </c>
      <c r="AL35" s="69">
        <v>893.36625010172531</v>
      </c>
      <c r="AM35" s="69">
        <v>1699.7572930653889</v>
      </c>
      <c r="AN35" s="69">
        <v>573.89179423650103</v>
      </c>
      <c r="AO35" s="69">
        <v>2985.2399223327639</v>
      </c>
      <c r="AP35" s="69">
        <v>441.4337426185607</v>
      </c>
      <c r="AQ35" s="69">
        <v>1038.064380009969</v>
      </c>
    </row>
    <row r="36" spans="1:43">
      <c r="A36" s="11">
        <v>41089</v>
      </c>
      <c r="B36" s="59"/>
      <c r="C36" s="60">
        <v>0</v>
      </c>
      <c r="D36" s="60">
        <v>0</v>
      </c>
      <c r="E36" s="60">
        <v>0</v>
      </c>
      <c r="F36" s="60">
        <v>0</v>
      </c>
      <c r="G36" s="60">
        <v>0</v>
      </c>
      <c r="H36" s="61">
        <v>0</v>
      </c>
      <c r="I36" s="59">
        <v>654.39430672327683</v>
      </c>
      <c r="J36" s="60">
        <v>1527.5186694463039</v>
      </c>
      <c r="K36" s="60">
        <v>29.620945874849809</v>
      </c>
      <c r="L36" s="60">
        <v>0</v>
      </c>
      <c r="M36" s="60">
        <v>0</v>
      </c>
      <c r="N36" s="61">
        <v>0</v>
      </c>
      <c r="O36" s="59">
        <v>0</v>
      </c>
      <c r="P36" s="60">
        <v>0</v>
      </c>
      <c r="Q36" s="60">
        <v>0</v>
      </c>
      <c r="R36" s="63">
        <v>0</v>
      </c>
      <c r="S36" s="60">
        <v>0</v>
      </c>
      <c r="T36" s="64">
        <v>0</v>
      </c>
      <c r="U36" s="65">
        <v>612.25087513393635</v>
      </c>
      <c r="V36" s="62">
        <v>0</v>
      </c>
      <c r="W36" s="62">
        <v>63.44293809632471</v>
      </c>
      <c r="X36" s="62">
        <v>0</v>
      </c>
      <c r="Y36" s="66">
        <v>537.57789440155091</v>
      </c>
      <c r="Z36" s="66">
        <v>0</v>
      </c>
      <c r="AA36" s="67">
        <v>0</v>
      </c>
      <c r="AB36" s="68">
        <v>0</v>
      </c>
      <c r="AC36" s="69">
        <v>0</v>
      </c>
      <c r="AD36" s="69">
        <v>24.444141862127498</v>
      </c>
      <c r="AE36" s="68">
        <v>23.998528814315044</v>
      </c>
      <c r="AF36" s="68">
        <v>0</v>
      </c>
      <c r="AG36" s="68">
        <v>1</v>
      </c>
      <c r="AH36" s="69">
        <v>203.66715359687802</v>
      </c>
      <c r="AI36" s="69">
        <v>1004.8513537724812</v>
      </c>
      <c r="AJ36" s="69">
        <v>1429.0349444707233</v>
      </c>
      <c r="AK36" s="69">
        <v>1025.9104190826417</v>
      </c>
      <c r="AL36" s="69">
        <v>897.68740927378349</v>
      </c>
      <c r="AM36" s="69">
        <v>1698.2858647664386</v>
      </c>
      <c r="AN36" s="69">
        <v>586.60281531016028</v>
      </c>
      <c r="AO36" s="69">
        <v>2973.1493890126553</v>
      </c>
      <c r="AP36" s="69">
        <v>448.94750464757271</v>
      </c>
      <c r="AQ36" s="69">
        <v>1078.386548360189</v>
      </c>
    </row>
    <row r="37" spans="1:43">
      <c r="A37" s="11">
        <v>41090</v>
      </c>
      <c r="B37" s="59"/>
      <c r="C37" s="60">
        <v>0</v>
      </c>
      <c r="D37" s="60">
        <v>0</v>
      </c>
      <c r="E37" s="60">
        <v>0</v>
      </c>
      <c r="F37" s="60">
        <v>0</v>
      </c>
      <c r="G37" s="60">
        <v>0</v>
      </c>
      <c r="H37" s="61">
        <v>0</v>
      </c>
      <c r="I37" s="59">
        <v>617.85656938552768</v>
      </c>
      <c r="J37" s="60">
        <v>1518.109391530352</v>
      </c>
      <c r="K37" s="60">
        <v>29.618222322066519</v>
      </c>
      <c r="L37" s="60">
        <v>0</v>
      </c>
      <c r="M37" s="60">
        <v>0</v>
      </c>
      <c r="N37" s="61">
        <v>0</v>
      </c>
      <c r="O37" s="59">
        <v>0</v>
      </c>
      <c r="P37" s="60">
        <v>0</v>
      </c>
      <c r="Q37" s="60">
        <v>0</v>
      </c>
      <c r="R37" s="63">
        <v>0</v>
      </c>
      <c r="S37" s="60">
        <v>0</v>
      </c>
      <c r="T37" s="64">
        <v>0</v>
      </c>
      <c r="U37" s="65">
        <v>600.5026024076667</v>
      </c>
      <c r="V37" s="62">
        <v>0</v>
      </c>
      <c r="W37" s="62">
        <v>59.853910963733902</v>
      </c>
      <c r="X37" s="62">
        <v>0</v>
      </c>
      <c r="Y37" s="66">
        <v>546.70888881683425</v>
      </c>
      <c r="Z37" s="66">
        <v>0</v>
      </c>
      <c r="AA37" s="67">
        <v>0</v>
      </c>
      <c r="AB37" s="68">
        <v>0</v>
      </c>
      <c r="AC37" s="69">
        <v>0</v>
      </c>
      <c r="AD37" s="69">
        <v>23.974004742834328</v>
      </c>
      <c r="AE37" s="68">
        <v>23.551009565504028</v>
      </c>
      <c r="AF37" s="68">
        <v>0</v>
      </c>
      <c r="AG37" s="68">
        <v>1</v>
      </c>
      <c r="AH37" s="69">
        <v>200.78527084986371</v>
      </c>
      <c r="AI37" s="69">
        <v>1008.2397797902424</v>
      </c>
      <c r="AJ37" s="69">
        <v>1424.9857570648192</v>
      </c>
      <c r="AK37" s="69">
        <v>1028.638298034668</v>
      </c>
      <c r="AL37" s="69">
        <v>902.78251860936484</v>
      </c>
      <c r="AM37" s="69">
        <v>1705.5087017059329</v>
      </c>
      <c r="AN37" s="69">
        <v>613.14993352889996</v>
      </c>
      <c r="AO37" s="69">
        <v>2871.4199619293213</v>
      </c>
      <c r="AP37" s="69">
        <v>456.03613770802815</v>
      </c>
      <c r="AQ37" s="69">
        <v>1058.4288743336995</v>
      </c>
    </row>
    <row r="38" spans="1:43" ht="15.75" thickBot="1">
      <c r="A38" s="11"/>
      <c r="B38" s="73"/>
      <c r="C38" s="74"/>
      <c r="D38" s="74"/>
      <c r="E38" s="74"/>
      <c r="F38" s="74"/>
      <c r="G38" s="74"/>
      <c r="H38" s="75"/>
      <c r="I38" s="76"/>
      <c r="J38" s="74"/>
      <c r="K38" s="74"/>
      <c r="L38" s="74"/>
      <c r="M38" s="74"/>
      <c r="N38" s="75"/>
      <c r="O38" s="76"/>
      <c r="P38" s="74"/>
      <c r="Q38" s="74"/>
      <c r="R38" s="77"/>
      <c r="S38" s="74"/>
      <c r="T38" s="78"/>
      <c r="U38" s="79"/>
      <c r="V38" s="80"/>
      <c r="W38" s="81"/>
      <c r="X38" s="81"/>
      <c r="Y38" s="80"/>
      <c r="Z38" s="80"/>
      <c r="AA38" s="82"/>
      <c r="AB38" s="83"/>
      <c r="AC38" s="84"/>
      <c r="AD38" s="85"/>
      <c r="AE38" s="83"/>
      <c r="AF38" s="83"/>
      <c r="AG38" s="83"/>
      <c r="AH38" s="84"/>
      <c r="AI38" s="84"/>
      <c r="AJ38" s="84"/>
      <c r="AK38" s="84"/>
      <c r="AL38" s="84"/>
      <c r="AM38" s="84"/>
      <c r="AN38" s="84"/>
      <c r="AO38" s="84"/>
      <c r="AP38" s="84"/>
      <c r="AQ38" s="84"/>
    </row>
    <row r="39" spans="1:43" ht="15.75" thickTop="1">
      <c r="A39" s="46" t="s">
        <v>170</v>
      </c>
      <c r="B39" s="29">
        <f>SUM(B8:B38)</f>
        <v>0</v>
      </c>
      <c r="C39" s="30">
        <f t="shared" ref="C39:AC39" si="0">SUM(C8:C38)</f>
        <v>0</v>
      </c>
      <c r="D39" s="30">
        <f t="shared" si="0"/>
        <v>0</v>
      </c>
      <c r="E39" s="30">
        <f t="shared" si="0"/>
        <v>0</v>
      </c>
      <c r="F39" s="30">
        <f t="shared" si="0"/>
        <v>0</v>
      </c>
      <c r="G39" s="30">
        <f t="shared" si="0"/>
        <v>0</v>
      </c>
      <c r="H39" s="31">
        <f t="shared" si="0"/>
        <v>0</v>
      </c>
      <c r="I39" s="29">
        <f t="shared" si="0"/>
        <v>19186.003209908809</v>
      </c>
      <c r="J39" s="30">
        <f t="shared" si="0"/>
        <v>51053.222556412271</v>
      </c>
      <c r="K39" s="30">
        <f t="shared" si="0"/>
        <v>686.55815010567528</v>
      </c>
      <c r="L39" s="30">
        <f t="shared" si="0"/>
        <v>0</v>
      </c>
      <c r="M39" s="30">
        <f t="shared" si="0"/>
        <v>0</v>
      </c>
      <c r="N39" s="31">
        <f t="shared" si="0"/>
        <v>0</v>
      </c>
      <c r="O39" s="260">
        <f t="shared" si="0"/>
        <v>0</v>
      </c>
      <c r="P39" s="261">
        <f t="shared" si="0"/>
        <v>0</v>
      </c>
      <c r="Q39" s="261">
        <f t="shared" si="0"/>
        <v>0</v>
      </c>
      <c r="R39" s="261">
        <f t="shared" si="0"/>
        <v>0</v>
      </c>
      <c r="S39" s="261">
        <f t="shared" si="0"/>
        <v>0</v>
      </c>
      <c r="T39" s="262">
        <f t="shared" si="0"/>
        <v>0</v>
      </c>
      <c r="U39" s="260">
        <f t="shared" si="0"/>
        <v>16699.045866436485</v>
      </c>
      <c r="V39" s="261">
        <f t="shared" si="0"/>
        <v>0</v>
      </c>
      <c r="W39" s="261">
        <f t="shared" si="0"/>
        <v>1739.6356156527991</v>
      </c>
      <c r="X39" s="261">
        <f t="shared" si="0"/>
        <v>0</v>
      </c>
      <c r="Y39" s="261">
        <f t="shared" si="0"/>
        <v>17578.666707253466</v>
      </c>
      <c r="Z39" s="261">
        <f t="shared" si="0"/>
        <v>0</v>
      </c>
      <c r="AA39" s="269">
        <f t="shared" si="0"/>
        <v>0</v>
      </c>
      <c r="AB39" s="272">
        <f t="shared" si="0"/>
        <v>0</v>
      </c>
      <c r="AC39" s="272">
        <f t="shared" si="0"/>
        <v>0</v>
      </c>
      <c r="AD39" s="275" t="s">
        <v>29</v>
      </c>
      <c r="AE39" s="275" t="s">
        <v>29</v>
      </c>
      <c r="AF39" s="275" t="s">
        <v>29</v>
      </c>
      <c r="AG39" s="275" t="s">
        <v>158</v>
      </c>
      <c r="AH39" s="272">
        <f t="shared" ref="AH39:AQ39" si="1">SUM(AH8:AH38)</f>
        <v>7193.4956133365658</v>
      </c>
      <c r="AI39" s="272">
        <f t="shared" si="1"/>
        <v>21557.970160563786</v>
      </c>
      <c r="AJ39" s="272">
        <f t="shared" si="1"/>
        <v>38456.348733266204</v>
      </c>
      <c r="AK39" s="272">
        <f t="shared" si="1"/>
        <v>30499.612190691627</v>
      </c>
      <c r="AL39" s="272">
        <f t="shared" si="1"/>
        <v>26508.922207037609</v>
      </c>
      <c r="AM39" s="272">
        <f t="shared" si="1"/>
        <v>53347.492814254758</v>
      </c>
      <c r="AN39" s="272">
        <f t="shared" si="1"/>
        <v>15949.76957270304</v>
      </c>
      <c r="AO39" s="272">
        <f t="shared" si="1"/>
        <v>78983.738552856448</v>
      </c>
      <c r="AP39" s="272">
        <f t="shared" si="1"/>
        <v>11705.472349286078</v>
      </c>
      <c r="AQ39" s="272">
        <f t="shared" si="1"/>
        <v>29448.059244219457</v>
      </c>
    </row>
    <row r="40" spans="1:43" ht="15.75" thickBot="1">
      <c r="A40" s="47" t="s">
        <v>171</v>
      </c>
      <c r="B40" s="32">
        <f>Projection!$AB$30</f>
        <v>0.91139353199999984</v>
      </c>
      <c r="C40" s="33">
        <f>Projection!$AB$28</f>
        <v>1.4375491199999999</v>
      </c>
      <c r="D40" s="33">
        <f>Projection!$AB$31</f>
        <v>2.2476299999999996</v>
      </c>
      <c r="E40" s="33">
        <f>Projection!$AB$26</f>
        <v>4.7363493840000004</v>
      </c>
      <c r="F40" s="33">
        <f>Projection!$AB$23</f>
        <v>5.8379999999999994E-2</v>
      </c>
      <c r="G40" s="33">
        <f>Projection!$AB$24</f>
        <v>5.3200000000000004E-2</v>
      </c>
      <c r="H40" s="34">
        <f>Projection!$AB$29</f>
        <v>3.6371774160000006</v>
      </c>
      <c r="I40" s="32">
        <f>Projection!$AB$30</f>
        <v>0.91139353199999984</v>
      </c>
      <c r="J40" s="33">
        <f>Projection!$AB$28</f>
        <v>1.4375491199999999</v>
      </c>
      <c r="K40" s="33">
        <f>Projection!$AB$26</f>
        <v>4.7363493840000004</v>
      </c>
      <c r="L40" s="33">
        <f>Projection!$AB$25</f>
        <v>0.37613399999999997</v>
      </c>
      <c r="M40" s="33">
        <f>Projection!$AB$23</f>
        <v>5.8379999999999994E-2</v>
      </c>
      <c r="N40" s="34">
        <f>Projection!$AB$23</f>
        <v>5.8379999999999994E-2</v>
      </c>
      <c r="O40" s="26">
        <v>15.77</v>
      </c>
      <c r="P40" s="27">
        <v>15.77</v>
      </c>
      <c r="Q40" s="27">
        <v>15.77</v>
      </c>
      <c r="R40" s="27">
        <v>15.77</v>
      </c>
      <c r="S40" s="27">
        <f>Projection!$AB$28</f>
        <v>1.4375491199999999</v>
      </c>
      <c r="T40" s="38">
        <f>Projection!$AB$28</f>
        <v>1.4375491199999999</v>
      </c>
      <c r="U40" s="26">
        <f>Projection!$AB$27</f>
        <v>0.29749999999999999</v>
      </c>
      <c r="V40" s="27">
        <f>Projection!$AB$27</f>
        <v>0.29749999999999999</v>
      </c>
      <c r="W40" s="27">
        <f>Projection!$AB$22</f>
        <v>1.1475</v>
      </c>
      <c r="X40" s="27">
        <f>Projection!$AB$22</f>
        <v>1.1475</v>
      </c>
      <c r="Y40" s="27">
        <f>Projection!$AB$31</f>
        <v>2.2476299999999996</v>
      </c>
      <c r="Z40" s="27">
        <f>Projection!$AB$31</f>
        <v>2.2476299999999996</v>
      </c>
      <c r="AA40" s="28">
        <v>0</v>
      </c>
      <c r="AB40" s="41">
        <f>Projection!$AB$27</f>
        <v>0.29749999999999999</v>
      </c>
      <c r="AC40" s="41">
        <f>Projection!$AB$30</f>
        <v>0.91139353199999984</v>
      </c>
      <c r="AD40" s="276">
        <f>SUM(AD8:AD38)</f>
        <v>670.05057388212936</v>
      </c>
      <c r="AE40" s="276">
        <f>SUM(AE8:AE38)</f>
        <v>659.41706724454741</v>
      </c>
      <c r="AF40" s="276">
        <f>SUM(AF8:AF38)</f>
        <v>0</v>
      </c>
      <c r="AG40" s="276">
        <f>IF(SUM(AE40:AF40)&gt;0, AE40/(AE40+AF40), "")</f>
        <v>1</v>
      </c>
      <c r="AH40" s="303">
        <v>0.08</v>
      </c>
      <c r="AI40" s="303">
        <f t="shared" ref="AI40:AQ40" si="2">$AH$40</f>
        <v>0.08</v>
      </c>
      <c r="AJ40" s="303">
        <f t="shared" si="2"/>
        <v>0.08</v>
      </c>
      <c r="AK40" s="303">
        <f t="shared" si="2"/>
        <v>0.08</v>
      </c>
      <c r="AL40" s="303">
        <f t="shared" si="2"/>
        <v>0.08</v>
      </c>
      <c r="AM40" s="303">
        <f t="shared" si="2"/>
        <v>0.08</v>
      </c>
      <c r="AN40" s="303">
        <f t="shared" si="2"/>
        <v>0.08</v>
      </c>
      <c r="AO40" s="303">
        <f t="shared" si="2"/>
        <v>0.08</v>
      </c>
      <c r="AP40" s="303">
        <f t="shared" si="2"/>
        <v>0.08</v>
      </c>
      <c r="AQ40" s="303">
        <f t="shared" si="2"/>
        <v>0.08</v>
      </c>
    </row>
    <row r="41" spans="1:43" ht="16.5" thickTop="1" thickBot="1">
      <c r="A41" s="48" t="s">
        <v>26</v>
      </c>
      <c r="B41" s="35">
        <f t="shared" ref="B41:AC41" si="3">B40*B39</f>
        <v>0</v>
      </c>
      <c r="C41" s="36">
        <f t="shared" si="3"/>
        <v>0</v>
      </c>
      <c r="D41" s="36">
        <f t="shared" si="3"/>
        <v>0</v>
      </c>
      <c r="E41" s="36">
        <f t="shared" si="3"/>
        <v>0</v>
      </c>
      <c r="F41" s="36">
        <f t="shared" si="3"/>
        <v>0</v>
      </c>
      <c r="G41" s="36">
        <f t="shared" si="3"/>
        <v>0</v>
      </c>
      <c r="H41" s="37">
        <f t="shared" si="3"/>
        <v>0</v>
      </c>
      <c r="I41" s="35">
        <f t="shared" si="3"/>
        <v>17485.999230442125</v>
      </c>
      <c r="J41" s="36">
        <f t="shared" si="3"/>
        <v>73391.515159134608</v>
      </c>
      <c r="K41" s="36">
        <f t="shared" si="3"/>
        <v>3251.7792713331951</v>
      </c>
      <c r="L41" s="36">
        <f t="shared" si="3"/>
        <v>0</v>
      </c>
      <c r="M41" s="36">
        <f t="shared" si="3"/>
        <v>0</v>
      </c>
      <c r="N41" s="37">
        <f t="shared" si="3"/>
        <v>0</v>
      </c>
      <c r="O41" s="266">
        <f t="shared" si="3"/>
        <v>0</v>
      </c>
      <c r="P41" s="267">
        <f t="shared" si="3"/>
        <v>0</v>
      </c>
      <c r="Q41" s="267">
        <f t="shared" si="3"/>
        <v>0</v>
      </c>
      <c r="R41" s="267">
        <f t="shared" si="3"/>
        <v>0</v>
      </c>
      <c r="S41" s="267">
        <f t="shared" si="3"/>
        <v>0</v>
      </c>
      <c r="T41" s="268">
        <f t="shared" si="3"/>
        <v>0</v>
      </c>
      <c r="U41" s="266">
        <f t="shared" si="3"/>
        <v>4967.9661452648543</v>
      </c>
      <c r="V41" s="267">
        <f t="shared" si="3"/>
        <v>0</v>
      </c>
      <c r="W41" s="267">
        <f t="shared" si="3"/>
        <v>1996.2318689615868</v>
      </c>
      <c r="X41" s="267">
        <f t="shared" si="3"/>
        <v>0</v>
      </c>
      <c r="Y41" s="267">
        <f t="shared" si="3"/>
        <v>39510.338651224098</v>
      </c>
      <c r="Z41" s="267">
        <f t="shared" si="3"/>
        <v>0</v>
      </c>
      <c r="AA41" s="271">
        <f t="shared" si="3"/>
        <v>0</v>
      </c>
      <c r="AB41" s="274">
        <f t="shared" si="3"/>
        <v>0</v>
      </c>
      <c r="AC41" s="274">
        <f t="shared" si="3"/>
        <v>0</v>
      </c>
      <c r="AH41" s="277">
        <f t="shared" ref="AH41:AQ41" si="4">AH40*AH39</f>
        <v>575.47964906692528</v>
      </c>
      <c r="AI41" s="277">
        <f t="shared" si="4"/>
        <v>1724.6376128451029</v>
      </c>
      <c r="AJ41" s="277">
        <f t="shared" si="4"/>
        <v>3076.5078986612966</v>
      </c>
      <c r="AK41" s="277">
        <f t="shared" si="4"/>
        <v>2439.9689752553304</v>
      </c>
      <c r="AL41" s="277">
        <f t="shared" si="4"/>
        <v>2120.7137765630087</v>
      </c>
      <c r="AM41" s="277">
        <f t="shared" si="4"/>
        <v>4267.7994251403807</v>
      </c>
      <c r="AN41" s="277">
        <f t="shared" si="4"/>
        <v>1275.9815658162433</v>
      </c>
      <c r="AO41" s="277">
        <f t="shared" si="4"/>
        <v>6318.6990842285159</v>
      </c>
      <c r="AP41" s="277">
        <f t="shared" si="4"/>
        <v>936.43778794288619</v>
      </c>
      <c r="AQ41" s="277">
        <f t="shared" si="4"/>
        <v>2355.8447395375565</v>
      </c>
    </row>
    <row r="42" spans="1:43" ht="49.5" customHeight="1" thickTop="1" thickBot="1">
      <c r="A42" s="740" t="s">
        <v>212</v>
      </c>
      <c r="B42" s="741"/>
      <c r="C42" s="741"/>
      <c r="D42" s="741"/>
      <c r="E42" s="741"/>
      <c r="F42" s="741"/>
      <c r="G42" s="741"/>
      <c r="H42" s="741"/>
      <c r="I42" s="741"/>
      <c r="J42" s="741"/>
      <c r="K42" s="723"/>
      <c r="L42" s="44"/>
      <c r="M42" s="44"/>
      <c r="N42" s="44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  <c r="AA42" s="45"/>
      <c r="AB42" s="45"/>
      <c r="AC42" s="45"/>
      <c r="AG42" s="295" t="s">
        <v>183</v>
      </c>
      <c r="AH42" s="294">
        <v>169.61</v>
      </c>
      <c r="AI42" s="277" t="s">
        <v>196</v>
      </c>
      <c r="AJ42" s="277">
        <v>295.06</v>
      </c>
      <c r="AK42" s="277">
        <v>180.49</v>
      </c>
      <c r="AL42" s="277">
        <v>161.16999999999999</v>
      </c>
      <c r="AM42" s="277">
        <v>909.7</v>
      </c>
      <c r="AN42" s="277">
        <v>940.44</v>
      </c>
      <c r="AO42" s="277" t="s">
        <v>196</v>
      </c>
      <c r="AP42" s="277">
        <v>39.53</v>
      </c>
      <c r="AQ42" s="277">
        <v>175.31</v>
      </c>
    </row>
    <row r="43" spans="1:43" ht="38.25" customHeight="1" thickTop="1" thickBot="1">
      <c r="A43" s="726" t="s">
        <v>49</v>
      </c>
      <c r="B43" s="722"/>
      <c r="C43" s="288"/>
      <c r="D43" s="722" t="s">
        <v>47</v>
      </c>
      <c r="E43" s="722"/>
      <c r="F43" s="288"/>
      <c r="G43" s="722" t="s">
        <v>48</v>
      </c>
      <c r="H43" s="722"/>
      <c r="I43" s="289"/>
      <c r="J43" s="722" t="s">
        <v>50</v>
      </c>
      <c r="K43" s="723"/>
      <c r="L43" s="44"/>
      <c r="M43" s="44"/>
      <c r="N43" s="44"/>
      <c r="O43" s="45"/>
      <c r="P43" s="45"/>
      <c r="Q43" s="45"/>
      <c r="R43" s="729" t="s">
        <v>165</v>
      </c>
      <c r="S43" s="730"/>
      <c r="T43" s="730"/>
      <c r="U43" s="731"/>
      <c r="AC43" s="45"/>
    </row>
    <row r="44" spans="1:43" ht="24.75" thickTop="1" thickBot="1">
      <c r="A44" s="281" t="s">
        <v>135</v>
      </c>
      <c r="B44" s="282">
        <f>SUM(B41:AC41)</f>
        <v>140603.83032636048</v>
      </c>
      <c r="C44" s="12"/>
      <c r="D44" s="281" t="s">
        <v>135</v>
      </c>
      <c r="E44" s="282">
        <f>SUM(B41:H41)+P41+R41+T41+V41+X41+Z41</f>
        <v>0</v>
      </c>
      <c r="F44" s="12"/>
      <c r="G44" s="281" t="s">
        <v>135</v>
      </c>
      <c r="H44" s="282">
        <f>SUM(I41:N41)+O41+Q41+S41+U41+W41+Y41</f>
        <v>140603.83032636048</v>
      </c>
      <c r="I44" s="12"/>
      <c r="J44" s="281" t="s">
        <v>197</v>
      </c>
      <c r="K44" s="282">
        <v>187004.55</v>
      </c>
      <c r="L44" s="12"/>
      <c r="M44" s="12"/>
      <c r="N44" s="12"/>
      <c r="O44" s="12"/>
      <c r="P44" s="12"/>
      <c r="Q44" s="12"/>
      <c r="R44" s="308" t="s">
        <v>135</v>
      </c>
      <c r="S44" s="309"/>
      <c r="T44" s="304" t="s">
        <v>166</v>
      </c>
      <c r="U44" s="254" t="s">
        <v>167</v>
      </c>
    </row>
    <row r="45" spans="1:43" ht="24" thickBot="1">
      <c r="A45" s="283" t="s">
        <v>182</v>
      </c>
      <c r="B45" s="284">
        <f>SUM(AH41:AQ41)</f>
        <v>25092.070515057247</v>
      </c>
      <c r="C45" s="12"/>
      <c r="D45" s="283" t="s">
        <v>182</v>
      </c>
      <c r="E45" s="284">
        <f>AH41*(1-$AG$40)+AI41+AJ41*0.5+AL41+AM41*(1-$AG$40)+AN41*(1-$AG$40)+AO41*(1-$AG$40)+AP41*0.5+AQ41*0.5</f>
        <v>7029.7466024789819</v>
      </c>
      <c r="F45" s="24"/>
      <c r="G45" s="283" t="s">
        <v>182</v>
      </c>
      <c r="H45" s="284">
        <f>AH41*AG40+AJ41*0.5+AK41+AM41*AG40+AN41*AG40+AO41*AG40+AP41*0.5+AQ41*0.5</f>
        <v>18062.323912578264</v>
      </c>
      <c r="I45" s="12"/>
      <c r="J45" s="12"/>
      <c r="K45" s="287"/>
      <c r="L45" s="12"/>
      <c r="M45" s="12"/>
      <c r="N45" s="12"/>
      <c r="O45" s="12"/>
      <c r="P45" s="12"/>
      <c r="Q45" s="12"/>
      <c r="R45" s="306" t="s">
        <v>140</v>
      </c>
      <c r="S45" s="307"/>
      <c r="T45" s="253">
        <f>$W$39+$X$39</f>
        <v>1739.6356156527991</v>
      </c>
      <c r="U45" s="255">
        <f>(T45*8.34*0.895)/27000</f>
        <v>0.48093193058952549</v>
      </c>
    </row>
    <row r="46" spans="1:43" ht="32.25" thickBot="1">
      <c r="A46" s="285" t="s">
        <v>183</v>
      </c>
      <c r="B46" s="286">
        <f>SUM(AH42:AQ42)</f>
        <v>2871.3100000000004</v>
      </c>
      <c r="C46" s="12"/>
      <c r="D46" s="285" t="s">
        <v>183</v>
      </c>
      <c r="E46" s="286">
        <f>AH42*(1-$AG$40)+AJ42*0.5+AL42+AM42*(1-$AG$40)+AN42*(1-$AG$40)+AP42*0.5+AQ42*0.5</f>
        <v>416.12</v>
      </c>
      <c r="F46" s="23"/>
      <c r="G46" s="285" t="s">
        <v>183</v>
      </c>
      <c r="H46" s="286">
        <f>AH42*AG40+AJ42*0.5+AK42+AM42*AG40+AN42*AG40+AP42*0.5+AQ42*0.5</f>
        <v>2455.19</v>
      </c>
      <c r="I46" s="12"/>
      <c r="J46" s="724" t="s">
        <v>198</v>
      </c>
      <c r="K46" s="725"/>
      <c r="L46" s="12"/>
      <c r="M46" s="12"/>
      <c r="N46" s="12"/>
      <c r="O46" s="12"/>
      <c r="P46" s="12"/>
      <c r="Q46" s="12"/>
      <c r="R46" s="306" t="s">
        <v>144</v>
      </c>
      <c r="S46" s="307"/>
      <c r="T46" s="253">
        <f>$M$39+$N$39+$F$39</f>
        <v>0</v>
      </c>
      <c r="U46" s="256">
        <f>(((T46*8.34)*0.005)/(8.34*1.055))/400</f>
        <v>0</v>
      </c>
    </row>
    <row r="47" spans="1:43" ht="24.75" thickTop="1" thickBot="1">
      <c r="A47" s="285" t="s">
        <v>184</v>
      </c>
      <c r="B47" s="286">
        <f>K44</f>
        <v>187004.55</v>
      </c>
      <c r="C47" s="12"/>
      <c r="D47" s="285" t="s">
        <v>186</v>
      </c>
      <c r="E47" s="286">
        <f>K44*0.5</f>
        <v>93502.274999999994</v>
      </c>
      <c r="F47" s="24"/>
      <c r="G47" s="285" t="s">
        <v>184</v>
      </c>
      <c r="H47" s="286">
        <f>K44*0.5</f>
        <v>93502.274999999994</v>
      </c>
      <c r="I47" s="12"/>
      <c r="J47" s="281" t="s">
        <v>197</v>
      </c>
      <c r="K47" s="282">
        <v>20058.810000000009</v>
      </c>
      <c r="L47" s="12"/>
      <c r="M47" s="12"/>
      <c r="N47" s="12"/>
      <c r="O47" s="12"/>
      <c r="P47" s="12"/>
      <c r="Q47" s="12"/>
      <c r="R47" s="306" t="s">
        <v>147</v>
      </c>
      <c r="S47" s="307"/>
      <c r="T47" s="253">
        <f>$G$39</f>
        <v>0</v>
      </c>
      <c r="U47" s="255">
        <f>T47/40000</f>
        <v>0</v>
      </c>
    </row>
    <row r="48" spans="1:43" ht="24" thickBot="1">
      <c r="A48" s="285" t="s">
        <v>185</v>
      </c>
      <c r="B48" s="286">
        <f>K47</f>
        <v>20058.810000000009</v>
      </c>
      <c r="C48" s="12"/>
      <c r="D48" s="285" t="s">
        <v>185</v>
      </c>
      <c r="E48" s="286">
        <f>K47*0.5</f>
        <v>10029.405000000004</v>
      </c>
      <c r="F48" s="23"/>
      <c r="G48" s="285" t="s">
        <v>185</v>
      </c>
      <c r="H48" s="286">
        <f>K47*0.5</f>
        <v>10029.405000000004</v>
      </c>
      <c r="I48" s="12"/>
      <c r="J48" s="12"/>
      <c r="K48" s="86"/>
      <c r="L48" s="12"/>
      <c r="M48" s="12"/>
      <c r="N48" s="12"/>
      <c r="O48" s="12"/>
      <c r="P48" s="12"/>
      <c r="Q48" s="12"/>
      <c r="R48" s="306" t="s">
        <v>149</v>
      </c>
      <c r="S48" s="307"/>
      <c r="T48" s="253">
        <f>$L$39</f>
        <v>0</v>
      </c>
      <c r="U48" s="255">
        <f>T48*9.34*0.107</f>
        <v>0</v>
      </c>
    </row>
    <row r="49" spans="1:25" ht="48" thickTop="1" thickBot="1">
      <c r="A49" s="290" t="s">
        <v>193</v>
      </c>
      <c r="B49" s="291">
        <f>AD40</f>
        <v>670.05057388212936</v>
      </c>
      <c r="C49" s="12"/>
      <c r="D49" s="290" t="s">
        <v>194</v>
      </c>
      <c r="E49" s="291">
        <f>AF40</f>
        <v>0</v>
      </c>
      <c r="F49" s="23"/>
      <c r="G49" s="290" t="s">
        <v>195</v>
      </c>
      <c r="H49" s="291">
        <f>AE40</f>
        <v>659.41706724454741</v>
      </c>
      <c r="I49" s="12"/>
      <c r="J49" s="12"/>
      <c r="K49" s="86"/>
      <c r="L49" s="12"/>
      <c r="M49" s="12"/>
      <c r="N49" s="12"/>
      <c r="O49" s="12"/>
      <c r="P49" s="12"/>
      <c r="Q49" s="12"/>
      <c r="R49" s="306" t="s">
        <v>151</v>
      </c>
      <c r="S49" s="307"/>
      <c r="T49" s="253">
        <f>$E$39+$K$39</f>
        <v>686.55815010567528</v>
      </c>
      <c r="U49" s="255">
        <f>(T49*8.34*1.04)/45000</f>
        <v>0.1323317949057019</v>
      </c>
    </row>
    <row r="50" spans="1:25" ht="48" thickTop="1" thickBot="1">
      <c r="A50" s="290" t="s">
        <v>189</v>
      </c>
      <c r="B50" s="292">
        <f>(SUM(B44:B48)/AD40)</f>
        <v>560.6003270247121</v>
      </c>
      <c r="C50" s="12"/>
      <c r="D50" s="290" t="s">
        <v>187</v>
      </c>
      <c r="E50" s="292" t="e">
        <f>SUM(E44:E48)/AF40</f>
        <v>#DIV/0!</v>
      </c>
      <c r="F50" s="23"/>
      <c r="G50" s="290" t="s">
        <v>188</v>
      </c>
      <c r="H50" s="292">
        <f>SUM(H44:H48)/AE40</f>
        <v>401.34391022789703</v>
      </c>
      <c r="I50" s="12"/>
      <c r="J50" s="12"/>
      <c r="K50" s="86"/>
      <c r="L50" s="12"/>
      <c r="M50" s="12"/>
      <c r="N50" s="12"/>
      <c r="O50" s="12"/>
      <c r="P50" s="12"/>
      <c r="Q50" s="12"/>
      <c r="R50" s="306" t="s">
        <v>152</v>
      </c>
      <c r="S50" s="307"/>
      <c r="T50" s="253">
        <f>$U$39+$V$39+$AB$39</f>
        <v>16699.045866436485</v>
      </c>
      <c r="U50" s="255">
        <f>T50/2000/8</f>
        <v>1.0436903666522803</v>
      </c>
    </row>
    <row r="51" spans="1:25" ht="47.25" customHeight="1" thickTop="1" thickBot="1">
      <c r="A51" s="280" t="s">
        <v>190</v>
      </c>
      <c r="B51" s="293">
        <f>B50/1000</f>
        <v>0.56060032702471208</v>
      </c>
      <c r="C51" s="12"/>
      <c r="D51" s="280" t="s">
        <v>191</v>
      </c>
      <c r="E51" s="293" t="e">
        <f>E50/1000</f>
        <v>#DIV/0!</v>
      </c>
      <c r="F51" s="12"/>
      <c r="G51" s="280" t="s">
        <v>192</v>
      </c>
      <c r="H51" s="293">
        <f>H50/1000</f>
        <v>0.401343910227897</v>
      </c>
      <c r="I51" s="12"/>
      <c r="J51" s="12"/>
      <c r="K51" s="86"/>
      <c r="L51" s="12"/>
      <c r="M51" s="12"/>
      <c r="N51" s="12"/>
      <c r="O51" s="12"/>
      <c r="P51" s="12"/>
      <c r="Q51" s="12"/>
      <c r="R51" s="306" t="s">
        <v>153</v>
      </c>
      <c r="S51" s="307"/>
      <c r="T51" s="253">
        <f>$C$39+$J$39+$S$39+$T$39</f>
        <v>51053.222556412271</v>
      </c>
      <c r="U51" s="255">
        <f>(T51*8.34*1.4)/45000</f>
        <v>13.246609479303769</v>
      </c>
    </row>
    <row r="52" spans="1:25" ht="16.5" thickTop="1" thickBot="1">
      <c r="A52" s="301"/>
      <c r="B52" s="12"/>
      <c r="C52" s="12"/>
      <c r="D52" s="12"/>
      <c r="E52" s="12"/>
      <c r="F52" s="12"/>
      <c r="G52" s="12"/>
      <c r="H52" s="12"/>
      <c r="I52" s="12"/>
      <c r="J52" s="12"/>
      <c r="K52" s="86"/>
      <c r="L52" s="12"/>
      <c r="M52" s="12"/>
      <c r="N52" s="12"/>
      <c r="O52" s="12"/>
      <c r="P52" s="12"/>
      <c r="Q52" s="12"/>
      <c r="R52" s="306" t="s">
        <v>154</v>
      </c>
      <c r="S52" s="307"/>
      <c r="T52" s="253">
        <f>$H$39</f>
        <v>0</v>
      </c>
      <c r="U52" s="255">
        <f>(T52*8.34*1.135)/45000</f>
        <v>0</v>
      </c>
    </row>
    <row r="53" spans="1:25" ht="48" customHeight="1" thickTop="1" thickBot="1">
      <c r="A53" s="732" t="s">
        <v>51</v>
      </c>
      <c r="B53" s="733"/>
      <c r="C53" s="733"/>
      <c r="D53" s="733"/>
      <c r="E53" s="734"/>
      <c r="F53" s="12"/>
      <c r="G53" s="12"/>
      <c r="H53" s="12"/>
      <c r="I53" s="12"/>
      <c r="J53" s="12"/>
      <c r="K53" s="86"/>
      <c r="L53" s="12"/>
      <c r="M53" s="12"/>
      <c r="N53" s="12"/>
      <c r="O53" s="12"/>
      <c r="P53" s="12"/>
      <c r="Q53" s="12"/>
      <c r="R53" s="306" t="s">
        <v>155</v>
      </c>
      <c r="S53" s="307"/>
      <c r="T53" s="253">
        <f>$B$39+$I$39+$AC$39</f>
        <v>19186.003209908809</v>
      </c>
      <c r="U53" s="255">
        <f>(T53*8.34*1.029*0.03)/3300</f>
        <v>1.4968326682453452</v>
      </c>
    </row>
    <row r="54" spans="1:25" ht="54" customHeight="1" thickBot="1">
      <c r="A54" s="735" t="s">
        <v>199</v>
      </c>
      <c r="B54" s="736"/>
      <c r="C54" s="736"/>
      <c r="D54" s="736"/>
      <c r="E54" s="737"/>
      <c r="F54" s="87"/>
      <c r="G54" s="87"/>
      <c r="H54" s="87"/>
      <c r="I54" s="87"/>
      <c r="J54" s="87"/>
      <c r="K54" s="88"/>
      <c r="L54" s="12"/>
      <c r="M54" s="12"/>
      <c r="N54" s="12"/>
      <c r="O54" s="12"/>
      <c r="P54" s="12"/>
      <c r="Q54" s="12"/>
      <c r="R54" s="738" t="s">
        <v>157</v>
      </c>
      <c r="S54" s="739"/>
      <c r="T54" s="257">
        <f>$D$39+$Y$39+$Z$39</f>
        <v>17578.666707253466</v>
      </c>
      <c r="U54" s="258">
        <f>(T54*1.54*8.34)/45000</f>
        <v>5.0171858604729023</v>
      </c>
    </row>
    <row r="55" spans="1:25" ht="24" thickTop="1">
      <c r="A55" s="718"/>
      <c r="B55" s="719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</row>
    <row r="56" spans="1:25">
      <c r="A56" s="720"/>
      <c r="B56" s="721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</row>
    <row r="57" spans="1:25">
      <c r="A57" s="716"/>
      <c r="B57" s="717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</row>
    <row r="58" spans="1:25">
      <c r="A58" s="717"/>
      <c r="B58" s="717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</row>
    <row r="59" spans="1:25">
      <c r="A59" s="716"/>
      <c r="B59" s="717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</row>
    <row r="60" spans="1:25">
      <c r="A60" s="717"/>
      <c r="B60" s="717"/>
      <c r="C60" s="12"/>
      <c r="D60" s="12"/>
      <c r="E60" s="12"/>
      <c r="F60" s="12"/>
      <c r="G60" s="12"/>
      <c r="H60" s="12"/>
      <c r="I60" s="12"/>
      <c r="J60" s="12"/>
      <c r="K60" s="12"/>
    </row>
    <row r="61" spans="1:25">
      <c r="A61" s="12"/>
      <c r="B61" s="12"/>
      <c r="C61" s="12"/>
    </row>
    <row r="62" spans="1:25">
      <c r="A62" s="12"/>
      <c r="B62" s="12"/>
      <c r="C62" s="12"/>
    </row>
  </sheetData>
  <sheetProtection password="A25B" sheet="1" objects="1" scenarios="1"/>
  <customSheetViews>
    <customSheetView guid="{322E6371-A03C-4BCA-B267-212DFC76880A}" scale="75" fitToPage="1">
      <selection activeCell="E11" sqref="E11"/>
      <pageMargins left="0.33" right="0.19" top="0.75" bottom="0.75" header="0.3" footer="0.3"/>
      <pageSetup scale="46" orientation="landscape" r:id="rId1"/>
    </customSheetView>
  </customSheetViews>
  <mergeCells count="34">
    <mergeCell ref="R43:U43"/>
    <mergeCell ref="A53:E53"/>
    <mergeCell ref="A54:E54"/>
    <mergeCell ref="R54:S54"/>
    <mergeCell ref="AM4:AM5"/>
    <mergeCell ref="A42:K42"/>
    <mergeCell ref="AD4:AD5"/>
    <mergeCell ref="AE4:AE5"/>
    <mergeCell ref="AF4:AF5"/>
    <mergeCell ref="AG4:AG5"/>
    <mergeCell ref="B4:H5"/>
    <mergeCell ref="I4:N5"/>
    <mergeCell ref="O4:T5"/>
    <mergeCell ref="U4:AA5"/>
    <mergeCell ref="AB4:AB5"/>
    <mergeCell ref="AC4:AC5"/>
    <mergeCell ref="AN4:AN5"/>
    <mergeCell ref="AO4:AO5"/>
    <mergeCell ref="AP4:AP5"/>
    <mergeCell ref="AQ4:AQ5"/>
    <mergeCell ref="AH4:AH5"/>
    <mergeCell ref="AI4:AI5"/>
    <mergeCell ref="AJ4:AJ5"/>
    <mergeCell ref="AK4:AK5"/>
    <mergeCell ref="AL4:AL5"/>
    <mergeCell ref="A57:B58"/>
    <mergeCell ref="A59:B60"/>
    <mergeCell ref="A55:B55"/>
    <mergeCell ref="A56:B56"/>
    <mergeCell ref="J43:K43"/>
    <mergeCell ref="J46:K46"/>
    <mergeCell ref="A43:B43"/>
    <mergeCell ref="D43:E43"/>
    <mergeCell ref="G43:H43"/>
  </mergeCells>
  <pageMargins left="0.33" right="0.19" top="0.75" bottom="0.75" header="0.3" footer="0.3"/>
  <pageSetup scale="46" orientation="landscape"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U62"/>
  <sheetViews>
    <sheetView topLeftCell="A31" zoomScale="75" zoomScaleNormal="75" workbookViewId="0">
      <selection activeCell="H51" sqref="H51"/>
    </sheetView>
  </sheetViews>
  <sheetFormatPr defaultRowHeight="15"/>
  <cols>
    <col min="1" max="1" width="35.28515625" bestFit="1" customWidth="1"/>
    <col min="2" max="2" width="26.5703125" bestFit="1" customWidth="1"/>
    <col min="3" max="3" width="27.85546875" bestFit="1" customWidth="1"/>
    <col min="4" max="4" width="29.5703125" customWidth="1"/>
    <col min="5" max="5" width="24.28515625" bestFit="1" customWidth="1"/>
    <col min="6" max="6" width="15.140625" bestFit="1" customWidth="1"/>
    <col min="7" max="7" width="35.5703125" customWidth="1"/>
    <col min="8" max="8" width="19.7109375" bestFit="1" customWidth="1"/>
    <col min="9" max="10" width="25.42578125" bestFit="1" customWidth="1"/>
    <col min="11" max="11" width="22.5703125" bestFit="1" customWidth="1"/>
    <col min="12" max="12" width="17.140625" bestFit="1" customWidth="1"/>
    <col min="13" max="13" width="16.140625" bestFit="1" customWidth="1"/>
    <col min="14" max="14" width="20.28515625" bestFit="1" customWidth="1"/>
    <col min="15" max="16" width="16.28515625" bestFit="1" customWidth="1"/>
    <col min="17" max="17" width="24" bestFit="1" customWidth="1"/>
    <col min="18" max="18" width="24.42578125" bestFit="1" customWidth="1"/>
    <col min="19" max="19" width="26" bestFit="1" customWidth="1"/>
    <col min="20" max="20" width="25.85546875" bestFit="1" customWidth="1"/>
    <col min="21" max="21" width="13.85546875" bestFit="1" customWidth="1"/>
    <col min="22" max="22" width="11.5703125" bestFit="1" customWidth="1"/>
    <col min="23" max="23" width="20.28515625" bestFit="1" customWidth="1"/>
    <col min="24" max="24" width="20" bestFit="1" customWidth="1"/>
    <col min="25" max="25" width="22.5703125" bestFit="1" customWidth="1"/>
    <col min="26" max="26" width="22.28515625" bestFit="1" customWidth="1"/>
    <col min="27" max="27" width="21.28515625" bestFit="1" customWidth="1"/>
    <col min="28" max="28" width="32.85546875" bestFit="1" customWidth="1"/>
    <col min="29" max="29" width="36.7109375" customWidth="1"/>
    <col min="30" max="30" width="33.28515625" bestFit="1" customWidth="1"/>
    <col min="31" max="31" width="26.85546875" customWidth="1"/>
    <col min="32" max="32" width="23" customWidth="1"/>
    <col min="33" max="33" width="22.28515625" customWidth="1"/>
    <col min="34" max="34" width="23" bestFit="1" customWidth="1"/>
    <col min="35" max="35" width="17" bestFit="1" customWidth="1"/>
    <col min="36" max="36" width="17.5703125" bestFit="1" customWidth="1"/>
    <col min="37" max="38" width="15.85546875" bestFit="1" customWidth="1"/>
    <col min="39" max="39" width="21.85546875" bestFit="1" customWidth="1"/>
    <col min="40" max="40" width="18.7109375" bestFit="1" customWidth="1"/>
    <col min="41" max="43" width="15.85546875" bestFit="1" customWidth="1"/>
  </cols>
  <sheetData>
    <row r="1" spans="1:47" ht="15" customHeight="1">
      <c r="A1" s="1" t="s">
        <v>0</v>
      </c>
      <c r="B1" s="2"/>
      <c r="C1" t="s">
        <v>1</v>
      </c>
      <c r="O1" s="3"/>
      <c r="P1" s="4"/>
      <c r="Q1" s="4"/>
      <c r="R1" s="4"/>
    </row>
    <row r="2" spans="1:47" ht="15" customHeight="1">
      <c r="A2" s="1" t="s">
        <v>2</v>
      </c>
      <c r="B2" s="5"/>
      <c r="O2" s="4"/>
      <c r="P2" s="4"/>
      <c r="Q2" s="4"/>
      <c r="R2" s="4"/>
    </row>
    <row r="3" spans="1:47" ht="15.75" thickBot="1">
      <c r="A3" s="6"/>
    </row>
    <row r="4" spans="1:47" ht="30" customHeight="1" thickTop="1">
      <c r="A4" s="13"/>
      <c r="B4" s="744" t="s">
        <v>3</v>
      </c>
      <c r="C4" s="745"/>
      <c r="D4" s="745"/>
      <c r="E4" s="745"/>
      <c r="F4" s="745"/>
      <c r="G4" s="745"/>
      <c r="H4" s="746"/>
      <c r="I4" s="744" t="s">
        <v>4</v>
      </c>
      <c r="J4" s="745"/>
      <c r="K4" s="745"/>
      <c r="L4" s="745"/>
      <c r="M4" s="745"/>
      <c r="N4" s="746"/>
      <c r="O4" s="750" t="s">
        <v>5</v>
      </c>
      <c r="P4" s="751"/>
      <c r="Q4" s="752"/>
      <c r="R4" s="752"/>
      <c r="S4" s="752"/>
      <c r="T4" s="753"/>
      <c r="U4" s="744" t="s">
        <v>6</v>
      </c>
      <c r="V4" s="757"/>
      <c r="W4" s="757"/>
      <c r="X4" s="757"/>
      <c r="Y4" s="757"/>
      <c r="Z4" s="757"/>
      <c r="AA4" s="758"/>
      <c r="AB4" s="727" t="s">
        <v>7</v>
      </c>
      <c r="AC4" s="763" t="s">
        <v>8</v>
      </c>
      <c r="AD4" s="742" t="s">
        <v>27</v>
      </c>
      <c r="AE4" s="742" t="s">
        <v>31</v>
      </c>
      <c r="AF4" s="742" t="s">
        <v>32</v>
      </c>
      <c r="AG4" s="742" t="s">
        <v>33</v>
      </c>
      <c r="AH4" s="727" t="s">
        <v>172</v>
      </c>
      <c r="AI4" s="727" t="s">
        <v>173</v>
      </c>
      <c r="AJ4" s="727" t="s">
        <v>174</v>
      </c>
      <c r="AK4" s="727" t="s">
        <v>175</v>
      </c>
      <c r="AL4" s="727" t="s">
        <v>176</v>
      </c>
      <c r="AM4" s="727" t="s">
        <v>177</v>
      </c>
      <c r="AN4" s="727" t="s">
        <v>178</v>
      </c>
      <c r="AO4" s="727" t="s">
        <v>181</v>
      </c>
      <c r="AP4" s="727" t="s">
        <v>179</v>
      </c>
      <c r="AQ4" s="727" t="s">
        <v>180</v>
      </c>
      <c r="AT4" t="s">
        <v>168</v>
      </c>
      <c r="AU4" s="324" t="s">
        <v>206</v>
      </c>
    </row>
    <row r="5" spans="1:47" ht="30" customHeight="1" thickBot="1">
      <c r="A5" s="13"/>
      <c r="B5" s="747"/>
      <c r="C5" s="748"/>
      <c r="D5" s="748"/>
      <c r="E5" s="748"/>
      <c r="F5" s="748"/>
      <c r="G5" s="748"/>
      <c r="H5" s="749"/>
      <c r="I5" s="747"/>
      <c r="J5" s="748"/>
      <c r="K5" s="748"/>
      <c r="L5" s="748"/>
      <c r="M5" s="748"/>
      <c r="N5" s="749"/>
      <c r="O5" s="754"/>
      <c r="P5" s="755"/>
      <c r="Q5" s="755"/>
      <c r="R5" s="755"/>
      <c r="S5" s="755"/>
      <c r="T5" s="756"/>
      <c r="U5" s="759"/>
      <c r="V5" s="760"/>
      <c r="W5" s="760"/>
      <c r="X5" s="760"/>
      <c r="Y5" s="760"/>
      <c r="Z5" s="760"/>
      <c r="AA5" s="761"/>
      <c r="AB5" s="762"/>
      <c r="AC5" s="764"/>
      <c r="AD5" s="743"/>
      <c r="AE5" s="743"/>
      <c r="AF5" s="743"/>
      <c r="AG5" s="743"/>
      <c r="AH5" s="728"/>
      <c r="AI5" s="728"/>
      <c r="AJ5" s="728"/>
      <c r="AK5" s="728"/>
      <c r="AL5" s="728"/>
      <c r="AM5" s="728"/>
      <c r="AN5" s="728"/>
      <c r="AO5" s="728"/>
      <c r="AP5" s="728"/>
      <c r="AQ5" s="728"/>
    </row>
    <row r="6" spans="1:47" ht="18">
      <c r="A6" s="7"/>
      <c r="B6" s="14" t="s">
        <v>9</v>
      </c>
      <c r="C6" s="8" t="s">
        <v>10</v>
      </c>
      <c r="D6" s="8" t="s">
        <v>11</v>
      </c>
      <c r="E6" s="8" t="s">
        <v>12</v>
      </c>
      <c r="F6" s="8" t="s">
        <v>13</v>
      </c>
      <c r="G6" s="8" t="s">
        <v>14</v>
      </c>
      <c r="H6" s="15" t="s">
        <v>15</v>
      </c>
      <c r="I6" s="16" t="s">
        <v>9</v>
      </c>
      <c r="J6" s="8" t="s">
        <v>16</v>
      </c>
      <c r="K6" s="8" t="s">
        <v>17</v>
      </c>
      <c r="L6" s="9" t="s">
        <v>18</v>
      </c>
      <c r="M6" s="8" t="s">
        <v>19</v>
      </c>
      <c r="N6" s="15" t="s">
        <v>13</v>
      </c>
      <c r="O6" s="14" t="s">
        <v>35</v>
      </c>
      <c r="P6" s="9" t="s">
        <v>36</v>
      </c>
      <c r="Q6" s="9" t="s">
        <v>37</v>
      </c>
      <c r="R6" s="9" t="s">
        <v>38</v>
      </c>
      <c r="S6" s="8" t="s">
        <v>39</v>
      </c>
      <c r="T6" s="39" t="s">
        <v>40</v>
      </c>
      <c r="U6" s="17" t="s">
        <v>41</v>
      </c>
      <c r="V6" s="8" t="s">
        <v>42</v>
      </c>
      <c r="W6" s="8" t="s">
        <v>43</v>
      </c>
      <c r="X6" s="8" t="s">
        <v>44</v>
      </c>
      <c r="Y6" s="8" t="s">
        <v>45</v>
      </c>
      <c r="Z6" s="8" t="s">
        <v>46</v>
      </c>
      <c r="AA6" s="18" t="s">
        <v>20</v>
      </c>
      <c r="AB6" s="19" t="s">
        <v>21</v>
      </c>
      <c r="AC6" s="19" t="s">
        <v>22</v>
      </c>
      <c r="AD6" s="42" t="s">
        <v>30</v>
      </c>
      <c r="AE6" s="42"/>
      <c r="AF6" s="42"/>
      <c r="AG6" s="42"/>
      <c r="AH6" s="42"/>
      <c r="AI6" s="42"/>
      <c r="AJ6" s="42"/>
      <c r="AK6" s="42"/>
      <c r="AL6" s="42"/>
      <c r="AM6" s="42"/>
      <c r="AN6" s="42"/>
      <c r="AO6" s="42"/>
      <c r="AP6" s="42"/>
      <c r="AQ6" s="42"/>
    </row>
    <row r="7" spans="1:47" ht="15.75" thickBot="1">
      <c r="A7" s="7"/>
      <c r="B7" s="20" t="s">
        <v>23</v>
      </c>
      <c r="C7" s="10" t="s">
        <v>23</v>
      </c>
      <c r="D7" s="10" t="s">
        <v>23</v>
      </c>
      <c r="E7" s="10" t="s">
        <v>23</v>
      </c>
      <c r="F7" s="10" t="s">
        <v>23</v>
      </c>
      <c r="G7" s="10" t="s">
        <v>24</v>
      </c>
      <c r="H7" s="21" t="s">
        <v>23</v>
      </c>
      <c r="I7" s="20" t="s">
        <v>23</v>
      </c>
      <c r="J7" s="10" t="s">
        <v>23</v>
      </c>
      <c r="K7" s="10" t="s">
        <v>23</v>
      </c>
      <c r="L7" s="10" t="s">
        <v>23</v>
      </c>
      <c r="M7" s="10" t="s">
        <v>23</v>
      </c>
      <c r="N7" s="21" t="s">
        <v>23</v>
      </c>
      <c r="O7" s="20" t="s">
        <v>23</v>
      </c>
      <c r="P7" s="10" t="s">
        <v>23</v>
      </c>
      <c r="Q7" s="10" t="s">
        <v>23</v>
      </c>
      <c r="R7" s="10" t="s">
        <v>23</v>
      </c>
      <c r="S7" s="10" t="s">
        <v>23</v>
      </c>
      <c r="T7" s="40" t="s">
        <v>23</v>
      </c>
      <c r="U7" s="20" t="s">
        <v>25</v>
      </c>
      <c r="V7" s="10" t="s">
        <v>25</v>
      </c>
      <c r="W7" s="10" t="s">
        <v>23</v>
      </c>
      <c r="X7" s="10" t="s">
        <v>23</v>
      </c>
      <c r="Y7" s="10" t="s">
        <v>23</v>
      </c>
      <c r="Z7" s="10" t="s">
        <v>23</v>
      </c>
      <c r="AA7" s="21" t="s">
        <v>23</v>
      </c>
      <c r="AB7" s="22" t="s">
        <v>25</v>
      </c>
      <c r="AC7" s="305" t="s">
        <v>23</v>
      </c>
      <c r="AD7" s="22" t="s">
        <v>28</v>
      </c>
      <c r="AE7" s="22" t="s">
        <v>28</v>
      </c>
      <c r="AF7" s="22" t="s">
        <v>28</v>
      </c>
      <c r="AG7" s="22" t="s">
        <v>34</v>
      </c>
      <c r="AH7" s="22" t="s">
        <v>169</v>
      </c>
      <c r="AI7" s="22" t="s">
        <v>169</v>
      </c>
      <c r="AJ7" s="22" t="s">
        <v>169</v>
      </c>
      <c r="AK7" s="22" t="s">
        <v>169</v>
      </c>
      <c r="AL7" s="22" t="s">
        <v>169</v>
      </c>
      <c r="AM7" s="22" t="s">
        <v>169</v>
      </c>
      <c r="AN7" s="22" t="s">
        <v>169</v>
      </c>
      <c r="AO7" s="22" t="s">
        <v>169</v>
      </c>
      <c r="AP7" s="22" t="s">
        <v>169</v>
      </c>
      <c r="AQ7" s="22" t="s">
        <v>169</v>
      </c>
    </row>
    <row r="8" spans="1:47">
      <c r="A8" s="11">
        <v>41091</v>
      </c>
      <c r="B8" s="49"/>
      <c r="C8" s="50">
        <v>0</v>
      </c>
      <c r="D8" s="50">
        <v>0</v>
      </c>
      <c r="E8" s="50">
        <v>0</v>
      </c>
      <c r="F8" s="50">
        <v>0</v>
      </c>
      <c r="G8" s="50">
        <v>0</v>
      </c>
      <c r="H8" s="51">
        <v>0</v>
      </c>
      <c r="I8" s="49">
        <v>626.2344783147164</v>
      </c>
      <c r="J8" s="50">
        <v>1519.255610466</v>
      </c>
      <c r="K8" s="50">
        <v>29.606060298283822</v>
      </c>
      <c r="L8" s="50">
        <v>0</v>
      </c>
      <c r="M8" s="50">
        <v>0</v>
      </c>
      <c r="N8" s="51">
        <v>0</v>
      </c>
      <c r="O8" s="49">
        <v>0</v>
      </c>
      <c r="P8" s="50">
        <v>0</v>
      </c>
      <c r="Q8" s="50">
        <v>0</v>
      </c>
      <c r="R8" s="50">
        <v>0</v>
      </c>
      <c r="S8" s="50">
        <v>0</v>
      </c>
      <c r="T8" s="52">
        <v>0</v>
      </c>
      <c r="U8" s="53">
        <v>600.7269525951848</v>
      </c>
      <c r="V8" s="54">
        <v>0</v>
      </c>
      <c r="W8" s="54">
        <v>55.873336656888327</v>
      </c>
      <c r="X8" s="54">
        <v>0</v>
      </c>
      <c r="Y8" s="54">
        <v>546.0393025875095</v>
      </c>
      <c r="Z8" s="54">
        <v>0</v>
      </c>
      <c r="AA8" s="55">
        <v>0</v>
      </c>
      <c r="AB8" s="56">
        <v>0</v>
      </c>
      <c r="AC8" s="57">
        <v>0</v>
      </c>
      <c r="AD8" s="57">
        <v>23.948032326830749</v>
      </c>
      <c r="AE8" s="58">
        <v>23.550125854784625</v>
      </c>
      <c r="AF8" s="58">
        <v>0</v>
      </c>
      <c r="AG8" s="58">
        <v>1</v>
      </c>
      <c r="AH8" s="57">
        <v>200.07167086601257</v>
      </c>
      <c r="AI8" s="57">
        <v>1016.6256272633869</v>
      </c>
      <c r="AJ8" s="57">
        <v>1435.0929895401</v>
      </c>
      <c r="AK8" s="57">
        <v>1028.2128758748372</v>
      </c>
      <c r="AL8" s="57">
        <v>912.62745122909575</v>
      </c>
      <c r="AM8" s="57">
        <v>1707.5428172429401</v>
      </c>
      <c r="AN8" s="57">
        <v>640.96312160491925</v>
      </c>
      <c r="AO8" s="57">
        <v>2904.4697209676106</v>
      </c>
      <c r="AP8" s="57">
        <v>487.80137392679842</v>
      </c>
      <c r="AQ8" s="57">
        <v>1116.2616854349769</v>
      </c>
    </row>
    <row r="9" spans="1:47">
      <c r="A9" s="11">
        <v>41092</v>
      </c>
      <c r="B9" s="59"/>
      <c r="C9" s="60">
        <v>0</v>
      </c>
      <c r="D9" s="60">
        <v>0</v>
      </c>
      <c r="E9" s="60">
        <v>0</v>
      </c>
      <c r="F9" s="60">
        <v>0</v>
      </c>
      <c r="G9" s="60">
        <v>0</v>
      </c>
      <c r="H9" s="61">
        <v>0</v>
      </c>
      <c r="I9" s="59">
        <v>657.65487143198482</v>
      </c>
      <c r="J9" s="60">
        <v>1511.4680795987408</v>
      </c>
      <c r="K9" s="60">
        <v>29.674935805797471</v>
      </c>
      <c r="L9" s="60">
        <v>0</v>
      </c>
      <c r="M9" s="60">
        <v>0</v>
      </c>
      <c r="N9" s="61">
        <v>0</v>
      </c>
      <c r="O9" s="59">
        <v>0</v>
      </c>
      <c r="P9" s="60">
        <v>0</v>
      </c>
      <c r="Q9" s="62">
        <v>0</v>
      </c>
      <c r="R9" s="63">
        <v>0</v>
      </c>
      <c r="S9" s="60">
        <v>0</v>
      </c>
      <c r="T9" s="64">
        <v>0</v>
      </c>
      <c r="U9" s="65">
        <v>600.11967237260922</v>
      </c>
      <c r="V9" s="62">
        <v>0</v>
      </c>
      <c r="W9" s="62">
        <v>55.91159826517098</v>
      </c>
      <c r="X9" s="62">
        <v>0</v>
      </c>
      <c r="Y9" s="66">
        <v>541.05953534444257</v>
      </c>
      <c r="Z9" s="66">
        <v>0</v>
      </c>
      <c r="AA9" s="67">
        <v>0</v>
      </c>
      <c r="AB9" s="68">
        <v>0</v>
      </c>
      <c r="AC9" s="69">
        <v>0</v>
      </c>
      <c r="AD9" s="69">
        <v>23.939293599128675</v>
      </c>
      <c r="AE9" s="68">
        <v>23.534026082877453</v>
      </c>
      <c r="AF9" s="68">
        <v>0</v>
      </c>
      <c r="AG9" s="68">
        <v>1</v>
      </c>
      <c r="AH9" s="69">
        <v>197.36964195569357</v>
      </c>
      <c r="AI9" s="69">
        <v>1011.1141820907594</v>
      </c>
      <c r="AJ9" s="69">
        <v>1435.1379761377973</v>
      </c>
      <c r="AK9" s="69">
        <v>1028.7439025878907</v>
      </c>
      <c r="AL9" s="69">
        <v>904.295815181732</v>
      </c>
      <c r="AM9" s="69">
        <v>1724.6433399200439</v>
      </c>
      <c r="AN9" s="69">
        <v>628.28503891626997</v>
      </c>
      <c r="AO9" s="69">
        <v>2886.4801802317302</v>
      </c>
      <c r="AP9" s="69">
        <v>484.48848005930569</v>
      </c>
      <c r="AQ9" s="69">
        <v>1091.7960985501607</v>
      </c>
    </row>
    <row r="10" spans="1:47">
      <c r="A10" s="11">
        <v>41093</v>
      </c>
      <c r="B10" s="59"/>
      <c r="C10" s="60">
        <v>0</v>
      </c>
      <c r="D10" s="60">
        <v>0</v>
      </c>
      <c r="E10" s="60">
        <v>0</v>
      </c>
      <c r="F10" s="60">
        <v>0</v>
      </c>
      <c r="G10" s="60">
        <v>0</v>
      </c>
      <c r="H10" s="61">
        <v>0</v>
      </c>
      <c r="I10" s="59">
        <v>668.95472348531257</v>
      </c>
      <c r="J10" s="60">
        <v>1522.8589272181148</v>
      </c>
      <c r="K10" s="60">
        <v>29.679549851020063</v>
      </c>
      <c r="L10" s="60">
        <v>0</v>
      </c>
      <c r="M10" s="60">
        <v>0</v>
      </c>
      <c r="N10" s="61">
        <v>0</v>
      </c>
      <c r="O10" s="59">
        <v>0</v>
      </c>
      <c r="P10" s="60">
        <v>0</v>
      </c>
      <c r="Q10" s="60">
        <v>0</v>
      </c>
      <c r="R10" s="63">
        <v>0</v>
      </c>
      <c r="S10" s="60">
        <v>0</v>
      </c>
      <c r="T10" s="64">
        <v>0</v>
      </c>
      <c r="U10" s="65">
        <v>612.22084121704745</v>
      </c>
      <c r="V10" s="62">
        <v>0</v>
      </c>
      <c r="W10" s="62">
        <v>59.284971257050735</v>
      </c>
      <c r="X10" s="62">
        <v>0</v>
      </c>
      <c r="Y10" s="66">
        <v>562.58639965057318</v>
      </c>
      <c r="Z10" s="66">
        <v>0</v>
      </c>
      <c r="AA10" s="67">
        <v>0</v>
      </c>
      <c r="AB10" s="68">
        <v>0</v>
      </c>
      <c r="AC10" s="69">
        <v>0</v>
      </c>
      <c r="AD10" s="69">
        <v>24.402842071321292</v>
      </c>
      <c r="AE10" s="68">
        <v>23.998819552983985</v>
      </c>
      <c r="AF10" s="68">
        <v>0</v>
      </c>
      <c r="AG10" s="68">
        <v>1</v>
      </c>
      <c r="AH10" s="69">
        <v>337.40889263153076</v>
      </c>
      <c r="AI10" s="69">
        <v>1137.9577779769897</v>
      </c>
      <c r="AJ10" s="69">
        <v>1374.6474693298339</v>
      </c>
      <c r="AK10" s="69">
        <v>1020.637458674113</v>
      </c>
      <c r="AL10" s="69">
        <v>891.06044623057051</v>
      </c>
      <c r="AM10" s="69">
        <v>1769.3146062215167</v>
      </c>
      <c r="AN10" s="69">
        <v>605.63085794448841</v>
      </c>
      <c r="AO10" s="69">
        <v>2852.2737937927245</v>
      </c>
      <c r="AP10" s="69">
        <v>248.50003693898518</v>
      </c>
      <c r="AQ10" s="69">
        <v>1024.362783050537</v>
      </c>
    </row>
    <row r="11" spans="1:47">
      <c r="A11" s="11">
        <v>41094</v>
      </c>
      <c r="B11" s="59"/>
      <c r="C11" s="60">
        <v>0</v>
      </c>
      <c r="D11" s="60">
        <v>0</v>
      </c>
      <c r="E11" s="60">
        <v>0</v>
      </c>
      <c r="F11" s="60">
        <v>0</v>
      </c>
      <c r="G11" s="60">
        <v>0</v>
      </c>
      <c r="H11" s="61">
        <v>0</v>
      </c>
      <c r="I11" s="59">
        <v>682.74755964279268</v>
      </c>
      <c r="J11" s="60">
        <v>1593.1725991566998</v>
      </c>
      <c r="K11" s="60">
        <v>31.129466577370966</v>
      </c>
      <c r="L11" s="60">
        <v>0</v>
      </c>
      <c r="M11" s="60">
        <v>0</v>
      </c>
      <c r="N11" s="61">
        <v>0</v>
      </c>
      <c r="O11" s="59">
        <v>0</v>
      </c>
      <c r="P11" s="60">
        <v>0</v>
      </c>
      <c r="Q11" s="60">
        <v>0</v>
      </c>
      <c r="R11" s="63">
        <v>0</v>
      </c>
      <c r="S11" s="60">
        <v>0</v>
      </c>
      <c r="T11" s="64">
        <v>0</v>
      </c>
      <c r="U11" s="65">
        <v>630.90522569020811</v>
      </c>
      <c r="V11" s="62">
        <v>0</v>
      </c>
      <c r="W11" s="62">
        <v>56.770717203617068</v>
      </c>
      <c r="X11" s="62">
        <v>0</v>
      </c>
      <c r="Y11" s="66">
        <v>592.49616460800212</v>
      </c>
      <c r="Z11" s="66">
        <v>0</v>
      </c>
      <c r="AA11" s="67">
        <v>0</v>
      </c>
      <c r="AB11" s="68">
        <v>0</v>
      </c>
      <c r="AC11" s="69">
        <v>0</v>
      </c>
      <c r="AD11" s="69">
        <v>25.149722053607341</v>
      </c>
      <c r="AE11" s="68">
        <v>24.709148379190907</v>
      </c>
      <c r="AF11" s="68">
        <v>0</v>
      </c>
      <c r="AG11" s="68">
        <v>1</v>
      </c>
      <c r="AH11" s="69">
        <v>487.37147742907206</v>
      </c>
      <c r="AI11" s="69">
        <v>1286.0419044494631</v>
      </c>
      <c r="AJ11" s="69">
        <v>1436.9397448857628</v>
      </c>
      <c r="AK11" s="69">
        <v>1027.768203353882</v>
      </c>
      <c r="AL11" s="69">
        <v>905.34929958979296</v>
      </c>
      <c r="AM11" s="69">
        <v>1823.0271809895835</v>
      </c>
      <c r="AN11" s="69">
        <v>591.48315207163489</v>
      </c>
      <c r="AO11" s="69">
        <v>3000.910601679484</v>
      </c>
      <c r="AP11" s="69">
        <v>243.26694589058559</v>
      </c>
      <c r="AQ11" s="69">
        <v>1014.5191816965739</v>
      </c>
    </row>
    <row r="12" spans="1:47">
      <c r="A12" s="11">
        <v>41095</v>
      </c>
      <c r="B12" s="59"/>
      <c r="C12" s="60">
        <v>0</v>
      </c>
      <c r="D12" s="60">
        <v>0</v>
      </c>
      <c r="E12" s="60">
        <v>0</v>
      </c>
      <c r="F12" s="60">
        <v>0</v>
      </c>
      <c r="G12" s="60">
        <v>0</v>
      </c>
      <c r="H12" s="61">
        <v>0</v>
      </c>
      <c r="I12" s="59">
        <v>710.04580624898244</v>
      </c>
      <c r="J12" s="60">
        <v>1651.8820458730058</v>
      </c>
      <c r="K12" s="60">
        <v>32.246103282769567</v>
      </c>
      <c r="L12" s="60">
        <v>0</v>
      </c>
      <c r="M12" s="60">
        <v>0</v>
      </c>
      <c r="N12" s="61">
        <v>0</v>
      </c>
      <c r="O12" s="59">
        <v>0</v>
      </c>
      <c r="P12" s="60">
        <v>0</v>
      </c>
      <c r="Q12" s="60">
        <v>0</v>
      </c>
      <c r="R12" s="63">
        <v>0</v>
      </c>
      <c r="S12" s="60">
        <v>0</v>
      </c>
      <c r="T12" s="64">
        <v>0</v>
      </c>
      <c r="U12" s="65">
        <v>643.70477320353564</v>
      </c>
      <c r="V12" s="62">
        <v>0</v>
      </c>
      <c r="W12" s="62">
        <v>56.883485843737937</v>
      </c>
      <c r="X12" s="62">
        <v>0</v>
      </c>
      <c r="Y12" s="66">
        <v>617.94182678858272</v>
      </c>
      <c r="Z12" s="66">
        <v>0</v>
      </c>
      <c r="AA12" s="67">
        <v>0</v>
      </c>
      <c r="AB12" s="68">
        <v>0</v>
      </c>
      <c r="AC12" s="69">
        <v>0</v>
      </c>
      <c r="AD12" s="69">
        <v>25.708629101514848</v>
      </c>
      <c r="AE12" s="68">
        <v>25.253491596620389</v>
      </c>
      <c r="AF12" s="68">
        <v>0</v>
      </c>
      <c r="AG12" s="68">
        <v>1</v>
      </c>
      <c r="AH12" s="69">
        <v>242.61068312327069</v>
      </c>
      <c r="AI12" s="69">
        <v>1060.1028734842937</v>
      </c>
      <c r="AJ12" s="69">
        <v>1407.1185054779053</v>
      </c>
      <c r="AK12" s="69">
        <v>1039.1361178080242</v>
      </c>
      <c r="AL12" s="69">
        <v>915.07842810948671</v>
      </c>
      <c r="AM12" s="69">
        <v>1875.2954822540285</v>
      </c>
      <c r="AN12" s="69">
        <v>651.15157200495401</v>
      </c>
      <c r="AO12" s="69">
        <v>3159.155303955079</v>
      </c>
      <c r="AP12" s="69">
        <v>383.05241110324869</v>
      </c>
      <c r="AQ12" s="69">
        <v>1138.2936549822491</v>
      </c>
    </row>
    <row r="13" spans="1:47">
      <c r="A13" s="11">
        <v>41096</v>
      </c>
      <c r="B13" s="59"/>
      <c r="C13" s="60">
        <v>0</v>
      </c>
      <c r="D13" s="60">
        <v>0</v>
      </c>
      <c r="E13" s="60">
        <v>0</v>
      </c>
      <c r="F13" s="60">
        <v>0</v>
      </c>
      <c r="G13" s="60">
        <v>0</v>
      </c>
      <c r="H13" s="61">
        <v>0</v>
      </c>
      <c r="I13" s="59">
        <v>696.06257343292259</v>
      </c>
      <c r="J13" s="60">
        <v>1603.804116185506</v>
      </c>
      <c r="K13" s="60">
        <v>31.592022399107595</v>
      </c>
      <c r="L13" s="60">
        <v>0</v>
      </c>
      <c r="M13" s="60">
        <v>0</v>
      </c>
      <c r="N13" s="61">
        <v>0</v>
      </c>
      <c r="O13" s="59">
        <v>0</v>
      </c>
      <c r="P13" s="60">
        <v>0</v>
      </c>
      <c r="Q13" s="60">
        <v>0</v>
      </c>
      <c r="R13" s="63">
        <v>0</v>
      </c>
      <c r="S13" s="60">
        <v>0</v>
      </c>
      <c r="T13" s="64">
        <v>0</v>
      </c>
      <c r="U13" s="65">
        <v>652.72987715403838</v>
      </c>
      <c r="V13" s="62">
        <v>0</v>
      </c>
      <c r="W13" s="62">
        <v>57.452306087811721</v>
      </c>
      <c r="X13" s="62">
        <v>0</v>
      </c>
      <c r="Y13" s="66">
        <v>617.63565632502298</v>
      </c>
      <c r="Z13" s="66">
        <v>0</v>
      </c>
      <c r="AA13" s="67">
        <v>0</v>
      </c>
      <c r="AB13" s="68">
        <v>0</v>
      </c>
      <c r="AC13" s="69">
        <v>0</v>
      </c>
      <c r="AD13" s="69">
        <v>25.864638398753268</v>
      </c>
      <c r="AE13" s="68">
        <v>25.577228997017702</v>
      </c>
      <c r="AF13" s="68">
        <v>0</v>
      </c>
      <c r="AG13" s="68">
        <v>1</v>
      </c>
      <c r="AH13" s="69">
        <v>304.23085657755536</v>
      </c>
      <c r="AI13" s="69">
        <v>1097.7698282241822</v>
      </c>
      <c r="AJ13" s="69">
        <v>1350.2128875732424</v>
      </c>
      <c r="AK13" s="69">
        <v>1019.7760933558146</v>
      </c>
      <c r="AL13" s="69">
        <v>895.7210007985434</v>
      </c>
      <c r="AM13" s="69">
        <v>1837.4585575103763</v>
      </c>
      <c r="AN13" s="69">
        <v>581.07315562566123</v>
      </c>
      <c r="AO13" s="69">
        <v>3249.3107428232834</v>
      </c>
      <c r="AP13" s="69">
        <v>480.40897521972659</v>
      </c>
      <c r="AQ13" s="69">
        <v>975.17260920206706</v>
      </c>
    </row>
    <row r="14" spans="1:47">
      <c r="A14" s="11">
        <v>41097</v>
      </c>
      <c r="B14" s="59"/>
      <c r="C14" s="60">
        <v>0</v>
      </c>
      <c r="D14" s="60">
        <v>0</v>
      </c>
      <c r="E14" s="60">
        <v>0</v>
      </c>
      <c r="F14" s="60">
        <v>0</v>
      </c>
      <c r="G14" s="60">
        <v>0</v>
      </c>
      <c r="H14" s="61">
        <v>0</v>
      </c>
      <c r="I14" s="59">
        <v>530.0209160645818</v>
      </c>
      <c r="J14" s="60">
        <v>1200.6940105438218</v>
      </c>
      <c r="K14" s="60">
        <v>23.354954627156289</v>
      </c>
      <c r="L14" s="60">
        <v>0</v>
      </c>
      <c r="M14" s="60">
        <v>0</v>
      </c>
      <c r="N14" s="61">
        <v>0</v>
      </c>
      <c r="O14" s="59">
        <v>0</v>
      </c>
      <c r="P14" s="60">
        <v>0</v>
      </c>
      <c r="Q14" s="60">
        <v>0</v>
      </c>
      <c r="R14" s="63">
        <v>0</v>
      </c>
      <c r="S14" s="60">
        <v>0</v>
      </c>
      <c r="T14" s="64">
        <v>0</v>
      </c>
      <c r="U14" s="65">
        <v>485.02861785889212</v>
      </c>
      <c r="V14" s="62">
        <v>0</v>
      </c>
      <c r="W14" s="62">
        <v>44.648094899455678</v>
      </c>
      <c r="X14" s="62">
        <v>0</v>
      </c>
      <c r="Y14" s="66">
        <v>446.47663102944546</v>
      </c>
      <c r="Z14" s="66">
        <v>0</v>
      </c>
      <c r="AA14" s="67">
        <v>0</v>
      </c>
      <c r="AB14" s="68">
        <v>0</v>
      </c>
      <c r="AC14" s="69">
        <v>0</v>
      </c>
      <c r="AD14" s="69">
        <v>19.454486429691325</v>
      </c>
      <c r="AE14" s="68">
        <v>19.198378316161939</v>
      </c>
      <c r="AF14" s="68">
        <v>0</v>
      </c>
      <c r="AG14" s="68">
        <v>1</v>
      </c>
      <c r="AH14" s="69">
        <v>477.34073081811266</v>
      </c>
      <c r="AI14" s="69">
        <v>1246.8987654368084</v>
      </c>
      <c r="AJ14" s="69">
        <v>1275.8700530370077</v>
      </c>
      <c r="AK14" s="69">
        <v>928.77554155985501</v>
      </c>
      <c r="AL14" s="69">
        <v>878.94816929499325</v>
      </c>
      <c r="AM14" s="69">
        <v>1828.6847808837886</v>
      </c>
      <c r="AN14" s="69">
        <v>512.90581696828201</v>
      </c>
      <c r="AO14" s="69">
        <v>2451.7210362752276</v>
      </c>
      <c r="AP14" s="69">
        <v>359.91393795013431</v>
      </c>
      <c r="AQ14" s="69">
        <v>937.18556712468455</v>
      </c>
    </row>
    <row r="15" spans="1:47">
      <c r="A15" s="11">
        <v>41098</v>
      </c>
      <c r="B15" s="59"/>
      <c r="C15" s="60">
        <v>0</v>
      </c>
      <c r="D15" s="60">
        <v>0</v>
      </c>
      <c r="E15" s="60">
        <v>0</v>
      </c>
      <c r="F15" s="60">
        <v>0</v>
      </c>
      <c r="G15" s="60">
        <v>0</v>
      </c>
      <c r="H15" s="61">
        <v>0</v>
      </c>
      <c r="I15" s="59">
        <v>425.70568428039559</v>
      </c>
      <c r="J15" s="60">
        <v>824.88549156189151</v>
      </c>
      <c r="K15" s="60">
        <v>15.859923333922991</v>
      </c>
      <c r="L15" s="60">
        <v>0</v>
      </c>
      <c r="M15" s="60">
        <v>0</v>
      </c>
      <c r="N15" s="61">
        <v>0</v>
      </c>
      <c r="O15" s="59">
        <v>0</v>
      </c>
      <c r="P15" s="60">
        <v>0</v>
      </c>
      <c r="Q15" s="60">
        <v>0</v>
      </c>
      <c r="R15" s="63">
        <v>0</v>
      </c>
      <c r="S15" s="60">
        <v>0</v>
      </c>
      <c r="T15" s="64">
        <v>0</v>
      </c>
      <c r="U15" s="65">
        <v>337.13717938529197</v>
      </c>
      <c r="V15" s="62">
        <v>0</v>
      </c>
      <c r="W15" s="62">
        <v>30.17228400111199</v>
      </c>
      <c r="X15" s="62">
        <v>0</v>
      </c>
      <c r="Y15" s="66">
        <v>293.78799598217034</v>
      </c>
      <c r="Z15" s="66">
        <v>0</v>
      </c>
      <c r="AA15" s="67">
        <v>0</v>
      </c>
      <c r="AB15" s="68">
        <v>0</v>
      </c>
      <c r="AC15" s="69">
        <v>0</v>
      </c>
      <c r="AD15" s="69">
        <v>13.198437568876486</v>
      </c>
      <c r="AE15" s="68">
        <v>13.013546007990454</v>
      </c>
      <c r="AF15" s="68">
        <v>0</v>
      </c>
      <c r="AG15" s="68">
        <v>1</v>
      </c>
      <c r="AH15" s="69">
        <v>462.82577118873598</v>
      </c>
      <c r="AI15" s="69">
        <v>1253.1736396789552</v>
      </c>
      <c r="AJ15" s="69">
        <v>1198.0441415150963</v>
      </c>
      <c r="AK15" s="69">
        <v>890.69286746978742</v>
      </c>
      <c r="AL15" s="69">
        <v>878.82357991536458</v>
      </c>
      <c r="AM15" s="69">
        <v>1802.9585988362628</v>
      </c>
      <c r="AN15" s="69">
        <v>489.10674176216128</v>
      </c>
      <c r="AO15" s="69">
        <v>1593.8145468393961</v>
      </c>
      <c r="AP15" s="69">
        <v>307.99505453109742</v>
      </c>
      <c r="AQ15" s="69">
        <v>913.42957496643066</v>
      </c>
    </row>
    <row r="16" spans="1:47">
      <c r="A16" s="11">
        <v>41099</v>
      </c>
      <c r="B16" s="59"/>
      <c r="C16" s="60">
        <v>0</v>
      </c>
      <c r="D16" s="60">
        <v>0</v>
      </c>
      <c r="E16" s="60">
        <v>0</v>
      </c>
      <c r="F16" s="60">
        <v>0</v>
      </c>
      <c r="G16" s="60">
        <v>0</v>
      </c>
      <c r="H16" s="61">
        <v>0</v>
      </c>
      <c r="I16" s="59">
        <v>542.70104293823272</v>
      </c>
      <c r="J16" s="60">
        <v>1016.6652645746835</v>
      </c>
      <c r="K16" s="60">
        <v>19.62610393861933</v>
      </c>
      <c r="L16" s="60">
        <v>0</v>
      </c>
      <c r="M16" s="60">
        <v>0</v>
      </c>
      <c r="N16" s="61">
        <v>0</v>
      </c>
      <c r="O16" s="59">
        <v>0</v>
      </c>
      <c r="P16" s="60">
        <v>0</v>
      </c>
      <c r="Q16" s="60">
        <v>0</v>
      </c>
      <c r="R16" s="63">
        <v>0</v>
      </c>
      <c r="S16" s="60">
        <v>0</v>
      </c>
      <c r="T16" s="64">
        <v>0</v>
      </c>
      <c r="U16" s="65">
        <v>406.2592607180286</v>
      </c>
      <c r="V16" s="62">
        <v>0</v>
      </c>
      <c r="W16" s="62">
        <v>36.321899428963583</v>
      </c>
      <c r="X16" s="62">
        <v>0</v>
      </c>
      <c r="Y16" s="66">
        <v>355.16804049015099</v>
      </c>
      <c r="Z16" s="66">
        <v>0</v>
      </c>
      <c r="AA16" s="67">
        <v>0</v>
      </c>
      <c r="AB16" s="68">
        <v>0</v>
      </c>
      <c r="AC16" s="69">
        <v>0</v>
      </c>
      <c r="AD16" s="69">
        <v>15.821986463003709</v>
      </c>
      <c r="AE16" s="68">
        <v>15.610342755017765</v>
      </c>
      <c r="AF16" s="68">
        <v>0</v>
      </c>
      <c r="AG16" s="68">
        <v>1</v>
      </c>
      <c r="AH16" s="69">
        <v>217.57540099620817</v>
      </c>
      <c r="AI16" s="69">
        <v>939.76277866363534</v>
      </c>
      <c r="AJ16" s="69">
        <v>1209.4393568674723</v>
      </c>
      <c r="AK16" s="69">
        <v>912.56244815190598</v>
      </c>
      <c r="AL16" s="69">
        <v>868.07841618855787</v>
      </c>
      <c r="AM16" s="69">
        <v>1835.3065038045247</v>
      </c>
      <c r="AN16" s="69">
        <v>504.19268755912782</v>
      </c>
      <c r="AO16" s="69">
        <v>1888.5845434824628</v>
      </c>
      <c r="AP16" s="69">
        <v>317.85820921262109</v>
      </c>
      <c r="AQ16" s="69">
        <v>943.15724500020337</v>
      </c>
    </row>
    <row r="17" spans="1:43">
      <c r="A17" s="11">
        <v>41100</v>
      </c>
      <c r="B17" s="49"/>
      <c r="C17" s="50">
        <v>0</v>
      </c>
      <c r="D17" s="50">
        <v>0</v>
      </c>
      <c r="E17" s="50">
        <v>0</v>
      </c>
      <c r="F17" s="50">
        <v>0</v>
      </c>
      <c r="G17" s="50">
        <v>0</v>
      </c>
      <c r="H17" s="51">
        <v>0</v>
      </c>
      <c r="I17" s="49">
        <v>698.25277551015165</v>
      </c>
      <c r="J17" s="50">
        <v>1306.6445566813179</v>
      </c>
      <c r="K17" s="50">
        <v>25.509421508510947</v>
      </c>
      <c r="L17" s="60">
        <v>0</v>
      </c>
      <c r="M17" s="50">
        <v>0</v>
      </c>
      <c r="N17" s="51">
        <v>0</v>
      </c>
      <c r="O17" s="49">
        <v>0</v>
      </c>
      <c r="P17" s="50">
        <v>0</v>
      </c>
      <c r="Q17" s="50">
        <v>0</v>
      </c>
      <c r="R17" s="70">
        <v>0</v>
      </c>
      <c r="S17" s="50">
        <v>0</v>
      </c>
      <c r="T17" s="52">
        <v>0</v>
      </c>
      <c r="U17" s="71">
        <v>521.10790921317073</v>
      </c>
      <c r="V17" s="66">
        <v>0</v>
      </c>
      <c r="W17" s="62">
        <v>47.617538271347726</v>
      </c>
      <c r="X17" s="62">
        <v>0</v>
      </c>
      <c r="Y17" s="66">
        <v>456.74644358158116</v>
      </c>
      <c r="Z17" s="66">
        <v>0</v>
      </c>
      <c r="AA17" s="67">
        <v>0</v>
      </c>
      <c r="AB17" s="68">
        <v>0</v>
      </c>
      <c r="AC17" s="69">
        <v>0</v>
      </c>
      <c r="AD17" s="69">
        <v>20.259306505984732</v>
      </c>
      <c r="AE17" s="68">
        <v>19.957883499829588</v>
      </c>
      <c r="AF17" s="68">
        <v>0</v>
      </c>
      <c r="AG17" s="68">
        <v>1</v>
      </c>
      <c r="AH17" s="69">
        <v>199.90594723224638</v>
      </c>
      <c r="AI17" s="69">
        <v>529.61206280390411</v>
      </c>
      <c r="AJ17" s="69">
        <v>1277.2987674077353</v>
      </c>
      <c r="AK17" s="69">
        <v>935.87435534795122</v>
      </c>
      <c r="AL17" s="69">
        <v>863.70013707478836</v>
      </c>
      <c r="AM17" s="69">
        <v>1819.51499710083</v>
      </c>
      <c r="AN17" s="69">
        <v>530.26489132245399</v>
      </c>
      <c r="AO17" s="69">
        <v>2216.0963106791173</v>
      </c>
      <c r="AP17" s="69">
        <v>384.37309190432234</v>
      </c>
      <c r="AQ17" s="69">
        <v>1000.0811937967935</v>
      </c>
    </row>
    <row r="18" spans="1:43">
      <c r="A18" s="11">
        <v>41101</v>
      </c>
      <c r="B18" s="59"/>
      <c r="C18" s="60">
        <v>0</v>
      </c>
      <c r="D18" s="60">
        <v>0</v>
      </c>
      <c r="E18" s="60">
        <v>0</v>
      </c>
      <c r="F18" s="60">
        <v>0</v>
      </c>
      <c r="G18" s="60">
        <v>0</v>
      </c>
      <c r="H18" s="61">
        <v>0</v>
      </c>
      <c r="I18" s="59">
        <v>672.39216305414732</v>
      </c>
      <c r="J18" s="60">
        <v>1390.7222079594956</v>
      </c>
      <c r="K18" s="60">
        <v>27.164671794573518</v>
      </c>
      <c r="L18" s="60">
        <v>0</v>
      </c>
      <c r="M18" s="60">
        <v>0</v>
      </c>
      <c r="N18" s="61">
        <v>0</v>
      </c>
      <c r="O18" s="59">
        <v>0</v>
      </c>
      <c r="P18" s="60">
        <v>0</v>
      </c>
      <c r="Q18" s="60">
        <v>0</v>
      </c>
      <c r="R18" s="63">
        <v>0</v>
      </c>
      <c r="S18" s="60">
        <v>0</v>
      </c>
      <c r="T18" s="64">
        <v>0</v>
      </c>
      <c r="U18" s="65">
        <v>569.62701462639609</v>
      </c>
      <c r="V18" s="62">
        <v>0</v>
      </c>
      <c r="W18" s="62">
        <v>51.522168318430509</v>
      </c>
      <c r="X18" s="62">
        <v>0</v>
      </c>
      <c r="Y18" s="66">
        <v>492.12455843289672</v>
      </c>
      <c r="Z18" s="66">
        <v>0</v>
      </c>
      <c r="AA18" s="67">
        <v>0</v>
      </c>
      <c r="AB18" s="68">
        <v>0</v>
      </c>
      <c r="AC18" s="69">
        <v>0</v>
      </c>
      <c r="AD18" s="69">
        <v>22.155912592675989</v>
      </c>
      <c r="AE18" s="68">
        <v>21.781481007385686</v>
      </c>
      <c r="AF18" s="68">
        <v>0</v>
      </c>
      <c r="AG18" s="68">
        <v>1</v>
      </c>
      <c r="AH18" s="69">
        <v>302.60240070025122</v>
      </c>
      <c r="AI18" s="69">
        <v>647.96278737386069</v>
      </c>
      <c r="AJ18" s="69">
        <v>1340.6451555252077</v>
      </c>
      <c r="AK18" s="69">
        <v>962.73675568898523</v>
      </c>
      <c r="AL18" s="69">
        <v>873.32944981257094</v>
      </c>
      <c r="AM18" s="69">
        <v>1822.1024072011314</v>
      </c>
      <c r="AN18" s="69">
        <v>550.81516828536985</v>
      </c>
      <c r="AO18" s="69">
        <v>2601.0597811381022</v>
      </c>
      <c r="AP18" s="69">
        <v>414.19970130920416</v>
      </c>
      <c r="AQ18" s="69">
        <v>1071.5175300598146</v>
      </c>
    </row>
    <row r="19" spans="1:43">
      <c r="A19" s="11">
        <v>41102</v>
      </c>
      <c r="B19" s="59"/>
      <c r="C19" s="60">
        <v>0</v>
      </c>
      <c r="D19" s="60">
        <v>0</v>
      </c>
      <c r="E19" s="60">
        <v>0</v>
      </c>
      <c r="F19" s="60">
        <v>0</v>
      </c>
      <c r="G19" s="60">
        <v>0</v>
      </c>
      <c r="H19" s="61">
        <v>0</v>
      </c>
      <c r="I19" s="59">
        <v>711.56037069956574</v>
      </c>
      <c r="J19" s="60">
        <v>1497.7026112238555</v>
      </c>
      <c r="K19" s="60">
        <v>29.364763434727873</v>
      </c>
      <c r="L19" s="60">
        <v>0</v>
      </c>
      <c r="M19" s="60">
        <v>0</v>
      </c>
      <c r="N19" s="61">
        <v>0</v>
      </c>
      <c r="O19" s="59">
        <v>0</v>
      </c>
      <c r="P19" s="60">
        <v>0</v>
      </c>
      <c r="Q19" s="60">
        <v>0</v>
      </c>
      <c r="R19" s="63">
        <v>0</v>
      </c>
      <c r="S19" s="60">
        <v>0</v>
      </c>
      <c r="T19" s="64">
        <v>0</v>
      </c>
      <c r="U19" s="65">
        <v>613.41088761223784</v>
      </c>
      <c r="V19" s="62">
        <v>0</v>
      </c>
      <c r="W19" s="62">
        <v>53.878162753582082</v>
      </c>
      <c r="X19" s="62">
        <v>0</v>
      </c>
      <c r="Y19" s="66">
        <v>566.44309740066569</v>
      </c>
      <c r="Z19" s="66">
        <v>0</v>
      </c>
      <c r="AA19" s="67">
        <v>0</v>
      </c>
      <c r="AB19" s="68">
        <v>0</v>
      </c>
      <c r="AC19" s="69">
        <v>0</v>
      </c>
      <c r="AD19" s="69">
        <v>24.101655524306818</v>
      </c>
      <c r="AE19" s="68">
        <v>23.706365867379681</v>
      </c>
      <c r="AF19" s="68">
        <v>0</v>
      </c>
      <c r="AG19" s="68">
        <v>1</v>
      </c>
      <c r="AH19" s="69">
        <v>331.98047768274938</v>
      </c>
      <c r="AI19" s="69">
        <v>699.01797345479338</v>
      </c>
      <c r="AJ19" s="69">
        <v>1413.9429059982301</v>
      </c>
      <c r="AK19" s="69">
        <v>977.28501640955619</v>
      </c>
      <c r="AL19" s="69">
        <v>891.29451163609826</v>
      </c>
      <c r="AM19" s="69">
        <v>1896.5799475351969</v>
      </c>
      <c r="AN19" s="69">
        <v>590.3425374348958</v>
      </c>
      <c r="AO19" s="69">
        <v>2929.0042069753013</v>
      </c>
      <c r="AP19" s="69">
        <v>442.78485501607258</v>
      </c>
      <c r="AQ19" s="69">
        <v>1011.4607063929241</v>
      </c>
    </row>
    <row r="20" spans="1:43">
      <c r="A20" s="11">
        <v>41103</v>
      </c>
      <c r="B20" s="59"/>
      <c r="C20" s="60">
        <v>0</v>
      </c>
      <c r="D20" s="60">
        <v>0</v>
      </c>
      <c r="E20" s="60">
        <v>0</v>
      </c>
      <c r="F20" s="60">
        <v>0</v>
      </c>
      <c r="G20" s="60">
        <v>0</v>
      </c>
      <c r="H20" s="61">
        <v>0</v>
      </c>
      <c r="I20" s="59">
        <v>741.06257060369069</v>
      </c>
      <c r="J20" s="60">
        <v>1547.3250693321204</v>
      </c>
      <c r="K20" s="60">
        <v>30.644219644864414</v>
      </c>
      <c r="L20" s="60">
        <v>0</v>
      </c>
      <c r="M20" s="60">
        <v>0</v>
      </c>
      <c r="N20" s="61">
        <v>0</v>
      </c>
      <c r="O20" s="59">
        <v>0</v>
      </c>
      <c r="P20" s="60">
        <v>0</v>
      </c>
      <c r="Q20" s="60">
        <v>0</v>
      </c>
      <c r="R20" s="63">
        <v>0</v>
      </c>
      <c r="S20" s="60">
        <v>0</v>
      </c>
      <c r="T20" s="64">
        <v>0</v>
      </c>
      <c r="U20" s="65">
        <v>626.04830330742652</v>
      </c>
      <c r="V20" s="62">
        <v>0</v>
      </c>
      <c r="W20" s="62">
        <v>53.817544077833581</v>
      </c>
      <c r="X20" s="62">
        <v>0</v>
      </c>
      <c r="Y20" s="66">
        <v>598.51598957379633</v>
      </c>
      <c r="Z20" s="66">
        <v>0</v>
      </c>
      <c r="AA20" s="67">
        <v>0</v>
      </c>
      <c r="AB20" s="68">
        <v>0</v>
      </c>
      <c r="AC20" s="69">
        <v>0</v>
      </c>
      <c r="AD20" s="69">
        <v>24.736517060134126</v>
      </c>
      <c r="AE20" s="68">
        <v>24.316371392936841</v>
      </c>
      <c r="AF20" s="68">
        <v>0</v>
      </c>
      <c r="AG20" s="68">
        <v>1</v>
      </c>
      <c r="AH20" s="69">
        <v>238.16563480695092</v>
      </c>
      <c r="AI20" s="69">
        <v>583.37370128631596</v>
      </c>
      <c r="AJ20" s="69">
        <v>1457.4080519358315</v>
      </c>
      <c r="AK20" s="69">
        <v>984.82789351145414</v>
      </c>
      <c r="AL20" s="69">
        <v>905.81153736114481</v>
      </c>
      <c r="AM20" s="69">
        <v>1939.7855472564697</v>
      </c>
      <c r="AN20" s="69">
        <v>622.17372303009029</v>
      </c>
      <c r="AO20" s="69">
        <v>3093.1827485402428</v>
      </c>
      <c r="AP20" s="69">
        <v>473.84326365788775</v>
      </c>
      <c r="AQ20" s="69">
        <v>1109.9360391616819</v>
      </c>
    </row>
    <row r="21" spans="1:43">
      <c r="A21" s="11">
        <v>41104</v>
      </c>
      <c r="B21" s="59"/>
      <c r="C21" s="60">
        <v>0</v>
      </c>
      <c r="D21" s="60">
        <v>0</v>
      </c>
      <c r="E21" s="60">
        <v>0</v>
      </c>
      <c r="F21" s="60">
        <v>0</v>
      </c>
      <c r="G21" s="60">
        <v>0</v>
      </c>
      <c r="H21" s="61">
        <v>0</v>
      </c>
      <c r="I21" s="59">
        <v>760.15715373357023</v>
      </c>
      <c r="J21" s="60">
        <v>1564.46270008087</v>
      </c>
      <c r="K21" s="60">
        <v>31.052847049633602</v>
      </c>
      <c r="L21" s="60">
        <v>0</v>
      </c>
      <c r="M21" s="60">
        <v>0</v>
      </c>
      <c r="N21" s="61">
        <v>0</v>
      </c>
      <c r="O21" s="59">
        <v>0</v>
      </c>
      <c r="P21" s="60">
        <v>0</v>
      </c>
      <c r="Q21" s="60">
        <v>0</v>
      </c>
      <c r="R21" s="63">
        <v>0</v>
      </c>
      <c r="S21" s="60">
        <v>0</v>
      </c>
      <c r="T21" s="64">
        <v>0</v>
      </c>
      <c r="U21" s="65">
        <v>627.50110738542321</v>
      </c>
      <c r="V21" s="62">
        <v>0</v>
      </c>
      <c r="W21" s="62">
        <v>54.082930577794798</v>
      </c>
      <c r="X21" s="62">
        <v>0</v>
      </c>
      <c r="Y21" s="66">
        <v>613.24797268708437</v>
      </c>
      <c r="Z21" s="66">
        <v>0</v>
      </c>
      <c r="AA21" s="67">
        <v>0</v>
      </c>
      <c r="AB21" s="68">
        <v>0</v>
      </c>
      <c r="AC21" s="69">
        <v>0</v>
      </c>
      <c r="AD21" s="69">
        <v>24.859583514266507</v>
      </c>
      <c r="AE21" s="68">
        <v>24.359382655199866</v>
      </c>
      <c r="AF21" s="68">
        <v>0</v>
      </c>
      <c r="AG21" s="68">
        <v>1</v>
      </c>
      <c r="AH21" s="69">
        <v>202.6584363301595</v>
      </c>
      <c r="AI21" s="69">
        <v>549.25061604181917</v>
      </c>
      <c r="AJ21" s="69">
        <v>1449.6387650171916</v>
      </c>
      <c r="AK21" s="69">
        <v>985.12332013448088</v>
      </c>
      <c r="AL21" s="69">
        <v>907.19960327148442</v>
      </c>
      <c r="AM21" s="69">
        <v>1859.3246677398686</v>
      </c>
      <c r="AN21" s="69">
        <v>629.76550162633271</v>
      </c>
      <c r="AO21" s="69">
        <v>3209.7886880238852</v>
      </c>
      <c r="AP21" s="69">
        <v>473.40867344538361</v>
      </c>
      <c r="AQ21" s="69">
        <v>1039.0709737777711</v>
      </c>
    </row>
    <row r="22" spans="1:43">
      <c r="A22" s="11">
        <v>41105</v>
      </c>
      <c r="B22" s="59"/>
      <c r="C22" s="60">
        <v>0</v>
      </c>
      <c r="D22" s="60">
        <v>0</v>
      </c>
      <c r="E22" s="60">
        <v>0</v>
      </c>
      <c r="F22" s="60">
        <v>0</v>
      </c>
      <c r="G22" s="60">
        <v>0</v>
      </c>
      <c r="H22" s="61">
        <v>0</v>
      </c>
      <c r="I22" s="59">
        <v>722.44529705047444</v>
      </c>
      <c r="J22" s="60">
        <v>1507.4341770807903</v>
      </c>
      <c r="K22" s="60">
        <v>30.251533710956448</v>
      </c>
      <c r="L22" s="60">
        <v>0</v>
      </c>
      <c r="M22" s="60">
        <v>0</v>
      </c>
      <c r="N22" s="61">
        <v>0</v>
      </c>
      <c r="O22" s="59">
        <v>0</v>
      </c>
      <c r="P22" s="60">
        <v>0</v>
      </c>
      <c r="Q22" s="60">
        <v>0</v>
      </c>
      <c r="R22" s="63">
        <v>0</v>
      </c>
      <c r="S22" s="60">
        <v>0</v>
      </c>
      <c r="T22" s="64">
        <v>0</v>
      </c>
      <c r="U22" s="65">
        <v>620.67319615681902</v>
      </c>
      <c r="V22" s="62">
        <v>0</v>
      </c>
      <c r="W22" s="62">
        <v>53.147322555383042</v>
      </c>
      <c r="X22" s="62">
        <v>0</v>
      </c>
      <c r="Y22" s="66">
        <v>606.83505543073011</v>
      </c>
      <c r="Z22" s="66">
        <v>0</v>
      </c>
      <c r="AA22" s="67">
        <v>0</v>
      </c>
      <c r="AB22" s="68">
        <v>0</v>
      </c>
      <c r="AC22" s="69">
        <v>0</v>
      </c>
      <c r="AD22" s="69">
        <v>24.34315015342499</v>
      </c>
      <c r="AE22" s="68">
        <v>24.097163938332443</v>
      </c>
      <c r="AF22" s="68">
        <v>0</v>
      </c>
      <c r="AG22" s="68">
        <v>1</v>
      </c>
      <c r="AH22" s="69">
        <v>200.01222116152445</v>
      </c>
      <c r="AI22" s="69">
        <v>562.38529237111413</v>
      </c>
      <c r="AJ22" s="69">
        <v>1437.7413173675536</v>
      </c>
      <c r="AK22" s="69">
        <v>976.88029619852693</v>
      </c>
      <c r="AL22" s="69">
        <v>893.81031220753994</v>
      </c>
      <c r="AM22" s="69">
        <v>1852.3151804606121</v>
      </c>
      <c r="AN22" s="69">
        <v>631.46747646331778</v>
      </c>
      <c r="AO22" s="69">
        <v>2805.0400670369472</v>
      </c>
      <c r="AP22" s="69">
        <v>460.05631440480551</v>
      </c>
      <c r="AQ22" s="69">
        <v>977.18738244374583</v>
      </c>
    </row>
    <row r="23" spans="1:43">
      <c r="A23" s="11">
        <v>41106</v>
      </c>
      <c r="B23" s="59"/>
      <c r="C23" s="60">
        <v>58.501073606809072</v>
      </c>
      <c r="D23" s="60">
        <v>454.72686274250412</v>
      </c>
      <c r="E23" s="60">
        <v>9.5492643718918266</v>
      </c>
      <c r="F23" s="60">
        <v>0</v>
      </c>
      <c r="G23" s="60">
        <v>2013.6912404378245</v>
      </c>
      <c r="H23" s="61">
        <v>7.5321415623029067</v>
      </c>
      <c r="I23" s="59">
        <v>731.31677900949944</v>
      </c>
      <c r="J23" s="60">
        <v>1572.845185407004</v>
      </c>
      <c r="K23" s="60">
        <v>30.421534993251118</v>
      </c>
      <c r="L23" s="60">
        <v>0</v>
      </c>
      <c r="M23" s="60">
        <v>0</v>
      </c>
      <c r="N23" s="61">
        <v>0</v>
      </c>
      <c r="O23" s="59">
        <v>0</v>
      </c>
      <c r="P23" s="60">
        <v>0</v>
      </c>
      <c r="Q23" s="60">
        <v>0</v>
      </c>
      <c r="R23" s="63">
        <v>0</v>
      </c>
      <c r="S23" s="60">
        <v>0</v>
      </c>
      <c r="T23" s="64">
        <v>0</v>
      </c>
      <c r="U23" s="65">
        <v>621.50484462314159</v>
      </c>
      <c r="V23" s="62">
        <v>0</v>
      </c>
      <c r="W23" s="62">
        <v>53.507631468772878</v>
      </c>
      <c r="X23" s="62">
        <v>0</v>
      </c>
      <c r="Y23" s="66">
        <v>602.16827575365767</v>
      </c>
      <c r="Z23" s="66">
        <v>0</v>
      </c>
      <c r="AA23" s="67">
        <v>0</v>
      </c>
      <c r="AB23" s="68">
        <v>0</v>
      </c>
      <c r="AC23" s="69">
        <v>0</v>
      </c>
      <c r="AD23" s="69">
        <v>24.516027025381714</v>
      </c>
      <c r="AE23" s="68">
        <v>24.126391953088433</v>
      </c>
      <c r="AF23" s="68">
        <v>0</v>
      </c>
      <c r="AG23" s="68">
        <v>1</v>
      </c>
      <c r="AH23" s="69">
        <v>207.72918910980223</v>
      </c>
      <c r="AI23" s="69">
        <v>746.53637669881186</v>
      </c>
      <c r="AJ23" s="69">
        <v>2294.9148262023928</v>
      </c>
      <c r="AK23" s="69">
        <v>959.87504920959464</v>
      </c>
      <c r="AL23" s="69">
        <v>955.1508674621582</v>
      </c>
      <c r="AM23" s="69">
        <v>1896.3420848846436</v>
      </c>
      <c r="AN23" s="69">
        <v>611.81288592020667</v>
      </c>
      <c r="AO23" s="69">
        <v>3062.6188992818193</v>
      </c>
      <c r="AP23" s="69">
        <v>453.2101171811421</v>
      </c>
      <c r="AQ23" s="69">
        <v>1024.987916056315</v>
      </c>
    </row>
    <row r="24" spans="1:43">
      <c r="A24" s="11">
        <v>41107</v>
      </c>
      <c r="B24" s="59"/>
      <c r="C24" s="60">
        <v>61.006359728177571</v>
      </c>
      <c r="D24" s="60">
        <v>933.86170425415014</v>
      </c>
      <c r="E24" s="60">
        <v>12.944470800956054</v>
      </c>
      <c r="F24" s="60">
        <v>0</v>
      </c>
      <c r="G24" s="60">
        <v>4751.5321543375676</v>
      </c>
      <c r="H24" s="61">
        <v>30.216579534610176</v>
      </c>
      <c r="I24" s="59">
        <v>579.64097747802771</v>
      </c>
      <c r="J24" s="60">
        <v>1233.4237948735556</v>
      </c>
      <c r="K24" s="60">
        <v>24.458018199602829</v>
      </c>
      <c r="L24" s="60">
        <v>0</v>
      </c>
      <c r="M24" s="60">
        <v>0</v>
      </c>
      <c r="N24" s="61">
        <v>0</v>
      </c>
      <c r="O24" s="59">
        <v>0</v>
      </c>
      <c r="P24" s="60">
        <v>0</v>
      </c>
      <c r="Q24" s="60">
        <v>0</v>
      </c>
      <c r="R24" s="63">
        <v>0</v>
      </c>
      <c r="S24" s="60">
        <v>0</v>
      </c>
      <c r="T24" s="64">
        <v>0</v>
      </c>
      <c r="U24" s="65">
        <v>478.76912856457568</v>
      </c>
      <c r="V24" s="62">
        <v>10.138946323015874</v>
      </c>
      <c r="W24" s="62">
        <v>40.63940830574046</v>
      </c>
      <c r="X24" s="62">
        <v>0.86062520498426942</v>
      </c>
      <c r="Y24" s="66">
        <v>454.50418671660617</v>
      </c>
      <c r="Z24" s="66">
        <v>9.6250849893386725</v>
      </c>
      <c r="AA24" s="67">
        <v>0</v>
      </c>
      <c r="AB24" s="68">
        <v>0</v>
      </c>
      <c r="AC24" s="69">
        <v>0</v>
      </c>
      <c r="AD24" s="69">
        <v>19.436237523290828</v>
      </c>
      <c r="AE24" s="68">
        <v>18.745615579820118</v>
      </c>
      <c r="AF24" s="68">
        <v>0.39697795621350385</v>
      </c>
      <c r="AG24" s="68">
        <v>0.97926205999901517</v>
      </c>
      <c r="AH24" s="69">
        <v>209.42941985130312</v>
      </c>
      <c r="AI24" s="69">
        <v>930.3893359184267</v>
      </c>
      <c r="AJ24" s="69">
        <v>3166.5997797648106</v>
      </c>
      <c r="AK24" s="69">
        <v>924.58412446975694</v>
      </c>
      <c r="AL24" s="69">
        <v>1010.3264823277791</v>
      </c>
      <c r="AM24" s="69">
        <v>2264.1318305969244</v>
      </c>
      <c r="AN24" s="69">
        <v>598.50682989756274</v>
      </c>
      <c r="AO24" s="69">
        <v>3007.1117687225342</v>
      </c>
      <c r="AP24" s="69">
        <v>408.68092360496524</v>
      </c>
      <c r="AQ24" s="69">
        <v>970.64297771453869</v>
      </c>
    </row>
    <row r="25" spans="1:43">
      <c r="A25" s="11">
        <v>41108</v>
      </c>
      <c r="B25" s="59"/>
      <c r="C25" s="60">
        <v>61.066002047062064</v>
      </c>
      <c r="D25" s="60">
        <v>930.49935131073062</v>
      </c>
      <c r="E25" s="60">
        <v>12.976559403538706</v>
      </c>
      <c r="F25" s="60">
        <v>0</v>
      </c>
      <c r="G25" s="60">
        <v>5009.5207761128668</v>
      </c>
      <c r="H25" s="61">
        <v>30.754268439610858</v>
      </c>
      <c r="I25" s="59">
        <v>605.1820372263594</v>
      </c>
      <c r="J25" s="60">
        <v>1177.2656081517553</v>
      </c>
      <c r="K25" s="60">
        <v>22.739220038056359</v>
      </c>
      <c r="L25" s="60">
        <v>0</v>
      </c>
      <c r="M25" s="60">
        <v>0</v>
      </c>
      <c r="N25" s="61">
        <v>0</v>
      </c>
      <c r="O25" s="59">
        <v>0</v>
      </c>
      <c r="P25" s="60">
        <v>0</v>
      </c>
      <c r="Q25" s="60">
        <v>0</v>
      </c>
      <c r="R25" s="63">
        <v>0</v>
      </c>
      <c r="S25" s="60">
        <v>0</v>
      </c>
      <c r="T25" s="64">
        <v>0</v>
      </c>
      <c r="U25" s="65">
        <v>480.39377698385817</v>
      </c>
      <c r="V25" s="62">
        <v>105.31380722770881</v>
      </c>
      <c r="W25" s="62">
        <v>41.866667531988156</v>
      </c>
      <c r="X25" s="62">
        <v>9.1781749992954804</v>
      </c>
      <c r="Y25" s="66">
        <v>459.90073213131745</v>
      </c>
      <c r="Z25" s="66">
        <v>100.82124158987004</v>
      </c>
      <c r="AA25" s="67">
        <v>0</v>
      </c>
      <c r="AB25" s="68">
        <v>0</v>
      </c>
      <c r="AC25" s="69">
        <v>0</v>
      </c>
      <c r="AD25" s="69">
        <v>22.485033394893041</v>
      </c>
      <c r="AE25" s="68">
        <v>18.125428717399348</v>
      </c>
      <c r="AF25" s="68">
        <v>3.9735275461903252</v>
      </c>
      <c r="AG25" s="68">
        <v>0.82019388161163409</v>
      </c>
      <c r="AH25" s="69">
        <v>217.33526905377704</v>
      </c>
      <c r="AI25" s="69">
        <v>937.07378152211493</v>
      </c>
      <c r="AJ25" s="69">
        <v>3277.9457010904948</v>
      </c>
      <c r="AK25" s="69">
        <v>908.80638577143338</v>
      </c>
      <c r="AL25" s="69">
        <v>1001.8373042424519</v>
      </c>
      <c r="AM25" s="69">
        <v>2647.9931424458814</v>
      </c>
      <c r="AN25" s="69">
        <v>638.16718448003121</v>
      </c>
      <c r="AO25" s="69">
        <v>2705.1016045888268</v>
      </c>
      <c r="AP25" s="69">
        <v>352.39667846361806</v>
      </c>
      <c r="AQ25" s="69">
        <v>1014.4833270390831</v>
      </c>
    </row>
    <row r="26" spans="1:43">
      <c r="A26" s="11">
        <v>41109</v>
      </c>
      <c r="B26" s="59"/>
      <c r="C26" s="60">
        <v>63.193065929413052</v>
      </c>
      <c r="D26" s="60">
        <v>935.30124905904086</v>
      </c>
      <c r="E26" s="60">
        <v>13.258949414392308</v>
      </c>
      <c r="F26" s="60">
        <v>0</v>
      </c>
      <c r="G26" s="60">
        <v>4246.2141520818186</v>
      </c>
      <c r="H26" s="61">
        <v>30.528394818306055</v>
      </c>
      <c r="I26" s="59">
        <v>643.37139681180349</v>
      </c>
      <c r="J26" s="60">
        <v>1344.5656205177331</v>
      </c>
      <c r="K26" s="60">
        <v>25.842535842458403</v>
      </c>
      <c r="L26" s="60">
        <v>0</v>
      </c>
      <c r="M26" s="60">
        <v>0</v>
      </c>
      <c r="N26" s="61">
        <v>0</v>
      </c>
      <c r="O26" s="59">
        <v>0</v>
      </c>
      <c r="P26" s="60">
        <v>0</v>
      </c>
      <c r="Q26" s="60">
        <v>0</v>
      </c>
      <c r="R26" s="63">
        <v>0</v>
      </c>
      <c r="S26" s="60">
        <v>0</v>
      </c>
      <c r="T26" s="64">
        <v>0</v>
      </c>
      <c r="U26" s="65">
        <v>539.69405314377332</v>
      </c>
      <c r="V26" s="62">
        <v>104.16021086125419</v>
      </c>
      <c r="W26" s="62">
        <v>47.604488999744355</v>
      </c>
      <c r="X26" s="62">
        <v>9.1876009810964039</v>
      </c>
      <c r="Y26" s="66">
        <v>547.4116436838367</v>
      </c>
      <c r="Z26" s="66">
        <v>105.64969523357813</v>
      </c>
      <c r="AA26" s="67">
        <v>0</v>
      </c>
      <c r="AB26" s="68">
        <v>0</v>
      </c>
      <c r="AC26" s="69">
        <v>0</v>
      </c>
      <c r="AD26" s="69">
        <v>25.000332446230754</v>
      </c>
      <c r="AE26" s="68">
        <v>20.595254105314847</v>
      </c>
      <c r="AF26" s="68">
        <v>3.9748557499469555</v>
      </c>
      <c r="AG26" s="68">
        <v>0.83822393251954785</v>
      </c>
      <c r="AH26" s="69">
        <v>214.42516299883525</v>
      </c>
      <c r="AI26" s="69">
        <v>958.28580093383778</v>
      </c>
      <c r="AJ26" s="69">
        <v>3347.1373020172118</v>
      </c>
      <c r="AK26" s="69">
        <v>921.60864890416462</v>
      </c>
      <c r="AL26" s="69">
        <v>1736.2314111709595</v>
      </c>
      <c r="AM26" s="69">
        <v>2667.8792185465491</v>
      </c>
      <c r="AN26" s="69">
        <v>657.61595331827789</v>
      </c>
      <c r="AO26" s="69">
        <v>3173.0737351735434</v>
      </c>
      <c r="AP26" s="69">
        <v>374.74804786046343</v>
      </c>
      <c r="AQ26" s="69">
        <v>1097.0177829106649</v>
      </c>
    </row>
    <row r="27" spans="1:43">
      <c r="A27" s="11">
        <v>41110</v>
      </c>
      <c r="B27" s="59"/>
      <c r="C27" s="60">
        <v>77.623120653629314</v>
      </c>
      <c r="D27" s="60">
        <v>1150.4211472829174</v>
      </c>
      <c r="E27" s="60">
        <v>15.247396272917587</v>
      </c>
      <c r="F27" s="60">
        <v>0</v>
      </c>
      <c r="G27" s="60">
        <v>5125.9059433619232</v>
      </c>
      <c r="H27" s="61">
        <v>35.723087302843744</v>
      </c>
      <c r="I27" s="59">
        <v>658.55303875605227</v>
      </c>
      <c r="J27" s="60">
        <v>1346.4196594874027</v>
      </c>
      <c r="K27" s="60">
        <v>25.654679316282319</v>
      </c>
      <c r="L27" s="60">
        <v>0</v>
      </c>
      <c r="M27" s="60">
        <v>0</v>
      </c>
      <c r="N27" s="61">
        <v>0</v>
      </c>
      <c r="O27" s="59">
        <v>0</v>
      </c>
      <c r="P27" s="60">
        <v>0</v>
      </c>
      <c r="Q27" s="60">
        <v>0</v>
      </c>
      <c r="R27" s="63">
        <v>0</v>
      </c>
      <c r="S27" s="60">
        <v>0</v>
      </c>
      <c r="T27" s="64">
        <v>0</v>
      </c>
      <c r="U27" s="65">
        <v>529.76512479751625</v>
      </c>
      <c r="V27" s="62">
        <v>122.74453543586952</v>
      </c>
      <c r="W27" s="62">
        <v>46.598203012032087</v>
      </c>
      <c r="X27" s="62">
        <v>10.796623849190443</v>
      </c>
      <c r="Y27" s="62">
        <v>546.08630741625348</v>
      </c>
      <c r="Z27" s="62">
        <v>126.52609047701459</v>
      </c>
      <c r="AA27" s="72">
        <v>0</v>
      </c>
      <c r="AB27" s="69">
        <v>0</v>
      </c>
      <c r="AC27" s="69">
        <v>0</v>
      </c>
      <c r="AD27" s="69">
        <v>25.367776772711004</v>
      </c>
      <c r="AE27" s="69">
        <v>20.306560354032651</v>
      </c>
      <c r="AF27" s="69">
        <v>4.7049516857283891</v>
      </c>
      <c r="AG27" s="69">
        <v>0.8118885544285015</v>
      </c>
      <c r="AH27" s="69">
        <v>216.81423273086548</v>
      </c>
      <c r="AI27" s="69">
        <v>982.52060146331792</v>
      </c>
      <c r="AJ27" s="69">
        <v>3390.2824918111164</v>
      </c>
      <c r="AK27" s="69">
        <v>926.280443382263</v>
      </c>
      <c r="AL27" s="69">
        <v>3028.2328140258783</v>
      </c>
      <c r="AM27" s="69">
        <v>2713.6340667724608</v>
      </c>
      <c r="AN27" s="69">
        <v>665.54171838760374</v>
      </c>
      <c r="AO27" s="69">
        <v>3113.5211237589515</v>
      </c>
      <c r="AP27" s="69">
        <v>380.40313690503439</v>
      </c>
      <c r="AQ27" s="69">
        <v>1042.1400761604309</v>
      </c>
    </row>
    <row r="28" spans="1:43">
      <c r="A28" s="11">
        <v>41111</v>
      </c>
      <c r="B28" s="59"/>
      <c r="C28" s="60">
        <v>100.08194905122134</v>
      </c>
      <c r="D28" s="60">
        <v>1421.5923306147245</v>
      </c>
      <c r="E28" s="60">
        <v>18.693991112212338</v>
      </c>
      <c r="F28" s="60">
        <v>0</v>
      </c>
      <c r="G28" s="60">
        <v>6273.8652243296356</v>
      </c>
      <c r="H28" s="61">
        <v>46.072354068358813</v>
      </c>
      <c r="I28" s="59">
        <v>618.41749213536684</v>
      </c>
      <c r="J28" s="60">
        <v>1267.8376775105808</v>
      </c>
      <c r="K28" s="60">
        <v>24.709870235125326</v>
      </c>
      <c r="L28" s="60">
        <v>0</v>
      </c>
      <c r="M28" s="60">
        <v>0</v>
      </c>
      <c r="N28" s="61">
        <v>0</v>
      </c>
      <c r="O28" s="59">
        <v>0</v>
      </c>
      <c r="P28" s="60">
        <v>0</v>
      </c>
      <c r="Q28" s="60">
        <v>0</v>
      </c>
      <c r="R28" s="63">
        <v>0</v>
      </c>
      <c r="S28" s="60">
        <v>0</v>
      </c>
      <c r="T28" s="64">
        <v>0</v>
      </c>
      <c r="U28" s="65">
        <v>522.17571110341794</v>
      </c>
      <c r="V28" s="62">
        <v>156.68272658307291</v>
      </c>
      <c r="W28" s="62">
        <v>46.152134586969225</v>
      </c>
      <c r="X28" s="62">
        <v>13.84829307635705</v>
      </c>
      <c r="Y28" s="66">
        <v>527.52582377157091</v>
      </c>
      <c r="Z28" s="66">
        <v>158.28806789357066</v>
      </c>
      <c r="AA28" s="67">
        <v>0</v>
      </c>
      <c r="AB28" s="68">
        <v>0</v>
      </c>
      <c r="AC28" s="69">
        <v>0</v>
      </c>
      <c r="AD28" s="69">
        <v>26.308309474256315</v>
      </c>
      <c r="AE28" s="68">
        <v>19.99794711806592</v>
      </c>
      <c r="AF28" s="68">
        <v>6.0005335635040868</v>
      </c>
      <c r="AG28" s="68">
        <v>0.7691967604954012</v>
      </c>
      <c r="AH28" s="69">
        <v>216.0611072699229</v>
      </c>
      <c r="AI28" s="69">
        <v>983.28907559712729</v>
      </c>
      <c r="AJ28" s="69">
        <v>3419.2144252777107</v>
      </c>
      <c r="AK28" s="69">
        <v>915.94303414026888</v>
      </c>
      <c r="AL28" s="69">
        <v>3354.4836606343588</v>
      </c>
      <c r="AM28" s="69">
        <v>2740.7698275248213</v>
      </c>
      <c r="AN28" s="69">
        <v>667.42229471206656</v>
      </c>
      <c r="AO28" s="69">
        <v>3357.3669441223146</v>
      </c>
      <c r="AP28" s="69">
        <v>381.59047597249349</v>
      </c>
      <c r="AQ28" s="69">
        <v>945.80460742314665</v>
      </c>
    </row>
    <row r="29" spans="1:43">
      <c r="A29" s="11">
        <v>41112</v>
      </c>
      <c r="B29" s="59"/>
      <c r="C29" s="60">
        <v>96.224763675530866</v>
      </c>
      <c r="D29" s="60">
        <v>1410.5471751530954</v>
      </c>
      <c r="E29" s="60">
        <v>18.641125471889957</v>
      </c>
      <c r="F29" s="60">
        <v>0</v>
      </c>
      <c r="G29" s="60">
        <v>5827.9450289408342</v>
      </c>
      <c r="H29" s="61">
        <v>45.969906965891596</v>
      </c>
      <c r="I29" s="59">
        <v>589.7235642115287</v>
      </c>
      <c r="J29" s="60">
        <v>1169.2982997258498</v>
      </c>
      <c r="K29" s="60">
        <v>22.678167337179158</v>
      </c>
      <c r="L29" s="60">
        <v>0</v>
      </c>
      <c r="M29" s="60">
        <v>0</v>
      </c>
      <c r="N29" s="61">
        <v>0</v>
      </c>
      <c r="O29" s="59">
        <v>0</v>
      </c>
      <c r="P29" s="60">
        <v>0</v>
      </c>
      <c r="Q29" s="60">
        <v>0</v>
      </c>
      <c r="R29" s="63">
        <v>0</v>
      </c>
      <c r="S29" s="60">
        <v>0</v>
      </c>
      <c r="T29" s="64">
        <v>0</v>
      </c>
      <c r="U29" s="65">
        <v>464.4427772309682</v>
      </c>
      <c r="V29" s="62">
        <v>150.13947211374867</v>
      </c>
      <c r="W29" s="62">
        <v>40.490036255630208</v>
      </c>
      <c r="X29" s="62">
        <v>13.089131680615395</v>
      </c>
      <c r="Y29" s="66">
        <v>451.57546751966788</v>
      </c>
      <c r="Z29" s="66">
        <v>145.97988307008484</v>
      </c>
      <c r="AA29" s="67">
        <v>0</v>
      </c>
      <c r="AB29" s="68">
        <v>0</v>
      </c>
      <c r="AC29" s="69">
        <v>0</v>
      </c>
      <c r="AD29" s="69">
        <v>24.014112689760019</v>
      </c>
      <c r="AE29" s="68">
        <v>17.934006618597373</v>
      </c>
      <c r="AF29" s="68">
        <v>5.7974898493504803</v>
      </c>
      <c r="AG29" s="68">
        <v>0.75570483483076323</v>
      </c>
      <c r="AH29" s="69">
        <v>218.18438293139138</v>
      </c>
      <c r="AI29" s="69">
        <v>970.25486443837485</v>
      </c>
      <c r="AJ29" s="69">
        <v>3399.6117052714026</v>
      </c>
      <c r="AK29" s="69">
        <v>910.43073616027834</v>
      </c>
      <c r="AL29" s="69">
        <v>3445.3151775360111</v>
      </c>
      <c r="AM29" s="69">
        <v>2748.4965302785236</v>
      </c>
      <c r="AN29" s="69">
        <v>672.02072575887041</v>
      </c>
      <c r="AO29" s="69">
        <v>2916.5103480021157</v>
      </c>
      <c r="AP29" s="69">
        <v>384.78697714805605</v>
      </c>
      <c r="AQ29" s="69">
        <v>961.80664898554471</v>
      </c>
    </row>
    <row r="30" spans="1:43">
      <c r="A30" s="11">
        <v>41113</v>
      </c>
      <c r="B30" s="59"/>
      <c r="C30" s="60">
        <v>112.93705375194563</v>
      </c>
      <c r="D30" s="60">
        <v>1663.4305248260512</v>
      </c>
      <c r="E30" s="60">
        <v>22.175531710684304</v>
      </c>
      <c r="F30" s="60">
        <v>0</v>
      </c>
      <c r="G30" s="60">
        <v>7124.3635827382432</v>
      </c>
      <c r="H30" s="61">
        <v>53.580794143676727</v>
      </c>
      <c r="I30" s="59">
        <v>594.46136500040552</v>
      </c>
      <c r="J30" s="60">
        <v>1141.9729371388748</v>
      </c>
      <c r="K30" s="60">
        <v>22.060240917404474</v>
      </c>
      <c r="L30" s="60">
        <v>0</v>
      </c>
      <c r="M30" s="60">
        <v>0</v>
      </c>
      <c r="N30" s="61">
        <v>0</v>
      </c>
      <c r="O30" s="59">
        <v>0</v>
      </c>
      <c r="P30" s="60">
        <v>0</v>
      </c>
      <c r="Q30" s="60">
        <v>0</v>
      </c>
      <c r="R30" s="63">
        <v>0</v>
      </c>
      <c r="S30" s="60">
        <v>0</v>
      </c>
      <c r="T30" s="64">
        <v>0</v>
      </c>
      <c r="U30" s="65">
        <v>474.54059895808058</v>
      </c>
      <c r="V30" s="62">
        <v>184.77625827390867</v>
      </c>
      <c r="W30" s="62">
        <v>40.452278474083663</v>
      </c>
      <c r="X30" s="62">
        <v>15.751277491339877</v>
      </c>
      <c r="Y30" s="66">
        <v>439.97124958317653</v>
      </c>
      <c r="Z30" s="66">
        <v>171.31567125041036</v>
      </c>
      <c r="AA30" s="67">
        <v>0</v>
      </c>
      <c r="AB30" s="68">
        <v>0</v>
      </c>
      <c r="AC30" s="69">
        <v>0</v>
      </c>
      <c r="AD30" s="69">
        <v>25.122501385874244</v>
      </c>
      <c r="AE30" s="68">
        <v>17.887198083345144</v>
      </c>
      <c r="AF30" s="68">
        <v>6.9649036143622185</v>
      </c>
      <c r="AG30" s="68">
        <v>0.71974589114912813</v>
      </c>
      <c r="AH30" s="69">
        <v>217.04275120099388</v>
      </c>
      <c r="AI30" s="69">
        <v>966.69555066426597</v>
      </c>
      <c r="AJ30" s="69">
        <v>3445.2443190256754</v>
      </c>
      <c r="AK30" s="69">
        <v>907.62116610209159</v>
      </c>
      <c r="AL30" s="69">
        <v>4203.4764742533371</v>
      </c>
      <c r="AM30" s="69">
        <v>2829.0607935587564</v>
      </c>
      <c r="AN30" s="69">
        <v>679.18179852167782</v>
      </c>
      <c r="AO30" s="69">
        <v>3060.1382714589436</v>
      </c>
      <c r="AP30" s="69">
        <v>396.97249217033385</v>
      </c>
      <c r="AQ30" s="69">
        <v>1054.0287112553915</v>
      </c>
    </row>
    <row r="31" spans="1:43">
      <c r="A31" s="11">
        <v>41114</v>
      </c>
      <c r="B31" s="59"/>
      <c r="C31" s="60">
        <v>127.54100565115614</v>
      </c>
      <c r="D31" s="60">
        <v>1903.531189219153</v>
      </c>
      <c r="E31" s="60">
        <v>24.521069384614592</v>
      </c>
      <c r="F31" s="60">
        <v>0</v>
      </c>
      <c r="G31" s="60">
        <v>9075.885255940766</v>
      </c>
      <c r="H31" s="61">
        <v>61.296821518739037</v>
      </c>
      <c r="I31" s="59">
        <v>569.53990119298226</v>
      </c>
      <c r="J31" s="60">
        <v>1157.677380116781</v>
      </c>
      <c r="K31" s="60">
        <v>22.292177736759204</v>
      </c>
      <c r="L31" s="60">
        <v>0</v>
      </c>
      <c r="M31" s="60">
        <v>0</v>
      </c>
      <c r="N31" s="61">
        <v>0</v>
      </c>
      <c r="O31" s="59">
        <v>0</v>
      </c>
      <c r="P31" s="60">
        <v>0</v>
      </c>
      <c r="Q31" s="60">
        <v>0</v>
      </c>
      <c r="R31" s="63">
        <v>0</v>
      </c>
      <c r="S31" s="60">
        <v>0</v>
      </c>
      <c r="T31" s="64">
        <v>0</v>
      </c>
      <c r="U31" s="65">
        <v>469.27280215536041</v>
      </c>
      <c r="V31" s="62">
        <v>207.67738109846164</v>
      </c>
      <c r="W31" s="62">
        <v>40.604210925462354</v>
      </c>
      <c r="X31" s="62">
        <v>17.969454329845913</v>
      </c>
      <c r="Y31" s="66">
        <v>435.22294068380057</v>
      </c>
      <c r="Z31" s="66">
        <v>192.60856393134642</v>
      </c>
      <c r="AA31" s="67">
        <v>0</v>
      </c>
      <c r="AB31" s="68">
        <v>0</v>
      </c>
      <c r="AC31" s="69">
        <v>0</v>
      </c>
      <c r="AD31" s="69">
        <v>25.497390347719204</v>
      </c>
      <c r="AE31" s="68">
        <v>17.411620204243121</v>
      </c>
      <c r="AF31" s="68">
        <v>7.7055385867027901</v>
      </c>
      <c r="AG31" s="68">
        <v>0.69321615351333299</v>
      </c>
      <c r="AH31" s="69">
        <v>215.90611267089844</v>
      </c>
      <c r="AI31" s="69">
        <v>922.68066482543964</v>
      </c>
      <c r="AJ31" s="69">
        <v>3509.8238939921066</v>
      </c>
      <c r="AK31" s="69">
        <v>907.83030554453546</v>
      </c>
      <c r="AL31" s="69">
        <v>5324.3031199137376</v>
      </c>
      <c r="AM31" s="69">
        <v>2887.7707239786787</v>
      </c>
      <c r="AN31" s="69">
        <v>660.32682911554957</v>
      </c>
      <c r="AO31" s="69">
        <v>3260.1087056477863</v>
      </c>
      <c r="AP31" s="69">
        <v>402.62521721522018</v>
      </c>
      <c r="AQ31" s="69">
        <v>1079.3331151962279</v>
      </c>
    </row>
    <row r="32" spans="1:43">
      <c r="A32" s="11">
        <v>41115</v>
      </c>
      <c r="B32" s="59"/>
      <c r="C32" s="60">
        <v>126.55648503303543</v>
      </c>
      <c r="D32" s="60">
        <v>1911.2992787679018</v>
      </c>
      <c r="E32" s="60">
        <v>24.620033622284708</v>
      </c>
      <c r="F32" s="60">
        <v>0</v>
      </c>
      <c r="G32" s="60">
        <v>9489.178350830105</v>
      </c>
      <c r="H32" s="61">
        <v>57.459729420145301</v>
      </c>
      <c r="I32" s="59">
        <v>551.47213147481136</v>
      </c>
      <c r="J32" s="60">
        <v>1126.9452817916867</v>
      </c>
      <c r="K32" s="60">
        <v>22.001759936412199</v>
      </c>
      <c r="L32" s="60">
        <v>0</v>
      </c>
      <c r="M32" s="60">
        <v>0</v>
      </c>
      <c r="N32" s="61">
        <v>0</v>
      </c>
      <c r="O32" s="59">
        <v>0</v>
      </c>
      <c r="P32" s="60">
        <v>0</v>
      </c>
      <c r="Q32" s="60">
        <v>0</v>
      </c>
      <c r="R32" s="63">
        <v>0</v>
      </c>
      <c r="S32" s="60">
        <v>0</v>
      </c>
      <c r="T32" s="64">
        <v>0</v>
      </c>
      <c r="U32" s="65">
        <v>466.40110754960313</v>
      </c>
      <c r="V32" s="62">
        <v>214.20632002624981</v>
      </c>
      <c r="W32" s="62">
        <v>42.129878616298015</v>
      </c>
      <c r="X32" s="62">
        <v>19.349195607538327</v>
      </c>
      <c r="Y32" s="66">
        <v>446.88242653691407</v>
      </c>
      <c r="Z32" s="66">
        <v>205.24187983986005</v>
      </c>
      <c r="AA32" s="67">
        <v>0</v>
      </c>
      <c r="AB32" s="68">
        <v>0</v>
      </c>
      <c r="AC32" s="69">
        <v>0</v>
      </c>
      <c r="AD32" s="69">
        <v>25.699131003353337</v>
      </c>
      <c r="AE32" s="68">
        <v>17.310983891569776</v>
      </c>
      <c r="AF32" s="68">
        <v>7.9505003213408552</v>
      </c>
      <c r="AG32" s="68">
        <v>0.68527184490301973</v>
      </c>
      <c r="AH32" s="69">
        <v>215.03591310183208</v>
      </c>
      <c r="AI32" s="69">
        <v>880.42296056747443</v>
      </c>
      <c r="AJ32" s="69">
        <v>3483.4379231770845</v>
      </c>
      <c r="AK32" s="69">
        <v>899.1181872685753</v>
      </c>
      <c r="AL32" s="69">
        <v>5085.3801915486656</v>
      </c>
      <c r="AM32" s="69">
        <v>2852.9227218627925</v>
      </c>
      <c r="AN32" s="69">
        <v>610.99186293284095</v>
      </c>
      <c r="AO32" s="69">
        <v>3296.1163742065432</v>
      </c>
      <c r="AP32" s="69">
        <v>398.82905233701069</v>
      </c>
      <c r="AQ32" s="69">
        <v>986.54907007217412</v>
      </c>
    </row>
    <row r="33" spans="1:43">
      <c r="A33" s="11">
        <v>41116</v>
      </c>
      <c r="B33" s="59"/>
      <c r="C33" s="60">
        <v>124.57574003537499</v>
      </c>
      <c r="D33" s="60">
        <v>1887.7708292643222</v>
      </c>
      <c r="E33" s="60">
        <v>24.504681960741621</v>
      </c>
      <c r="F33" s="60">
        <v>0</v>
      </c>
      <c r="G33" s="60">
        <v>9457.5554672240942</v>
      </c>
      <c r="H33" s="61">
        <v>60.583257377147575</v>
      </c>
      <c r="I33" s="59">
        <v>485.18768335978132</v>
      </c>
      <c r="J33" s="60">
        <v>1018.894175910949</v>
      </c>
      <c r="K33" s="60">
        <v>19.686766102909999</v>
      </c>
      <c r="L33" s="60">
        <v>0</v>
      </c>
      <c r="M33" s="60">
        <v>0</v>
      </c>
      <c r="N33" s="61">
        <v>0</v>
      </c>
      <c r="O33" s="59">
        <v>0</v>
      </c>
      <c r="P33" s="60">
        <v>0</v>
      </c>
      <c r="Q33" s="60">
        <v>0</v>
      </c>
      <c r="R33" s="63">
        <v>0</v>
      </c>
      <c r="S33" s="60">
        <v>0</v>
      </c>
      <c r="T33" s="64">
        <v>0</v>
      </c>
      <c r="U33" s="65">
        <v>420.461721148241</v>
      </c>
      <c r="V33" s="62">
        <v>205.12047241712816</v>
      </c>
      <c r="W33" s="62">
        <v>38.103704041208566</v>
      </c>
      <c r="X33" s="62">
        <v>18.588730865751092</v>
      </c>
      <c r="Y33" s="66">
        <v>397.566365964939</v>
      </c>
      <c r="Z33" s="66">
        <v>193.95107022153306</v>
      </c>
      <c r="AA33" s="67">
        <v>0</v>
      </c>
      <c r="AB33" s="68">
        <v>0</v>
      </c>
      <c r="AC33" s="69">
        <v>0</v>
      </c>
      <c r="AD33" s="69">
        <v>23.935266791449635</v>
      </c>
      <c r="AE33" s="68">
        <v>15.794973062940334</v>
      </c>
      <c r="AF33" s="68">
        <v>7.7055108075911205</v>
      </c>
      <c r="AG33" s="68">
        <v>0.67211267435844235</v>
      </c>
      <c r="AH33" s="69">
        <v>220.88193138440448</v>
      </c>
      <c r="AI33" s="69">
        <v>898.57468992869065</v>
      </c>
      <c r="AJ33" s="69">
        <v>3511.1852879842122</v>
      </c>
      <c r="AK33" s="69">
        <v>907.60389210383096</v>
      </c>
      <c r="AL33" s="69">
        <v>4536.5141054789219</v>
      </c>
      <c r="AM33" s="69">
        <v>2753.6868211110432</v>
      </c>
      <c r="AN33" s="69">
        <v>516.2389025052388</v>
      </c>
      <c r="AO33" s="69">
        <v>2947.2999870300291</v>
      </c>
      <c r="AP33" s="69">
        <v>382.87576308250425</v>
      </c>
      <c r="AQ33" s="69">
        <v>1045.0791432698568</v>
      </c>
    </row>
    <row r="34" spans="1:43">
      <c r="A34" s="11">
        <v>41117</v>
      </c>
      <c r="B34" s="59"/>
      <c r="C34" s="60">
        <v>130.92454861799857</v>
      </c>
      <c r="D34" s="60">
        <v>1981.989429982506</v>
      </c>
      <c r="E34" s="60">
        <v>24.53424360305069</v>
      </c>
      <c r="F34" s="60">
        <v>0</v>
      </c>
      <c r="G34" s="60">
        <v>9652.279752222692</v>
      </c>
      <c r="H34" s="61">
        <v>48.627579959233451</v>
      </c>
      <c r="I34" s="59">
        <v>498.59538749058942</v>
      </c>
      <c r="J34" s="60">
        <v>1018.6039875030506</v>
      </c>
      <c r="K34" s="60">
        <v>19.796649065613728</v>
      </c>
      <c r="L34" s="60">
        <v>0</v>
      </c>
      <c r="M34" s="60">
        <v>0</v>
      </c>
      <c r="N34" s="61">
        <v>0</v>
      </c>
      <c r="O34" s="59">
        <v>0</v>
      </c>
      <c r="P34" s="60">
        <v>0</v>
      </c>
      <c r="Q34" s="60">
        <v>0</v>
      </c>
      <c r="R34" s="63">
        <v>0</v>
      </c>
      <c r="S34" s="60">
        <v>0</v>
      </c>
      <c r="T34" s="64">
        <v>0</v>
      </c>
      <c r="U34" s="65">
        <v>424.24407974309838</v>
      </c>
      <c r="V34" s="62">
        <v>211.13110058611699</v>
      </c>
      <c r="W34" s="62">
        <v>39.446433049526327</v>
      </c>
      <c r="X34" s="62">
        <v>19.631078479601481</v>
      </c>
      <c r="Y34" s="66">
        <v>400.2719628067527</v>
      </c>
      <c r="Z34" s="66">
        <v>199.20103562159323</v>
      </c>
      <c r="AA34" s="67">
        <v>0</v>
      </c>
      <c r="AB34" s="68">
        <v>0</v>
      </c>
      <c r="AC34" s="69">
        <v>0</v>
      </c>
      <c r="AD34" s="69">
        <v>24.443899057971066</v>
      </c>
      <c r="AE34" s="68">
        <v>15.997278417473662</v>
      </c>
      <c r="AF34" s="68">
        <v>7.9612731442452036</v>
      </c>
      <c r="AG34" s="68">
        <v>0.66770640855577512</v>
      </c>
      <c r="AH34" s="69">
        <v>313.54613615671792</v>
      </c>
      <c r="AI34" s="69">
        <v>866.68339974085461</v>
      </c>
      <c r="AJ34" s="69">
        <v>3288.2675949096683</v>
      </c>
      <c r="AK34" s="69">
        <v>914.99044402440381</v>
      </c>
      <c r="AL34" s="69">
        <v>4411.6525838216148</v>
      </c>
      <c r="AM34" s="69">
        <v>2605.6195693969721</v>
      </c>
      <c r="AN34" s="69">
        <v>657.57968982060754</v>
      </c>
      <c r="AO34" s="69">
        <v>2930.5578742980956</v>
      </c>
      <c r="AP34" s="69">
        <v>397.9324493090312</v>
      </c>
      <c r="AQ34" s="69">
        <v>1023.1951175053914</v>
      </c>
    </row>
    <row r="35" spans="1:43">
      <c r="A35" s="11">
        <v>41118</v>
      </c>
      <c r="B35" s="59"/>
      <c r="C35" s="60">
        <v>211.59625332355296</v>
      </c>
      <c r="D35" s="60">
        <v>2081.9844875335693</v>
      </c>
      <c r="E35" s="60">
        <v>26.227876190841229</v>
      </c>
      <c r="F35" s="60">
        <v>0</v>
      </c>
      <c r="G35" s="60">
        <v>9974.4649518330862</v>
      </c>
      <c r="H35" s="61">
        <v>38.704458632071706</v>
      </c>
      <c r="I35" s="59">
        <v>519.58293355305955</v>
      </c>
      <c r="J35" s="60">
        <v>1018.1032726923623</v>
      </c>
      <c r="K35" s="60">
        <v>19.817525636156375</v>
      </c>
      <c r="L35" s="60">
        <v>0</v>
      </c>
      <c r="M35" s="60">
        <v>0</v>
      </c>
      <c r="N35" s="61">
        <v>0</v>
      </c>
      <c r="O35" s="59">
        <v>0</v>
      </c>
      <c r="P35" s="60">
        <v>0</v>
      </c>
      <c r="Q35" s="60">
        <v>0</v>
      </c>
      <c r="R35" s="63">
        <v>0</v>
      </c>
      <c r="S35" s="60">
        <v>0</v>
      </c>
      <c r="T35" s="64">
        <v>0</v>
      </c>
      <c r="U35" s="65">
        <v>429.35594303413558</v>
      </c>
      <c r="V35" s="62">
        <v>201.62234457793764</v>
      </c>
      <c r="W35" s="62">
        <v>38.127080823770932</v>
      </c>
      <c r="X35" s="62">
        <v>17.904192435948303</v>
      </c>
      <c r="Y35" s="66">
        <v>414.7901515218357</v>
      </c>
      <c r="Z35" s="66">
        <v>194.78235765568877</v>
      </c>
      <c r="AA35" s="67">
        <v>0</v>
      </c>
      <c r="AB35" s="68">
        <v>0</v>
      </c>
      <c r="AC35" s="69">
        <v>0</v>
      </c>
      <c r="AD35" s="69">
        <v>23.56950317753687</v>
      </c>
      <c r="AE35" s="68">
        <v>15.765296945630471</v>
      </c>
      <c r="AF35" s="68">
        <v>7.403265716279372</v>
      </c>
      <c r="AG35" s="68">
        <v>0.68046072497839183</v>
      </c>
      <c r="AH35" s="69">
        <v>408.49849538803102</v>
      </c>
      <c r="AI35" s="69">
        <v>755.47866306304923</v>
      </c>
      <c r="AJ35" s="69">
        <v>3347.1682888031009</v>
      </c>
      <c r="AK35" s="69">
        <v>917.55047725041698</v>
      </c>
      <c r="AL35" s="69">
        <v>4117.6507698059077</v>
      </c>
      <c r="AM35" s="69">
        <v>2602.0775220235187</v>
      </c>
      <c r="AN35" s="69">
        <v>634.32350546518944</v>
      </c>
      <c r="AO35" s="69">
        <v>2936.8435587565095</v>
      </c>
      <c r="AP35" s="69">
        <v>380.52518218358352</v>
      </c>
      <c r="AQ35" s="69">
        <v>938.28102121353163</v>
      </c>
    </row>
    <row r="36" spans="1:43">
      <c r="A36" s="11">
        <v>41119</v>
      </c>
      <c r="B36" s="59"/>
      <c r="C36" s="60">
        <v>213.43017346064082</v>
      </c>
      <c r="D36" s="60">
        <v>2122.6103443145726</v>
      </c>
      <c r="E36" s="60">
        <v>26.492662333448777</v>
      </c>
      <c r="F36" s="60">
        <v>0</v>
      </c>
      <c r="G36" s="60">
        <v>9384.0748095194213</v>
      </c>
      <c r="H36" s="61">
        <v>40.000566891829259</v>
      </c>
      <c r="I36" s="59">
        <v>549.70347275733968</v>
      </c>
      <c r="J36" s="60">
        <v>1015.3928792317706</v>
      </c>
      <c r="K36" s="60">
        <v>19.739452286561296</v>
      </c>
      <c r="L36" s="60">
        <v>0</v>
      </c>
      <c r="M36" s="60">
        <v>0</v>
      </c>
      <c r="N36" s="61">
        <v>0</v>
      </c>
      <c r="O36" s="59">
        <v>0</v>
      </c>
      <c r="P36" s="60">
        <v>0</v>
      </c>
      <c r="Q36" s="60">
        <v>0</v>
      </c>
      <c r="R36" s="63">
        <v>0</v>
      </c>
      <c r="S36" s="60">
        <v>0</v>
      </c>
      <c r="T36" s="64">
        <v>0</v>
      </c>
      <c r="U36" s="65">
        <v>419.34279922829336</v>
      </c>
      <c r="V36" s="62">
        <v>215.23559557676893</v>
      </c>
      <c r="W36" s="62">
        <v>37.56230809971985</v>
      </c>
      <c r="X36" s="62">
        <v>19.279562615500872</v>
      </c>
      <c r="Y36" s="66">
        <v>466.17573632990167</v>
      </c>
      <c r="Z36" s="66">
        <v>239.27348326251007</v>
      </c>
      <c r="AA36" s="67">
        <v>0</v>
      </c>
      <c r="AB36" s="68">
        <v>0</v>
      </c>
      <c r="AC36" s="69">
        <v>0</v>
      </c>
      <c r="AD36" s="69">
        <v>23.820750992165625</v>
      </c>
      <c r="AE36" s="68">
        <v>15.483663379526703</v>
      </c>
      <c r="AF36" s="68">
        <v>7.9472820693132373</v>
      </c>
      <c r="AG36" s="68">
        <v>0.66082110998612287</v>
      </c>
      <c r="AH36" s="69">
        <v>407.06001461346949</v>
      </c>
      <c r="AI36" s="69">
        <v>765.2149837176006</v>
      </c>
      <c r="AJ36" s="69">
        <v>3440.6563837687177</v>
      </c>
      <c r="AK36" s="69">
        <v>922.47967770894365</v>
      </c>
      <c r="AL36" s="69">
        <v>4047.3737602233891</v>
      </c>
      <c r="AM36" s="69">
        <v>2607.8035144805913</v>
      </c>
      <c r="AN36" s="69">
        <v>653.22409763336179</v>
      </c>
      <c r="AO36" s="69">
        <v>2751.363676071167</v>
      </c>
      <c r="AP36" s="69">
        <v>388.43829210599267</v>
      </c>
      <c r="AQ36" s="69">
        <v>938.94448372522982</v>
      </c>
    </row>
    <row r="37" spans="1:43">
      <c r="A37" s="11">
        <v>41120</v>
      </c>
      <c r="B37" s="59"/>
      <c r="C37" s="60">
        <v>141.90588430166261</v>
      </c>
      <c r="D37" s="60">
        <v>1879.7967587927981</v>
      </c>
      <c r="E37" s="60">
        <v>22.674912541111375</v>
      </c>
      <c r="F37" s="60">
        <v>0</v>
      </c>
      <c r="G37" s="60">
        <v>7227.958465576171</v>
      </c>
      <c r="H37" s="61">
        <v>27.834838522473973</v>
      </c>
      <c r="I37" s="59">
        <v>533.5681049664804</v>
      </c>
      <c r="J37" s="60">
        <v>1009.0325094858787</v>
      </c>
      <c r="K37" s="60">
        <v>19.453691375255552</v>
      </c>
      <c r="L37" s="60">
        <v>0</v>
      </c>
      <c r="M37" s="60">
        <v>0</v>
      </c>
      <c r="N37" s="61">
        <v>0</v>
      </c>
      <c r="O37" s="59">
        <v>0</v>
      </c>
      <c r="P37" s="60">
        <v>0</v>
      </c>
      <c r="Q37" s="60">
        <v>0</v>
      </c>
      <c r="R37" s="63">
        <v>0</v>
      </c>
      <c r="S37" s="60">
        <v>0</v>
      </c>
      <c r="T37" s="64">
        <v>0</v>
      </c>
      <c r="U37" s="65">
        <v>430.22949794713475</v>
      </c>
      <c r="V37" s="62">
        <v>115.36599787026101</v>
      </c>
      <c r="W37" s="62">
        <v>37.793941994999074</v>
      </c>
      <c r="X37" s="62">
        <v>10.13444185605235</v>
      </c>
      <c r="Y37" s="66">
        <v>426.07324347202604</v>
      </c>
      <c r="Z37" s="66">
        <v>114.25149863854499</v>
      </c>
      <c r="AA37" s="67">
        <v>0</v>
      </c>
      <c r="AB37" s="68">
        <v>0</v>
      </c>
      <c r="AC37" s="69">
        <v>0</v>
      </c>
      <c r="AD37" s="69">
        <v>20.566820184389702</v>
      </c>
      <c r="AE37" s="68">
        <v>16.001471318449809</v>
      </c>
      <c r="AF37" s="68">
        <v>4.2907929717830662</v>
      </c>
      <c r="AG37" s="68">
        <v>0.78855031107354923</v>
      </c>
      <c r="AH37" s="69">
        <v>409.71495237350467</v>
      </c>
      <c r="AI37" s="69">
        <v>1025.9632668813072</v>
      </c>
      <c r="AJ37" s="69">
        <v>3181.0429480234784</v>
      </c>
      <c r="AK37" s="69">
        <v>917.01963691711433</v>
      </c>
      <c r="AL37" s="69">
        <v>2946.9964333216349</v>
      </c>
      <c r="AM37" s="69">
        <v>2521.0693014780686</v>
      </c>
      <c r="AN37" s="69">
        <v>642.59742177327485</v>
      </c>
      <c r="AO37" s="69">
        <v>2508.988159306844</v>
      </c>
      <c r="AP37" s="69">
        <v>304.48793318668993</v>
      </c>
      <c r="AQ37" s="69">
        <v>954.3796763420105</v>
      </c>
    </row>
    <row r="38" spans="1:43" ht="15.75" thickBot="1">
      <c r="A38" s="11"/>
      <c r="B38" s="73"/>
      <c r="C38" s="74"/>
      <c r="D38" s="74"/>
      <c r="E38" s="74"/>
      <c r="F38" s="74"/>
      <c r="G38" s="74"/>
      <c r="H38" s="75"/>
      <c r="I38" s="76"/>
      <c r="J38" s="74"/>
      <c r="K38" s="74"/>
      <c r="L38" s="74"/>
      <c r="M38" s="74"/>
      <c r="N38" s="75"/>
      <c r="O38" s="76"/>
      <c r="P38" s="74"/>
      <c r="Q38" s="74"/>
      <c r="R38" s="77"/>
      <c r="S38" s="74"/>
      <c r="T38" s="78"/>
      <c r="U38" s="79"/>
      <c r="V38" s="80"/>
      <c r="W38" s="81"/>
      <c r="X38" s="81"/>
      <c r="Y38" s="80"/>
      <c r="Z38" s="80"/>
      <c r="AA38" s="82"/>
      <c r="AB38" s="83"/>
      <c r="AC38" s="84"/>
      <c r="AD38" s="85"/>
      <c r="AE38" s="83"/>
      <c r="AF38" s="83"/>
      <c r="AG38" s="83"/>
      <c r="AH38" s="84"/>
      <c r="AI38" s="84"/>
      <c r="AJ38" s="84"/>
      <c r="AK38" s="84"/>
      <c r="AL38" s="84"/>
      <c r="AM38" s="84"/>
      <c r="AN38" s="84"/>
      <c r="AO38" s="84"/>
      <c r="AP38" s="84"/>
      <c r="AQ38" s="84"/>
    </row>
    <row r="39" spans="1:43" ht="15.75" thickTop="1">
      <c r="A39" s="46" t="s">
        <v>170</v>
      </c>
      <c r="B39" s="29">
        <f>SUM(B8:B38)</f>
        <v>0</v>
      </c>
      <c r="C39" s="30">
        <f t="shared" ref="C39:AC39" si="0">SUM(C8:C38)</f>
        <v>1707.1634788672104</v>
      </c>
      <c r="D39" s="30">
        <f t="shared" si="0"/>
        <v>22669.362663118038</v>
      </c>
      <c r="E39" s="30">
        <f t="shared" si="0"/>
        <v>297.06276819457611</v>
      </c>
      <c r="F39" s="30">
        <f t="shared" si="0"/>
        <v>0</v>
      </c>
      <c r="G39" s="30">
        <f t="shared" si="0"/>
        <v>104634.43515548707</v>
      </c>
      <c r="H39" s="31">
        <f t="shared" si="0"/>
        <v>614.88477915724127</v>
      </c>
      <c r="I39" s="29">
        <f t="shared" si="0"/>
        <v>18574.314251915603</v>
      </c>
      <c r="J39" s="30">
        <f t="shared" si="0"/>
        <v>38877.255737082152</v>
      </c>
      <c r="K39" s="30">
        <f t="shared" si="0"/>
        <v>758.10886627634318</v>
      </c>
      <c r="L39" s="30">
        <f t="shared" si="0"/>
        <v>0</v>
      </c>
      <c r="M39" s="30">
        <f t="shared" si="0"/>
        <v>0</v>
      </c>
      <c r="N39" s="31">
        <f t="shared" si="0"/>
        <v>0</v>
      </c>
      <c r="O39" s="260">
        <f t="shared" si="0"/>
        <v>0</v>
      </c>
      <c r="P39" s="261">
        <f t="shared" si="0"/>
        <v>0</v>
      </c>
      <c r="Q39" s="261">
        <f t="shared" si="0"/>
        <v>0</v>
      </c>
      <c r="R39" s="261">
        <f t="shared" si="0"/>
        <v>0</v>
      </c>
      <c r="S39" s="261">
        <f t="shared" si="0"/>
        <v>0</v>
      </c>
      <c r="T39" s="262">
        <f t="shared" si="0"/>
        <v>0</v>
      </c>
      <c r="U39" s="260">
        <f t="shared" si="0"/>
        <v>15717.794784707514</v>
      </c>
      <c r="V39" s="261">
        <f t="shared" si="0"/>
        <v>2204.3151689715028</v>
      </c>
      <c r="W39" s="261">
        <f t="shared" si="0"/>
        <v>1398.4627663841259</v>
      </c>
      <c r="X39" s="261">
        <f t="shared" si="0"/>
        <v>195.56838347311728</v>
      </c>
      <c r="Y39" s="261">
        <f t="shared" si="0"/>
        <v>14923.231183804915</v>
      </c>
      <c r="Z39" s="261">
        <f t="shared" si="0"/>
        <v>2157.515623674944</v>
      </c>
      <c r="AA39" s="269">
        <f t="shared" si="0"/>
        <v>0</v>
      </c>
      <c r="AB39" s="272">
        <f t="shared" si="0"/>
        <v>0</v>
      </c>
      <c r="AC39" s="272">
        <f t="shared" si="0"/>
        <v>0</v>
      </c>
      <c r="AD39" s="275" t="s">
        <v>29</v>
      </c>
      <c r="AE39" s="275" t="s">
        <v>29</v>
      </c>
      <c r="AF39" s="275" t="s">
        <v>29</v>
      </c>
      <c r="AG39" s="275" t="s">
        <v>158</v>
      </c>
      <c r="AH39" s="272">
        <f t="shared" ref="AH39:AQ39" si="1">SUM(AH8:AH38)</f>
        <v>8309.7953143358227</v>
      </c>
      <c r="AI39" s="272">
        <f t="shared" si="1"/>
        <v>27211.113826560973</v>
      </c>
      <c r="AJ39" s="272">
        <f t="shared" si="1"/>
        <v>70001.710958735144</v>
      </c>
      <c r="AK39" s="272">
        <f t="shared" si="1"/>
        <v>28480.775355084737</v>
      </c>
      <c r="AL39" s="272">
        <f t="shared" si="1"/>
        <v>62590.053313668563</v>
      </c>
      <c r="AM39" s="272">
        <f t="shared" si="1"/>
        <v>66733.112283897382</v>
      </c>
      <c r="AN39" s="272">
        <f t="shared" si="1"/>
        <v>18325.173142862317</v>
      </c>
      <c r="AO39" s="272">
        <f t="shared" si="1"/>
        <v>85867.613302866608</v>
      </c>
      <c r="AP39" s="272">
        <f t="shared" si="1"/>
        <v>11750.45406329632</v>
      </c>
      <c r="AQ39" s="272">
        <f t="shared" si="1"/>
        <v>30440.105900510152</v>
      </c>
    </row>
    <row r="40" spans="1:43" ht="15.75" thickBot="1">
      <c r="A40" s="47" t="s">
        <v>171</v>
      </c>
      <c r="B40" s="32">
        <f>Projection!$AC$30</f>
        <v>0.91139353199999984</v>
      </c>
      <c r="C40" s="33">
        <f>Projection!$AC$28</f>
        <v>1.4375491199999999</v>
      </c>
      <c r="D40" s="33">
        <f>Projection!$AC$31</f>
        <v>2.0036016000000001</v>
      </c>
      <c r="E40" s="33">
        <f>Projection!$AC$26</f>
        <v>4.7363493840000004</v>
      </c>
      <c r="F40" s="33">
        <f>Projection!$AC$23</f>
        <v>5.8379999999999994E-2</v>
      </c>
      <c r="G40" s="33">
        <f>Projection!$AC$24</f>
        <v>5.3200000000000004E-2</v>
      </c>
      <c r="H40" s="34">
        <f>Projection!$AC$29</f>
        <v>3.6371774160000006</v>
      </c>
      <c r="I40" s="32">
        <f>Projection!$AC$30</f>
        <v>0.91139353199999984</v>
      </c>
      <c r="J40" s="33">
        <f>Projection!$AC$28</f>
        <v>1.4375491199999999</v>
      </c>
      <c r="K40" s="33">
        <f>Projection!$AC$26</f>
        <v>4.7363493840000004</v>
      </c>
      <c r="L40" s="33">
        <f>Projection!$AC$25</f>
        <v>0.37613399999999997</v>
      </c>
      <c r="M40" s="33">
        <f>Projection!$AC$23</f>
        <v>5.8379999999999994E-2</v>
      </c>
      <c r="N40" s="34">
        <f>Projection!$AC$23</f>
        <v>5.8379999999999994E-2</v>
      </c>
      <c r="O40" s="26">
        <v>15.77</v>
      </c>
      <c r="P40" s="27">
        <v>15.77</v>
      </c>
      <c r="Q40" s="27">
        <v>15.77</v>
      </c>
      <c r="R40" s="27">
        <v>15.77</v>
      </c>
      <c r="S40" s="27">
        <f>Projection!$AC$28</f>
        <v>1.4375491199999999</v>
      </c>
      <c r="T40" s="38">
        <f>Projection!$AC$28</f>
        <v>1.4375491199999999</v>
      </c>
      <c r="U40" s="26">
        <f>Projection!$AC$27</f>
        <v>0.26250000000000001</v>
      </c>
      <c r="V40" s="27">
        <f>Projection!$AC$27</f>
        <v>0.26250000000000001</v>
      </c>
      <c r="W40" s="27">
        <f>Projection!$AC$22</f>
        <v>1.1475</v>
      </c>
      <c r="X40" s="27">
        <f>Projection!$AC$22</f>
        <v>1.1475</v>
      </c>
      <c r="Y40" s="27">
        <f>Projection!$AC$31</f>
        <v>2.0036016000000001</v>
      </c>
      <c r="Z40" s="27">
        <f>Projection!$AC$31</f>
        <v>2.0036016000000001</v>
      </c>
      <c r="AA40" s="28">
        <v>0</v>
      </c>
      <c r="AB40" s="41">
        <f>Projection!$AC$27</f>
        <v>0.26250000000000001</v>
      </c>
      <c r="AC40" s="41">
        <f>Projection!$AC$30</f>
        <v>0.91139353199999984</v>
      </c>
      <c r="AD40" s="276">
        <f>SUM(AD8:AD38)</f>
        <v>697.72728563050407</v>
      </c>
      <c r="AE40" s="276">
        <f>SUM(AE8:AE38)</f>
        <v>604.147445653207</v>
      </c>
      <c r="AF40" s="276">
        <f>SUM(AF8:AF38)</f>
        <v>82.777403582551599</v>
      </c>
      <c r="AG40" s="276">
        <f>IF(SUM(AE40:AF40)&gt;0, AE40/(AE40+AF40), "")</f>
        <v>0.87949569203291156</v>
      </c>
      <c r="AH40" s="303">
        <v>9.1999999999999998E-2</v>
      </c>
      <c r="AI40" s="303">
        <f t="shared" ref="AI40:AQ40" si="2">$AH$40</f>
        <v>9.1999999999999998E-2</v>
      </c>
      <c r="AJ40" s="303">
        <f t="shared" si="2"/>
        <v>9.1999999999999998E-2</v>
      </c>
      <c r="AK40" s="303">
        <f t="shared" si="2"/>
        <v>9.1999999999999998E-2</v>
      </c>
      <c r="AL40" s="303">
        <f t="shared" si="2"/>
        <v>9.1999999999999998E-2</v>
      </c>
      <c r="AM40" s="303">
        <f t="shared" si="2"/>
        <v>9.1999999999999998E-2</v>
      </c>
      <c r="AN40" s="303">
        <f t="shared" si="2"/>
        <v>9.1999999999999998E-2</v>
      </c>
      <c r="AO40" s="303">
        <f t="shared" si="2"/>
        <v>9.1999999999999998E-2</v>
      </c>
      <c r="AP40" s="303">
        <f t="shared" si="2"/>
        <v>9.1999999999999998E-2</v>
      </c>
      <c r="AQ40" s="303">
        <f t="shared" si="2"/>
        <v>9.1999999999999998E-2</v>
      </c>
    </row>
    <row r="41" spans="1:43" ht="16.5" thickTop="1" thickBot="1">
      <c r="A41" s="48" t="s">
        <v>26</v>
      </c>
      <c r="B41" s="35">
        <f t="shared" ref="B41:AC41" si="3">B40*B39</f>
        <v>0</v>
      </c>
      <c r="C41" s="36">
        <f t="shared" si="3"/>
        <v>2454.1313567416969</v>
      </c>
      <c r="D41" s="36">
        <f t="shared" si="3"/>
        <v>45420.371302803564</v>
      </c>
      <c r="E41" s="36">
        <f t="shared" si="3"/>
        <v>1406.9930591477155</v>
      </c>
      <c r="F41" s="36">
        <f t="shared" si="3"/>
        <v>0</v>
      </c>
      <c r="G41" s="36">
        <f t="shared" si="3"/>
        <v>5566.5519502719126</v>
      </c>
      <c r="H41" s="37">
        <f t="shared" si="3"/>
        <v>2236.4450321928657</v>
      </c>
      <c r="I41" s="35">
        <f t="shared" si="3"/>
        <v>16928.509870531296</v>
      </c>
      <c r="J41" s="36">
        <f t="shared" si="3"/>
        <v>55887.964772857398</v>
      </c>
      <c r="K41" s="36">
        <f t="shared" si="3"/>
        <v>3590.6684617928968</v>
      </c>
      <c r="L41" s="36">
        <f t="shared" si="3"/>
        <v>0</v>
      </c>
      <c r="M41" s="36">
        <f t="shared" si="3"/>
        <v>0</v>
      </c>
      <c r="N41" s="37">
        <f t="shared" si="3"/>
        <v>0</v>
      </c>
      <c r="O41" s="266">
        <f t="shared" si="3"/>
        <v>0</v>
      </c>
      <c r="P41" s="267">
        <f t="shared" si="3"/>
        <v>0</v>
      </c>
      <c r="Q41" s="267">
        <f t="shared" si="3"/>
        <v>0</v>
      </c>
      <c r="R41" s="267">
        <f t="shared" si="3"/>
        <v>0</v>
      </c>
      <c r="S41" s="267">
        <f t="shared" si="3"/>
        <v>0</v>
      </c>
      <c r="T41" s="268">
        <f t="shared" si="3"/>
        <v>0</v>
      </c>
      <c r="U41" s="266">
        <f t="shared" si="3"/>
        <v>4125.9211309857228</v>
      </c>
      <c r="V41" s="267">
        <f t="shared" si="3"/>
        <v>578.63273185501953</v>
      </c>
      <c r="W41" s="267">
        <f t="shared" si="3"/>
        <v>1604.7360244257843</v>
      </c>
      <c r="X41" s="267">
        <f t="shared" si="3"/>
        <v>224.41472003540207</v>
      </c>
      <c r="Y41" s="267">
        <f t="shared" si="3"/>
        <v>29900.209877041423</v>
      </c>
      <c r="Z41" s="267">
        <f t="shared" si="3"/>
        <v>4322.8017556201157</v>
      </c>
      <c r="AA41" s="271">
        <f t="shared" si="3"/>
        <v>0</v>
      </c>
      <c r="AB41" s="274">
        <f t="shared" si="3"/>
        <v>0</v>
      </c>
      <c r="AC41" s="274">
        <f t="shared" si="3"/>
        <v>0</v>
      </c>
      <c r="AH41" s="277">
        <f t="shared" ref="AH41:AQ41" si="4">AH40*AH39</f>
        <v>764.5011689188957</v>
      </c>
      <c r="AI41" s="277">
        <f t="shared" si="4"/>
        <v>2503.4224720436096</v>
      </c>
      <c r="AJ41" s="277">
        <f t="shared" si="4"/>
        <v>6440.1574082036332</v>
      </c>
      <c r="AK41" s="277">
        <f t="shared" si="4"/>
        <v>2620.2313326677959</v>
      </c>
      <c r="AL41" s="277">
        <f t="shared" si="4"/>
        <v>5758.2849048575081</v>
      </c>
      <c r="AM41" s="277">
        <f t="shared" si="4"/>
        <v>6139.4463301185588</v>
      </c>
      <c r="AN41" s="277">
        <f t="shared" si="4"/>
        <v>1685.9159291433332</v>
      </c>
      <c r="AO41" s="277">
        <f t="shared" si="4"/>
        <v>7899.8204238637281</v>
      </c>
      <c r="AP41" s="277">
        <f t="shared" si="4"/>
        <v>1081.0417738232613</v>
      </c>
      <c r="AQ41" s="277">
        <f t="shared" si="4"/>
        <v>2800.489742846934</v>
      </c>
    </row>
    <row r="42" spans="1:43" ht="49.5" customHeight="1" thickTop="1" thickBot="1">
      <c r="A42" s="740" t="s">
        <v>213</v>
      </c>
      <c r="B42" s="741"/>
      <c r="C42" s="741"/>
      <c r="D42" s="741"/>
      <c r="E42" s="741"/>
      <c r="F42" s="741"/>
      <c r="G42" s="741"/>
      <c r="H42" s="741"/>
      <c r="I42" s="741"/>
      <c r="J42" s="741"/>
      <c r="K42" s="723"/>
      <c r="L42" s="44"/>
      <c r="M42" s="44"/>
      <c r="N42" s="44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  <c r="AA42" s="45"/>
      <c r="AB42" s="45"/>
      <c r="AC42" s="45"/>
      <c r="AG42" s="295" t="s">
        <v>183</v>
      </c>
      <c r="AH42" s="294">
        <v>81.709999999999994</v>
      </c>
      <c r="AI42" s="277" t="s">
        <v>196</v>
      </c>
      <c r="AJ42" s="277">
        <v>94.65</v>
      </c>
      <c r="AK42" s="277">
        <v>67.42</v>
      </c>
      <c r="AL42" s="277">
        <v>44.18</v>
      </c>
      <c r="AM42" s="277">
        <v>617.17999999999995</v>
      </c>
      <c r="AN42" s="277">
        <v>158.18</v>
      </c>
      <c r="AO42" s="277" t="s">
        <v>196</v>
      </c>
      <c r="AP42" s="277">
        <v>65.72</v>
      </c>
      <c r="AQ42" s="277">
        <v>140.71</v>
      </c>
    </row>
    <row r="43" spans="1:43" ht="38.25" customHeight="1" thickTop="1" thickBot="1">
      <c r="A43" s="726" t="s">
        <v>49</v>
      </c>
      <c r="B43" s="722"/>
      <c r="C43" s="288"/>
      <c r="D43" s="722" t="s">
        <v>47</v>
      </c>
      <c r="E43" s="722"/>
      <c r="F43" s="288"/>
      <c r="G43" s="722" t="s">
        <v>48</v>
      </c>
      <c r="H43" s="722"/>
      <c r="I43" s="289"/>
      <c r="J43" s="722" t="s">
        <v>50</v>
      </c>
      <c r="K43" s="723"/>
      <c r="L43" s="44"/>
      <c r="M43" s="44"/>
      <c r="N43" s="44"/>
      <c r="O43" s="45"/>
      <c r="P43" s="45"/>
      <c r="Q43" s="45"/>
      <c r="R43" s="729" t="s">
        <v>165</v>
      </c>
      <c r="S43" s="730"/>
      <c r="T43" s="730"/>
      <c r="U43" s="731"/>
      <c r="AC43" s="45"/>
    </row>
    <row r="44" spans="1:43" ht="24.75" thickTop="1" thickBot="1">
      <c r="A44" s="281" t="s">
        <v>135</v>
      </c>
      <c r="B44" s="282">
        <f>SUM(B41:AC41)</f>
        <v>174248.35204630281</v>
      </c>
      <c r="C44" s="12"/>
      <c r="D44" s="281" t="s">
        <v>135</v>
      </c>
      <c r="E44" s="282">
        <f>SUM(B41:H41)+P41+R41+T41+V41+X41+Z41</f>
        <v>62210.341908668292</v>
      </c>
      <c r="F44" s="12"/>
      <c r="G44" s="281" t="s">
        <v>135</v>
      </c>
      <c r="H44" s="282">
        <f>SUM(I41:N41)+O41+Q41+S41+U41+W41+Y41</f>
        <v>112038.01013763453</v>
      </c>
      <c r="I44" s="12"/>
      <c r="J44" s="281" t="s">
        <v>197</v>
      </c>
      <c r="K44" s="282">
        <v>129619.20999999998</v>
      </c>
      <c r="L44" s="12"/>
      <c r="M44" s="12"/>
      <c r="N44" s="12"/>
      <c r="O44" s="12"/>
      <c r="P44" s="12"/>
      <c r="Q44" s="12"/>
      <c r="R44" s="308" t="s">
        <v>135</v>
      </c>
      <c r="S44" s="309"/>
      <c r="T44" s="304" t="s">
        <v>166</v>
      </c>
      <c r="U44" s="254" t="s">
        <v>167</v>
      </c>
    </row>
    <row r="45" spans="1:43" ht="24" thickBot="1">
      <c r="A45" s="283" t="s">
        <v>182</v>
      </c>
      <c r="B45" s="284">
        <f>SUM(AH41:AQ41)</f>
        <v>37693.311486487262</v>
      </c>
      <c r="C45" s="12"/>
      <c r="D45" s="283" t="s">
        <v>182</v>
      </c>
      <c r="E45" s="284">
        <f>AH41*(1-$AG$40)+AI41+AJ41*0.5+AL41+AM41*(1-$AG$40)+AN41*(1-$AG$40)+AO41*(1-$AG$40)+AP41*0.5+AQ41*0.5</f>
        <v>15409.629780524729</v>
      </c>
      <c r="F45" s="24"/>
      <c r="G45" s="283" t="s">
        <v>182</v>
      </c>
      <c r="H45" s="284">
        <f>AH41*AG40+AJ41*0.5+AK41+AM41*AG40+AN41*AG40+AO41*AG40+AP41*0.5+AQ41*0.5</f>
        <v>22283.681705962528</v>
      </c>
      <c r="I45" s="12"/>
      <c r="J45" s="12"/>
      <c r="K45" s="287"/>
      <c r="L45" s="12"/>
      <c r="M45" s="12"/>
      <c r="N45" s="12"/>
      <c r="O45" s="12"/>
      <c r="P45" s="12"/>
      <c r="Q45" s="12"/>
      <c r="R45" s="306" t="s">
        <v>140</v>
      </c>
      <c r="S45" s="307"/>
      <c r="T45" s="253">
        <f>$W$39+$X$39</f>
        <v>1594.0311498572432</v>
      </c>
      <c r="U45" s="255">
        <f>(T45*8.34*0.895)/27000</f>
        <v>0.44067876710664522</v>
      </c>
    </row>
    <row r="46" spans="1:43" ht="32.25" thickBot="1">
      <c r="A46" s="285" t="s">
        <v>183</v>
      </c>
      <c r="B46" s="286">
        <f>SUM(AH42:AQ42)</f>
        <v>1269.75</v>
      </c>
      <c r="C46" s="12"/>
      <c r="D46" s="285" t="s">
        <v>183</v>
      </c>
      <c r="E46" s="286">
        <f>AH42*(1-$AG$40)+AJ42*0.5+AL42+AM42*(1-$AG$40)+AN42*(1-$AG$40)+AP42*0.5+AQ42*0.5</f>
        <v>298.00062722935252</v>
      </c>
      <c r="F46" s="23"/>
      <c r="G46" s="285" t="s">
        <v>183</v>
      </c>
      <c r="H46" s="286">
        <f>AH42*AG40+AJ42*0.5+AK42+AM42*AG40+AN42*AG40+AP42*0.5+AQ42*0.5</f>
        <v>971.74937277064748</v>
      </c>
      <c r="I46" s="12"/>
      <c r="J46" s="724" t="s">
        <v>198</v>
      </c>
      <c r="K46" s="725"/>
      <c r="L46" s="12"/>
      <c r="M46" s="12"/>
      <c r="N46" s="12"/>
      <c r="O46" s="12"/>
      <c r="P46" s="12"/>
      <c r="Q46" s="12"/>
      <c r="R46" s="306" t="s">
        <v>144</v>
      </c>
      <c r="S46" s="307"/>
      <c r="T46" s="253">
        <f>$M$39+$N$39+$F$39</f>
        <v>0</v>
      </c>
      <c r="U46" s="256">
        <f>(((T46*8.34)*0.005)/(8.34*1.055))/400</f>
        <v>0</v>
      </c>
    </row>
    <row r="47" spans="1:43" ht="24.75" thickTop="1" thickBot="1">
      <c r="A47" s="285" t="s">
        <v>184</v>
      </c>
      <c r="B47" s="286">
        <f>K44</f>
        <v>129619.20999999998</v>
      </c>
      <c r="C47" s="12"/>
      <c r="D47" s="285" t="s">
        <v>186</v>
      </c>
      <c r="E47" s="286">
        <f>K44*0.5</f>
        <v>64809.604999999989</v>
      </c>
      <c r="F47" s="24"/>
      <c r="G47" s="285" t="s">
        <v>184</v>
      </c>
      <c r="H47" s="286">
        <f>K44*0.5</f>
        <v>64809.604999999989</v>
      </c>
      <c r="I47" s="12"/>
      <c r="J47" s="281" t="s">
        <v>197</v>
      </c>
      <c r="K47" s="282">
        <v>71027.63</v>
      </c>
      <c r="L47" s="12"/>
      <c r="M47" s="12"/>
      <c r="N47" s="12"/>
      <c r="O47" s="12"/>
      <c r="P47" s="12"/>
      <c r="Q47" s="12"/>
      <c r="R47" s="306" t="s">
        <v>147</v>
      </c>
      <c r="S47" s="307"/>
      <c r="T47" s="253">
        <f>$G$39</f>
        <v>104634.43515548707</v>
      </c>
      <c r="U47" s="255">
        <f>T47/40000</f>
        <v>2.6158608788871764</v>
      </c>
    </row>
    <row r="48" spans="1:43" ht="24" thickBot="1">
      <c r="A48" s="285" t="s">
        <v>185</v>
      </c>
      <c r="B48" s="286">
        <f>K47</f>
        <v>71027.63</v>
      </c>
      <c r="C48" s="12"/>
      <c r="D48" s="285" t="s">
        <v>185</v>
      </c>
      <c r="E48" s="286">
        <f>K47*0.5</f>
        <v>35513.815000000002</v>
      </c>
      <c r="F48" s="23"/>
      <c r="G48" s="285" t="s">
        <v>185</v>
      </c>
      <c r="H48" s="286">
        <f>K47*0.5</f>
        <v>35513.815000000002</v>
      </c>
      <c r="I48" s="12"/>
      <c r="J48" s="12"/>
      <c r="K48" s="86"/>
      <c r="L48" s="12"/>
      <c r="M48" s="12"/>
      <c r="N48" s="12"/>
      <c r="O48" s="12"/>
      <c r="P48" s="12"/>
      <c r="Q48" s="12"/>
      <c r="R48" s="306" t="s">
        <v>149</v>
      </c>
      <c r="S48" s="307"/>
      <c r="T48" s="253">
        <f>$L$39</f>
        <v>0</v>
      </c>
      <c r="U48" s="255">
        <f>T48*9.34*0.107</f>
        <v>0</v>
      </c>
    </row>
    <row r="49" spans="1:25" ht="48" thickTop="1" thickBot="1">
      <c r="A49" s="290" t="s">
        <v>193</v>
      </c>
      <c r="B49" s="291">
        <f>AD40</f>
        <v>697.72728563050407</v>
      </c>
      <c r="C49" s="12"/>
      <c r="D49" s="290" t="s">
        <v>194</v>
      </c>
      <c r="E49" s="291">
        <f>AF40</f>
        <v>82.777403582551599</v>
      </c>
      <c r="F49" s="23"/>
      <c r="G49" s="290" t="s">
        <v>195</v>
      </c>
      <c r="H49" s="291">
        <f>AE40</f>
        <v>604.147445653207</v>
      </c>
      <c r="I49" s="12"/>
      <c r="J49" s="12"/>
      <c r="K49" s="86"/>
      <c r="L49" s="12"/>
      <c r="M49" s="12"/>
      <c r="N49" s="12"/>
      <c r="O49" s="12"/>
      <c r="P49" s="12"/>
      <c r="Q49" s="12"/>
      <c r="R49" s="306" t="s">
        <v>151</v>
      </c>
      <c r="S49" s="307"/>
      <c r="T49" s="253">
        <f>$E$39+$K$39</f>
        <v>1055.1716344709193</v>
      </c>
      <c r="U49" s="255">
        <f>(T49*8.34*1.04)/45000</f>
        <v>0.20338081530548816</v>
      </c>
    </row>
    <row r="50" spans="1:25" ht="48" thickTop="1" thickBot="1">
      <c r="A50" s="290" t="s">
        <v>189</v>
      </c>
      <c r="B50" s="292">
        <f>(SUM(B44:B48)/AD40)</f>
        <v>593.15188334480194</v>
      </c>
      <c r="C50" s="12"/>
      <c r="D50" s="290" t="s">
        <v>187</v>
      </c>
      <c r="E50" s="292">
        <f>SUM(E44:E48)/AF40</f>
        <v>2153.2614530324954</v>
      </c>
      <c r="F50" s="23"/>
      <c r="G50" s="290" t="s">
        <v>188</v>
      </c>
      <c r="H50" s="292">
        <f>SUM(H44:H48)/AE40</f>
        <v>389.99893637159659</v>
      </c>
      <c r="I50" s="12"/>
      <c r="J50" s="12"/>
      <c r="K50" s="86"/>
      <c r="L50" s="12"/>
      <c r="M50" s="12"/>
      <c r="N50" s="12"/>
      <c r="O50" s="12"/>
      <c r="P50" s="12"/>
      <c r="Q50" s="12"/>
      <c r="R50" s="306" t="s">
        <v>152</v>
      </c>
      <c r="S50" s="307"/>
      <c r="T50" s="253">
        <f>$U$39+$V$39+$AB$39</f>
        <v>17922.109953679017</v>
      </c>
      <c r="U50" s="255">
        <f>T50/2000/8</f>
        <v>1.1201318721049385</v>
      </c>
    </row>
    <row r="51" spans="1:25" ht="47.25" customHeight="1" thickTop="1" thickBot="1">
      <c r="A51" s="280" t="s">
        <v>190</v>
      </c>
      <c r="B51" s="293">
        <f>B50/1000</f>
        <v>0.59315188334480196</v>
      </c>
      <c r="C51" s="12"/>
      <c r="D51" s="280" t="s">
        <v>191</v>
      </c>
      <c r="E51" s="293">
        <f>E50/1000</f>
        <v>2.1532614530324956</v>
      </c>
      <c r="F51" s="12"/>
      <c r="G51" s="280" t="s">
        <v>192</v>
      </c>
      <c r="H51" s="293">
        <f>H50/1000</f>
        <v>0.38999893637159661</v>
      </c>
      <c r="I51" s="12"/>
      <c r="J51" s="12"/>
      <c r="K51" s="86"/>
      <c r="L51" s="12"/>
      <c r="M51" s="12"/>
      <c r="N51" s="12"/>
      <c r="O51" s="12"/>
      <c r="P51" s="12"/>
      <c r="Q51" s="12"/>
      <c r="R51" s="306" t="s">
        <v>153</v>
      </c>
      <c r="S51" s="307"/>
      <c r="T51" s="253">
        <f>$C$39+$J$39+$S$39+$T$39</f>
        <v>40584.419215949361</v>
      </c>
      <c r="U51" s="255">
        <f>(T51*8.34*1.4)/45000</f>
        <v>10.530303972564994</v>
      </c>
    </row>
    <row r="52" spans="1:25" ht="16.5" thickTop="1" thickBot="1">
      <c r="A52" s="301"/>
      <c r="B52" s="12"/>
      <c r="C52" s="12"/>
      <c r="D52" s="12"/>
      <c r="E52" s="12"/>
      <c r="F52" s="12"/>
      <c r="G52" s="12"/>
      <c r="H52" s="12"/>
      <c r="I52" s="12"/>
      <c r="J52" s="12"/>
      <c r="K52" s="86"/>
      <c r="L52" s="12"/>
      <c r="M52" s="12"/>
      <c r="N52" s="12"/>
      <c r="O52" s="12"/>
      <c r="P52" s="12"/>
      <c r="Q52" s="12"/>
      <c r="R52" s="306" t="s">
        <v>154</v>
      </c>
      <c r="S52" s="307"/>
      <c r="T52" s="253">
        <f>$H$39</f>
        <v>614.88477915724127</v>
      </c>
      <c r="U52" s="255">
        <f>(T52*8.34*1.135)/45000</f>
        <v>0.12934306291165623</v>
      </c>
    </row>
    <row r="53" spans="1:25" ht="48" customHeight="1" thickTop="1" thickBot="1">
      <c r="A53" s="732" t="s">
        <v>51</v>
      </c>
      <c r="B53" s="733"/>
      <c r="C53" s="733"/>
      <c r="D53" s="733"/>
      <c r="E53" s="734"/>
      <c r="F53" s="12"/>
      <c r="G53" s="12"/>
      <c r="H53" s="12"/>
      <c r="I53" s="12"/>
      <c r="J53" s="12"/>
      <c r="K53" s="86"/>
      <c r="L53" s="12"/>
      <c r="M53" s="12"/>
      <c r="N53" s="12"/>
      <c r="O53" s="12"/>
      <c r="P53" s="12"/>
      <c r="Q53" s="12"/>
      <c r="R53" s="306" t="s">
        <v>155</v>
      </c>
      <c r="S53" s="307"/>
      <c r="T53" s="253">
        <f>$B$39+$I$39+$AC$39</f>
        <v>18574.314251915603</v>
      </c>
      <c r="U53" s="255">
        <f>(T53*8.34*1.029*0.03)/3300</f>
        <v>1.4491105864176765</v>
      </c>
    </row>
    <row r="54" spans="1:25" ht="51.75" customHeight="1" thickBot="1">
      <c r="A54" s="735" t="s">
        <v>199</v>
      </c>
      <c r="B54" s="736"/>
      <c r="C54" s="736"/>
      <c r="D54" s="736"/>
      <c r="E54" s="737"/>
      <c r="F54" s="87"/>
      <c r="G54" s="87"/>
      <c r="H54" s="87"/>
      <c r="I54" s="87"/>
      <c r="J54" s="87"/>
      <c r="K54" s="88"/>
      <c r="L54" s="12"/>
      <c r="M54" s="12"/>
      <c r="N54" s="12"/>
      <c r="O54" s="12"/>
      <c r="P54" s="12"/>
      <c r="Q54" s="12"/>
      <c r="R54" s="738" t="s">
        <v>157</v>
      </c>
      <c r="S54" s="739"/>
      <c r="T54" s="257">
        <f>$D$39+$Y$39+$Z$39</f>
        <v>39750.109470597898</v>
      </c>
      <c r="U54" s="258">
        <f>(T54*1.54*8.34)/45000</f>
        <v>11.345211244368247</v>
      </c>
    </row>
    <row r="55" spans="1:25" ht="24" thickTop="1">
      <c r="A55" s="718"/>
      <c r="B55" s="719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</row>
    <row r="56" spans="1:25">
      <c r="A56" s="720"/>
      <c r="B56" s="721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</row>
    <row r="57" spans="1:25">
      <c r="A57" s="716"/>
      <c r="B57" s="717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</row>
    <row r="58" spans="1:25">
      <c r="A58" s="717"/>
      <c r="B58" s="717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</row>
    <row r="59" spans="1:25">
      <c r="A59" s="716"/>
      <c r="B59" s="717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</row>
    <row r="60" spans="1:25">
      <c r="A60" s="717"/>
      <c r="B60" s="717"/>
      <c r="C60" s="12"/>
      <c r="D60" s="12"/>
      <c r="E60" s="12"/>
      <c r="F60" s="12"/>
      <c r="G60" s="12"/>
      <c r="H60" s="12"/>
      <c r="I60" s="12"/>
      <c r="J60" s="12"/>
      <c r="K60" s="12"/>
    </row>
    <row r="61" spans="1:25">
      <c r="A61" s="12"/>
      <c r="B61" s="12"/>
    </row>
    <row r="62" spans="1:25">
      <c r="A62" s="12"/>
      <c r="B62" s="12"/>
    </row>
  </sheetData>
  <sheetProtection password="A25B" sheet="1" objects="1" scenarios="1"/>
  <customSheetViews>
    <customSheetView guid="{322E6371-A03C-4BCA-B267-212DFC76880A}" scale="75" fitToPage="1">
      <selection activeCell="A42" sqref="A42:K42"/>
      <pageMargins left="0.33" right="0.19" top="0.75" bottom="0.75" header="0.3" footer="0.3"/>
      <pageSetup scale="46" orientation="landscape" r:id="rId1"/>
    </customSheetView>
  </customSheetViews>
  <mergeCells count="34">
    <mergeCell ref="R43:U43"/>
    <mergeCell ref="A53:E53"/>
    <mergeCell ref="A54:E54"/>
    <mergeCell ref="R54:S54"/>
    <mergeCell ref="AM4:AM5"/>
    <mergeCell ref="A42:K42"/>
    <mergeCell ref="AD4:AD5"/>
    <mergeCell ref="AE4:AE5"/>
    <mergeCell ref="AF4:AF5"/>
    <mergeCell ref="AG4:AG5"/>
    <mergeCell ref="B4:H5"/>
    <mergeCell ref="I4:N5"/>
    <mergeCell ref="O4:T5"/>
    <mergeCell ref="U4:AA5"/>
    <mergeCell ref="AB4:AB5"/>
    <mergeCell ref="AC4:AC5"/>
    <mergeCell ref="AN4:AN5"/>
    <mergeCell ref="AO4:AO5"/>
    <mergeCell ref="AP4:AP5"/>
    <mergeCell ref="AQ4:AQ5"/>
    <mergeCell ref="AH4:AH5"/>
    <mergeCell ref="AI4:AI5"/>
    <mergeCell ref="AJ4:AJ5"/>
    <mergeCell ref="AK4:AK5"/>
    <mergeCell ref="AL4:AL5"/>
    <mergeCell ref="A57:B58"/>
    <mergeCell ref="A59:B60"/>
    <mergeCell ref="A55:B55"/>
    <mergeCell ref="A56:B56"/>
    <mergeCell ref="J43:K43"/>
    <mergeCell ref="J46:K46"/>
    <mergeCell ref="A43:B43"/>
    <mergeCell ref="D43:E43"/>
    <mergeCell ref="G43:H43"/>
  </mergeCells>
  <pageMargins left="0.33" right="0.19" top="0.75" bottom="0.75" header="0.3" footer="0.3"/>
  <pageSetup scale="46" orientation="landscape"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U61"/>
  <sheetViews>
    <sheetView topLeftCell="A37" zoomScale="75" zoomScaleNormal="75" workbookViewId="0">
      <selection activeCell="J51" sqref="J51"/>
    </sheetView>
  </sheetViews>
  <sheetFormatPr defaultRowHeight="15"/>
  <cols>
    <col min="1" max="1" width="35.140625" bestFit="1" customWidth="1"/>
    <col min="2" max="2" width="19.140625" customWidth="1"/>
    <col min="3" max="3" width="27.7109375" bestFit="1" customWidth="1"/>
    <col min="4" max="4" width="29.5703125" customWidth="1"/>
    <col min="5" max="5" width="24.140625" bestFit="1" customWidth="1"/>
    <col min="6" max="6" width="15" bestFit="1" customWidth="1"/>
    <col min="7" max="7" width="35.5703125" customWidth="1"/>
    <col min="8" max="8" width="23" bestFit="1" customWidth="1"/>
    <col min="9" max="10" width="25.28515625" bestFit="1" customWidth="1"/>
    <col min="11" max="11" width="23" bestFit="1" customWidth="1"/>
    <col min="12" max="12" width="17" bestFit="1" customWidth="1"/>
    <col min="13" max="13" width="16" bestFit="1" customWidth="1"/>
    <col min="14" max="14" width="20.7109375" bestFit="1" customWidth="1"/>
    <col min="15" max="16" width="16.140625" bestFit="1" customWidth="1"/>
    <col min="17" max="17" width="23.85546875" bestFit="1" customWidth="1"/>
    <col min="18" max="18" width="24.28515625" bestFit="1" customWidth="1"/>
    <col min="19" max="19" width="25.85546875" bestFit="1" customWidth="1"/>
    <col min="20" max="20" width="25.7109375" bestFit="1" customWidth="1"/>
    <col min="21" max="22" width="11.42578125" bestFit="1" customWidth="1"/>
    <col min="23" max="23" width="20.140625" bestFit="1" customWidth="1"/>
    <col min="24" max="24" width="19.85546875" bestFit="1" customWidth="1"/>
    <col min="25" max="25" width="22.42578125" bestFit="1" customWidth="1"/>
    <col min="26" max="26" width="22.140625" bestFit="1" customWidth="1"/>
    <col min="27" max="27" width="21.140625" bestFit="1" customWidth="1"/>
    <col min="28" max="28" width="32.7109375" bestFit="1" customWidth="1"/>
    <col min="29" max="29" width="36.7109375" customWidth="1"/>
    <col min="30" max="30" width="33.140625" bestFit="1" customWidth="1"/>
    <col min="31" max="31" width="26.85546875" customWidth="1"/>
    <col min="32" max="32" width="23" customWidth="1"/>
    <col min="33" max="33" width="22.28515625" customWidth="1"/>
    <col min="34" max="34" width="22.5703125" bestFit="1" customWidth="1"/>
    <col min="35" max="35" width="16" bestFit="1" customWidth="1"/>
    <col min="36" max="36" width="16.7109375" bestFit="1" customWidth="1"/>
    <col min="37" max="38" width="15.140625" bestFit="1" customWidth="1"/>
    <col min="39" max="39" width="21.28515625" bestFit="1" customWidth="1"/>
    <col min="40" max="40" width="18.28515625" bestFit="1" customWidth="1"/>
    <col min="41" max="43" width="15.140625" bestFit="1" customWidth="1"/>
  </cols>
  <sheetData>
    <row r="1" spans="1:47" ht="15" customHeight="1">
      <c r="A1" s="1" t="s">
        <v>0</v>
      </c>
      <c r="B1" s="2"/>
      <c r="C1" t="s">
        <v>1</v>
      </c>
      <c r="O1" s="3"/>
      <c r="P1" s="4"/>
      <c r="Q1" s="4"/>
      <c r="R1" s="4"/>
    </row>
    <row r="2" spans="1:47" ht="15" customHeight="1">
      <c r="A2" s="1" t="s">
        <v>2</v>
      </c>
      <c r="B2" s="5"/>
      <c r="O2" s="4"/>
      <c r="P2" s="4"/>
      <c r="Q2" s="4"/>
      <c r="R2" s="4"/>
    </row>
    <row r="3" spans="1:47" ht="15.75" thickBot="1">
      <c r="A3" s="6"/>
    </row>
    <row r="4" spans="1:47" ht="30" customHeight="1" thickTop="1">
      <c r="A4" s="13"/>
      <c r="B4" s="744" t="s">
        <v>3</v>
      </c>
      <c r="C4" s="745"/>
      <c r="D4" s="745"/>
      <c r="E4" s="745"/>
      <c r="F4" s="745"/>
      <c r="G4" s="745"/>
      <c r="H4" s="746"/>
      <c r="I4" s="744" t="s">
        <v>4</v>
      </c>
      <c r="J4" s="745"/>
      <c r="K4" s="745"/>
      <c r="L4" s="745"/>
      <c r="M4" s="745"/>
      <c r="N4" s="746"/>
      <c r="O4" s="750" t="s">
        <v>5</v>
      </c>
      <c r="P4" s="751"/>
      <c r="Q4" s="752"/>
      <c r="R4" s="752"/>
      <c r="S4" s="752"/>
      <c r="T4" s="753"/>
      <c r="U4" s="744" t="s">
        <v>6</v>
      </c>
      <c r="V4" s="757"/>
      <c r="W4" s="757"/>
      <c r="X4" s="757"/>
      <c r="Y4" s="757"/>
      <c r="Z4" s="757"/>
      <c r="AA4" s="758"/>
      <c r="AB4" s="727" t="s">
        <v>7</v>
      </c>
      <c r="AC4" s="763" t="s">
        <v>8</v>
      </c>
      <c r="AD4" s="742" t="s">
        <v>27</v>
      </c>
      <c r="AE4" s="742" t="s">
        <v>31</v>
      </c>
      <c r="AF4" s="742" t="s">
        <v>32</v>
      </c>
      <c r="AG4" s="742" t="s">
        <v>33</v>
      </c>
      <c r="AH4" s="727" t="s">
        <v>172</v>
      </c>
      <c r="AI4" s="727" t="s">
        <v>173</v>
      </c>
      <c r="AJ4" s="727" t="s">
        <v>174</v>
      </c>
      <c r="AK4" s="727" t="s">
        <v>175</v>
      </c>
      <c r="AL4" s="727" t="s">
        <v>176</v>
      </c>
      <c r="AM4" s="727" t="s">
        <v>177</v>
      </c>
      <c r="AN4" s="727" t="s">
        <v>178</v>
      </c>
      <c r="AO4" s="727" t="s">
        <v>181</v>
      </c>
      <c r="AP4" s="727" t="s">
        <v>179</v>
      </c>
      <c r="AQ4" s="727" t="s">
        <v>180</v>
      </c>
      <c r="AT4" t="s">
        <v>168</v>
      </c>
      <c r="AU4" s="324" t="s">
        <v>206</v>
      </c>
    </row>
    <row r="5" spans="1:47" ht="30" customHeight="1" thickBot="1">
      <c r="A5" s="13"/>
      <c r="B5" s="747"/>
      <c r="C5" s="748"/>
      <c r="D5" s="748"/>
      <c r="E5" s="748"/>
      <c r="F5" s="748"/>
      <c r="G5" s="748"/>
      <c r="H5" s="749"/>
      <c r="I5" s="747"/>
      <c r="J5" s="748"/>
      <c r="K5" s="748"/>
      <c r="L5" s="748"/>
      <c r="M5" s="748"/>
      <c r="N5" s="749"/>
      <c r="O5" s="754"/>
      <c r="P5" s="755"/>
      <c r="Q5" s="755"/>
      <c r="R5" s="755"/>
      <c r="S5" s="755"/>
      <c r="T5" s="756"/>
      <c r="U5" s="759"/>
      <c r="V5" s="760"/>
      <c r="W5" s="760"/>
      <c r="X5" s="760"/>
      <c r="Y5" s="760"/>
      <c r="Z5" s="760"/>
      <c r="AA5" s="761"/>
      <c r="AB5" s="762"/>
      <c r="AC5" s="764"/>
      <c r="AD5" s="743"/>
      <c r="AE5" s="743"/>
      <c r="AF5" s="743"/>
      <c r="AG5" s="743"/>
      <c r="AH5" s="728"/>
      <c r="AI5" s="728"/>
      <c r="AJ5" s="728"/>
      <c r="AK5" s="728"/>
      <c r="AL5" s="728"/>
      <c r="AM5" s="728"/>
      <c r="AN5" s="728"/>
      <c r="AO5" s="728"/>
      <c r="AP5" s="728"/>
      <c r="AQ5" s="728"/>
    </row>
    <row r="6" spans="1:47" ht="18">
      <c r="A6" s="7"/>
      <c r="B6" s="14" t="s">
        <v>9</v>
      </c>
      <c r="C6" s="8" t="s">
        <v>10</v>
      </c>
      <c r="D6" s="8" t="s">
        <v>11</v>
      </c>
      <c r="E6" s="8" t="s">
        <v>12</v>
      </c>
      <c r="F6" s="8" t="s">
        <v>13</v>
      </c>
      <c r="G6" s="8" t="s">
        <v>14</v>
      </c>
      <c r="H6" s="15" t="s">
        <v>15</v>
      </c>
      <c r="I6" s="16" t="s">
        <v>9</v>
      </c>
      <c r="J6" s="8" t="s">
        <v>16</v>
      </c>
      <c r="K6" s="8" t="s">
        <v>17</v>
      </c>
      <c r="L6" s="9" t="s">
        <v>18</v>
      </c>
      <c r="M6" s="8" t="s">
        <v>19</v>
      </c>
      <c r="N6" s="15" t="s">
        <v>13</v>
      </c>
      <c r="O6" s="14" t="s">
        <v>35</v>
      </c>
      <c r="P6" s="9" t="s">
        <v>36</v>
      </c>
      <c r="Q6" s="9" t="s">
        <v>37</v>
      </c>
      <c r="R6" s="9" t="s">
        <v>38</v>
      </c>
      <c r="S6" s="8" t="s">
        <v>39</v>
      </c>
      <c r="T6" s="39" t="s">
        <v>40</v>
      </c>
      <c r="U6" s="17" t="s">
        <v>41</v>
      </c>
      <c r="V6" s="8" t="s">
        <v>42</v>
      </c>
      <c r="W6" s="8" t="s">
        <v>43</v>
      </c>
      <c r="X6" s="8" t="s">
        <v>44</v>
      </c>
      <c r="Y6" s="8" t="s">
        <v>45</v>
      </c>
      <c r="Z6" s="8" t="s">
        <v>46</v>
      </c>
      <c r="AA6" s="18" t="s">
        <v>20</v>
      </c>
      <c r="AB6" s="19" t="s">
        <v>21</v>
      </c>
      <c r="AC6" s="19" t="s">
        <v>22</v>
      </c>
      <c r="AD6" s="42" t="s">
        <v>30</v>
      </c>
      <c r="AE6" s="42"/>
      <c r="AF6" s="42"/>
      <c r="AG6" s="42"/>
      <c r="AH6" s="42"/>
      <c r="AI6" s="42"/>
      <c r="AJ6" s="42"/>
      <c r="AK6" s="42"/>
      <c r="AL6" s="42"/>
      <c r="AM6" s="42"/>
      <c r="AN6" s="42"/>
      <c r="AO6" s="42"/>
      <c r="AP6" s="42"/>
      <c r="AQ6" s="42"/>
    </row>
    <row r="7" spans="1:47" ht="15.75" thickBot="1">
      <c r="A7" s="7"/>
      <c r="B7" s="20" t="s">
        <v>23</v>
      </c>
      <c r="C7" s="10" t="s">
        <v>23</v>
      </c>
      <c r="D7" s="10" t="s">
        <v>23</v>
      </c>
      <c r="E7" s="10" t="s">
        <v>23</v>
      </c>
      <c r="F7" s="10" t="s">
        <v>23</v>
      </c>
      <c r="G7" s="10" t="s">
        <v>24</v>
      </c>
      <c r="H7" s="21" t="s">
        <v>23</v>
      </c>
      <c r="I7" s="20" t="s">
        <v>23</v>
      </c>
      <c r="J7" s="10" t="s">
        <v>23</v>
      </c>
      <c r="K7" s="10" t="s">
        <v>23</v>
      </c>
      <c r="L7" s="10" t="s">
        <v>23</v>
      </c>
      <c r="M7" s="10" t="s">
        <v>23</v>
      </c>
      <c r="N7" s="21" t="s">
        <v>23</v>
      </c>
      <c r="O7" s="20" t="s">
        <v>23</v>
      </c>
      <c r="P7" s="10" t="s">
        <v>23</v>
      </c>
      <c r="Q7" s="10" t="s">
        <v>23</v>
      </c>
      <c r="R7" s="10" t="s">
        <v>23</v>
      </c>
      <c r="S7" s="10" t="s">
        <v>23</v>
      </c>
      <c r="T7" s="40" t="s">
        <v>23</v>
      </c>
      <c r="U7" s="20" t="s">
        <v>25</v>
      </c>
      <c r="V7" s="10" t="s">
        <v>25</v>
      </c>
      <c r="W7" s="10" t="s">
        <v>23</v>
      </c>
      <c r="X7" s="10" t="s">
        <v>23</v>
      </c>
      <c r="Y7" s="10" t="s">
        <v>23</v>
      </c>
      <c r="Z7" s="10" t="s">
        <v>23</v>
      </c>
      <c r="AA7" s="21" t="s">
        <v>23</v>
      </c>
      <c r="AB7" s="22" t="s">
        <v>25</v>
      </c>
      <c r="AC7" s="305" t="s">
        <v>23</v>
      </c>
      <c r="AD7" s="22" t="s">
        <v>28</v>
      </c>
      <c r="AE7" s="22" t="s">
        <v>28</v>
      </c>
      <c r="AF7" s="22" t="s">
        <v>28</v>
      </c>
      <c r="AG7" s="22" t="s">
        <v>34</v>
      </c>
      <c r="AH7" s="22" t="s">
        <v>169</v>
      </c>
      <c r="AI7" s="22" t="s">
        <v>169</v>
      </c>
      <c r="AJ7" s="22" t="s">
        <v>169</v>
      </c>
      <c r="AK7" s="22" t="s">
        <v>169</v>
      </c>
      <c r="AL7" s="22" t="s">
        <v>169</v>
      </c>
      <c r="AM7" s="22" t="s">
        <v>169</v>
      </c>
      <c r="AN7" s="22" t="s">
        <v>169</v>
      </c>
      <c r="AO7" s="22" t="s">
        <v>169</v>
      </c>
      <c r="AP7" s="22" t="s">
        <v>169</v>
      </c>
      <c r="AQ7" s="22" t="s">
        <v>169</v>
      </c>
    </row>
    <row r="8" spans="1:47">
      <c r="A8" s="11">
        <v>41122</v>
      </c>
      <c r="B8" s="49"/>
      <c r="C8" s="50">
        <v>114.63867185910544</v>
      </c>
      <c r="D8" s="50">
        <v>1483.4003849665314</v>
      </c>
      <c r="E8" s="50">
        <v>14.7407297809919</v>
      </c>
      <c r="F8" s="50">
        <v>0</v>
      </c>
      <c r="G8" s="50">
        <v>6490.3335378011097</v>
      </c>
      <c r="H8" s="51">
        <v>60.345145763953482</v>
      </c>
      <c r="I8" s="49">
        <v>571.37767120997216</v>
      </c>
      <c r="J8" s="50">
        <v>1252.1826401392607</v>
      </c>
      <c r="K8" s="50">
        <v>15.472348203261653</v>
      </c>
      <c r="L8" s="50">
        <v>0</v>
      </c>
      <c r="M8" s="50">
        <v>0</v>
      </c>
      <c r="N8" s="51">
        <v>0</v>
      </c>
      <c r="O8" s="49">
        <v>0</v>
      </c>
      <c r="P8" s="50">
        <v>0</v>
      </c>
      <c r="Q8" s="50">
        <v>0</v>
      </c>
      <c r="R8" s="50">
        <v>0</v>
      </c>
      <c r="S8" s="50">
        <v>0</v>
      </c>
      <c r="T8" s="52">
        <v>0</v>
      </c>
      <c r="U8" s="53">
        <v>436.82641802940026</v>
      </c>
      <c r="V8" s="54">
        <v>122.87239229368033</v>
      </c>
      <c r="W8" s="54">
        <v>36.317409566040361</v>
      </c>
      <c r="X8" s="54">
        <v>10.215515388056112</v>
      </c>
      <c r="Y8" s="54">
        <v>449.81248796566177</v>
      </c>
      <c r="Z8" s="54">
        <v>126.52516926344249</v>
      </c>
      <c r="AA8" s="55">
        <v>0</v>
      </c>
      <c r="AB8" s="56">
        <v>0</v>
      </c>
      <c r="AC8" s="57">
        <v>0</v>
      </c>
      <c r="AD8" s="57">
        <v>20.455068959130212</v>
      </c>
      <c r="AE8" s="58">
        <v>15.763414093542597</v>
      </c>
      <c r="AF8" s="58">
        <v>4.434000143872102</v>
      </c>
      <c r="AG8" s="58">
        <v>0.78046694038396569</v>
      </c>
      <c r="AH8" s="57">
        <v>428.84488673210149</v>
      </c>
      <c r="AI8" s="57">
        <v>1200.283532460531</v>
      </c>
      <c r="AJ8" s="57">
        <v>3327.6761994679769</v>
      </c>
      <c r="AK8" s="57">
        <v>913.09382410049432</v>
      </c>
      <c r="AL8" s="57">
        <v>3218.2886548360188</v>
      </c>
      <c r="AM8" s="57">
        <v>2424.6329452514647</v>
      </c>
      <c r="AN8" s="57">
        <v>628.73376118342082</v>
      </c>
      <c r="AO8" s="57">
        <v>2342.9466159820554</v>
      </c>
      <c r="AP8" s="57">
        <v>380.57654552459712</v>
      </c>
      <c r="AQ8" s="57">
        <v>984.95175587336234</v>
      </c>
    </row>
    <row r="9" spans="1:47">
      <c r="A9" s="11">
        <v>41123</v>
      </c>
      <c r="B9" s="59"/>
      <c r="C9" s="60">
        <v>111.26040707429233</v>
      </c>
      <c r="D9" s="60">
        <v>1450.1332910537733</v>
      </c>
      <c r="E9" s="60">
        <v>14.671897030373437</v>
      </c>
      <c r="F9" s="60">
        <v>0</v>
      </c>
      <c r="G9" s="60">
        <v>5304.7658594767163</v>
      </c>
      <c r="H9" s="61">
        <v>34.877771933873525</v>
      </c>
      <c r="I9" s="59">
        <v>613.30094343821088</v>
      </c>
      <c r="J9" s="60">
        <v>1398.0243934631351</v>
      </c>
      <c r="K9" s="60">
        <v>15.478929510712597</v>
      </c>
      <c r="L9" s="60">
        <v>0</v>
      </c>
      <c r="M9" s="60">
        <v>0</v>
      </c>
      <c r="N9" s="61">
        <v>0</v>
      </c>
      <c r="O9" s="59">
        <v>0</v>
      </c>
      <c r="P9" s="60">
        <v>0</v>
      </c>
      <c r="Q9" s="62">
        <v>0</v>
      </c>
      <c r="R9" s="63">
        <v>0</v>
      </c>
      <c r="S9" s="60">
        <v>0</v>
      </c>
      <c r="T9" s="64">
        <v>0</v>
      </c>
      <c r="U9" s="65">
        <v>443.2494127309422</v>
      </c>
      <c r="V9" s="62">
        <v>124.64527343814989</v>
      </c>
      <c r="W9" s="62">
        <v>37.046840999591268</v>
      </c>
      <c r="X9" s="62">
        <v>10.417867443891515</v>
      </c>
      <c r="Y9" s="66">
        <v>448.18143106615065</v>
      </c>
      <c r="Z9" s="66">
        <v>126.03219636762749</v>
      </c>
      <c r="AA9" s="67">
        <v>0</v>
      </c>
      <c r="AB9" s="68">
        <v>0</v>
      </c>
      <c r="AC9" s="69">
        <v>0</v>
      </c>
      <c r="AD9" s="69">
        <v>20.75188455846574</v>
      </c>
      <c r="AE9" s="68">
        <v>16.002667389254331</v>
      </c>
      <c r="AF9" s="68">
        <v>4.5000778234175582</v>
      </c>
      <c r="AG9" s="68">
        <v>0.78051340068176578</v>
      </c>
      <c r="AH9" s="69">
        <v>406.77403071721392</v>
      </c>
      <c r="AI9" s="69">
        <v>1161.8035165150961</v>
      </c>
      <c r="AJ9" s="69">
        <v>3294.23505261739</v>
      </c>
      <c r="AK9" s="69">
        <v>914.17703450520844</v>
      </c>
      <c r="AL9" s="69">
        <v>3150.2132620493567</v>
      </c>
      <c r="AM9" s="69">
        <v>2639.8326254526778</v>
      </c>
      <c r="AN9" s="69">
        <v>617.14610052108765</v>
      </c>
      <c r="AO9" s="69">
        <v>2337.0332873026532</v>
      </c>
      <c r="AP9" s="69">
        <v>339.99646689097085</v>
      </c>
      <c r="AQ9" s="69">
        <v>979.05503028233863</v>
      </c>
    </row>
    <row r="10" spans="1:47">
      <c r="A10" s="11">
        <v>41124</v>
      </c>
      <c r="B10" s="59"/>
      <c r="C10" s="60">
        <v>109.94671227137265</v>
      </c>
      <c r="D10" s="60">
        <v>1460.7165795008348</v>
      </c>
      <c r="E10" s="60">
        <v>14.770773766934896</v>
      </c>
      <c r="F10" s="60">
        <v>0</v>
      </c>
      <c r="G10" s="60">
        <v>4284.0174039204894</v>
      </c>
      <c r="H10" s="61">
        <v>35.262074033419275</v>
      </c>
      <c r="I10" s="59">
        <v>585.29538329442391</v>
      </c>
      <c r="J10" s="60">
        <v>1441.656856028244</v>
      </c>
      <c r="K10" s="60">
        <v>15.512082203229253</v>
      </c>
      <c r="L10" s="60">
        <v>0</v>
      </c>
      <c r="M10" s="60">
        <v>0</v>
      </c>
      <c r="N10" s="61">
        <v>0</v>
      </c>
      <c r="O10" s="59">
        <v>0</v>
      </c>
      <c r="P10" s="60">
        <v>0</v>
      </c>
      <c r="Q10" s="60">
        <v>0</v>
      </c>
      <c r="R10" s="63">
        <v>0</v>
      </c>
      <c r="S10" s="60">
        <v>0</v>
      </c>
      <c r="T10" s="64">
        <v>0</v>
      </c>
      <c r="U10" s="65">
        <v>443.4142843467211</v>
      </c>
      <c r="V10" s="62">
        <v>124.71975254394425</v>
      </c>
      <c r="W10" s="62">
        <v>38.478181854510382</v>
      </c>
      <c r="X10" s="62">
        <v>10.822811733062986</v>
      </c>
      <c r="Y10" s="66">
        <v>416.40566129905142</v>
      </c>
      <c r="Z10" s="66">
        <v>117.12299957054641</v>
      </c>
      <c r="AA10" s="67">
        <v>0</v>
      </c>
      <c r="AB10" s="68">
        <v>0</v>
      </c>
      <c r="AC10" s="69">
        <v>0</v>
      </c>
      <c r="AD10" s="69">
        <v>20.748772479428151</v>
      </c>
      <c r="AE10" s="68">
        <v>16.000130743400469</v>
      </c>
      <c r="AF10" s="68">
        <v>4.5003790302508246</v>
      </c>
      <c r="AG10" s="68">
        <v>0.78047477453292247</v>
      </c>
      <c r="AH10" s="69">
        <v>418.67358051935832</v>
      </c>
      <c r="AI10" s="69">
        <v>1179.41365070343</v>
      </c>
      <c r="AJ10" s="69">
        <v>3307.5711331685379</v>
      </c>
      <c r="AK10" s="69">
        <v>925.4057252883913</v>
      </c>
      <c r="AL10" s="69">
        <v>3272.6285034179687</v>
      </c>
      <c r="AM10" s="69">
        <v>2621.0442564646405</v>
      </c>
      <c r="AN10" s="69">
        <v>621.25242671966555</v>
      </c>
      <c r="AO10" s="69">
        <v>2384.5184150695804</v>
      </c>
      <c r="AP10" s="69">
        <v>347.50071147282921</v>
      </c>
      <c r="AQ10" s="69">
        <v>1018.5912666002907</v>
      </c>
    </row>
    <row r="11" spans="1:47">
      <c r="A11" s="11">
        <v>41125</v>
      </c>
      <c r="B11" s="59"/>
      <c r="C11" s="60">
        <v>117.19892866611436</v>
      </c>
      <c r="D11" s="60">
        <v>1488.7978104273454</v>
      </c>
      <c r="E11" s="60">
        <v>14.720702284077845</v>
      </c>
      <c r="F11" s="60">
        <v>0</v>
      </c>
      <c r="G11" s="60">
        <v>4284.4835276285894</v>
      </c>
      <c r="H11" s="61">
        <v>34.658804064989141</v>
      </c>
      <c r="I11" s="59">
        <v>638.31338685353728</v>
      </c>
      <c r="J11" s="60">
        <v>1567.1371021270775</v>
      </c>
      <c r="K11" s="60">
        <v>16.989697588483523</v>
      </c>
      <c r="L11" s="60">
        <v>0</v>
      </c>
      <c r="M11" s="60">
        <v>0</v>
      </c>
      <c r="N11" s="61">
        <v>0</v>
      </c>
      <c r="O11" s="59">
        <v>0</v>
      </c>
      <c r="P11" s="60">
        <v>0</v>
      </c>
      <c r="Q11" s="60">
        <v>0</v>
      </c>
      <c r="R11" s="63">
        <v>0</v>
      </c>
      <c r="S11" s="60">
        <v>0</v>
      </c>
      <c r="T11" s="64">
        <v>0</v>
      </c>
      <c r="U11" s="65">
        <v>462.93413797755386</v>
      </c>
      <c r="V11" s="62">
        <v>123.91033164389329</v>
      </c>
      <c r="W11" s="62">
        <v>40.003129049190768</v>
      </c>
      <c r="X11" s="62">
        <v>10.707356793633197</v>
      </c>
      <c r="Y11" s="66">
        <v>388.89371939309967</v>
      </c>
      <c r="Z11" s="66">
        <v>104.09245244852224</v>
      </c>
      <c r="AA11" s="67">
        <v>0</v>
      </c>
      <c r="AB11" s="68">
        <v>0</v>
      </c>
      <c r="AC11" s="69">
        <v>0</v>
      </c>
      <c r="AD11" s="69">
        <v>21.532729319069166</v>
      </c>
      <c r="AE11" s="68">
        <v>16.688184284777087</v>
      </c>
      <c r="AF11" s="68">
        <v>4.4668091627353688</v>
      </c>
      <c r="AG11" s="68">
        <v>0.78885320036529694</v>
      </c>
      <c r="AH11" s="69">
        <v>404.51927735010781</v>
      </c>
      <c r="AI11" s="69">
        <v>1152.0124681790669</v>
      </c>
      <c r="AJ11" s="69">
        <v>3228.0839341481528</v>
      </c>
      <c r="AK11" s="69">
        <v>932.84398701985674</v>
      </c>
      <c r="AL11" s="69">
        <v>3107.2068072001139</v>
      </c>
      <c r="AM11" s="69">
        <v>2613.3827629089355</v>
      </c>
      <c r="AN11" s="69">
        <v>580.14420715967822</v>
      </c>
      <c r="AO11" s="69">
        <v>2635.8634504954016</v>
      </c>
      <c r="AP11" s="69">
        <v>339.32116080919906</v>
      </c>
      <c r="AQ11" s="69">
        <v>775.90082524617526</v>
      </c>
    </row>
    <row r="12" spans="1:47">
      <c r="A12" s="11">
        <v>41126</v>
      </c>
      <c r="B12" s="59"/>
      <c r="C12" s="60">
        <v>116.35948113600394</v>
      </c>
      <c r="D12" s="60">
        <v>1481.9048714955622</v>
      </c>
      <c r="E12" s="60">
        <v>14.35235556811096</v>
      </c>
      <c r="F12" s="60">
        <v>0</v>
      </c>
      <c r="G12" s="60">
        <v>4253.9797281901165</v>
      </c>
      <c r="H12" s="61">
        <v>34.317574812968573</v>
      </c>
      <c r="I12" s="59">
        <v>718.4929394721986</v>
      </c>
      <c r="J12" s="60">
        <v>1687.204160308838</v>
      </c>
      <c r="K12" s="60">
        <v>26.02422634859883</v>
      </c>
      <c r="L12" s="60">
        <v>0</v>
      </c>
      <c r="M12" s="60">
        <v>0</v>
      </c>
      <c r="N12" s="61">
        <v>0</v>
      </c>
      <c r="O12" s="59">
        <v>0</v>
      </c>
      <c r="P12" s="60">
        <v>0</v>
      </c>
      <c r="Q12" s="60">
        <v>0</v>
      </c>
      <c r="R12" s="63">
        <v>0</v>
      </c>
      <c r="S12" s="60">
        <v>0</v>
      </c>
      <c r="T12" s="64">
        <v>0</v>
      </c>
      <c r="U12" s="65">
        <v>496.60352023002747</v>
      </c>
      <c r="V12" s="62">
        <v>123.94173557933162</v>
      </c>
      <c r="W12" s="62">
        <v>42.576619254438143</v>
      </c>
      <c r="X12" s="62">
        <v>10.626223678501368</v>
      </c>
      <c r="Y12" s="66">
        <v>388.24569878492002</v>
      </c>
      <c r="Z12" s="66">
        <v>96.897915093965111</v>
      </c>
      <c r="AA12" s="67">
        <v>0</v>
      </c>
      <c r="AB12" s="68">
        <v>0</v>
      </c>
      <c r="AC12" s="69">
        <v>0</v>
      </c>
      <c r="AD12" s="69">
        <v>22.838523634274786</v>
      </c>
      <c r="AE12" s="68">
        <v>17.91070497012711</v>
      </c>
      <c r="AF12" s="68">
        <v>4.4701331525371835</v>
      </c>
      <c r="AG12" s="68">
        <v>0.80026962672097457</v>
      </c>
      <c r="AH12" s="69">
        <v>401.32166450023658</v>
      </c>
      <c r="AI12" s="69">
        <v>1159.2975567499798</v>
      </c>
      <c r="AJ12" s="69">
        <v>3254.8481283823648</v>
      </c>
      <c r="AK12" s="69">
        <v>954.74147520065321</v>
      </c>
      <c r="AL12" s="69">
        <v>3129.0260771433509</v>
      </c>
      <c r="AM12" s="69">
        <v>2618.8172171274814</v>
      </c>
      <c r="AN12" s="69">
        <v>599.26494843165085</v>
      </c>
      <c r="AO12" s="69">
        <v>2628.7286000569666</v>
      </c>
      <c r="AP12" s="69">
        <v>353.7053901354472</v>
      </c>
      <c r="AQ12" s="69">
        <v>923.98799222310367</v>
      </c>
    </row>
    <row r="13" spans="1:47">
      <c r="A13" s="11">
        <v>41127</v>
      </c>
      <c r="B13" s="59"/>
      <c r="C13" s="60">
        <v>115.34620783328982</v>
      </c>
      <c r="D13" s="60">
        <v>1476.2665620803846</v>
      </c>
      <c r="E13" s="60">
        <v>14.339638852576433</v>
      </c>
      <c r="F13" s="60">
        <v>0</v>
      </c>
      <c r="G13" s="60">
        <v>4167.5486119588259</v>
      </c>
      <c r="H13" s="61">
        <v>34.058014649152845</v>
      </c>
      <c r="I13" s="59">
        <v>810.23026733398501</v>
      </c>
      <c r="J13" s="60">
        <v>1760.2178840637232</v>
      </c>
      <c r="K13" s="60">
        <v>28.92376911640164</v>
      </c>
      <c r="L13" s="60">
        <v>0</v>
      </c>
      <c r="M13" s="60">
        <v>0</v>
      </c>
      <c r="N13" s="61">
        <v>0</v>
      </c>
      <c r="O13" s="59">
        <v>0</v>
      </c>
      <c r="P13" s="60">
        <v>0</v>
      </c>
      <c r="Q13" s="60">
        <v>0</v>
      </c>
      <c r="R13" s="63">
        <v>0</v>
      </c>
      <c r="S13" s="60">
        <v>0</v>
      </c>
      <c r="T13" s="64">
        <v>0</v>
      </c>
      <c r="U13" s="65">
        <v>538.26625162532491</v>
      </c>
      <c r="V13" s="62">
        <v>124.92227304474994</v>
      </c>
      <c r="W13" s="62">
        <v>45.67151384893927</v>
      </c>
      <c r="X13" s="62">
        <v>10.599567233086841</v>
      </c>
      <c r="Y13" s="66">
        <v>407.28416865417955</v>
      </c>
      <c r="Z13" s="66">
        <v>94.523600485428631</v>
      </c>
      <c r="AA13" s="67">
        <v>0</v>
      </c>
      <c r="AB13" s="68">
        <v>0</v>
      </c>
      <c r="AC13" s="69">
        <v>0</v>
      </c>
      <c r="AD13" s="69">
        <v>24.376576205094665</v>
      </c>
      <c r="AE13" s="68">
        <v>19.390147184459835</v>
      </c>
      <c r="AF13" s="68">
        <v>4.5001172814398593</v>
      </c>
      <c r="AG13" s="68">
        <v>0.81163384407639338</v>
      </c>
      <c r="AH13" s="69">
        <v>409.56784791946416</v>
      </c>
      <c r="AI13" s="69">
        <v>1187.6547955195108</v>
      </c>
      <c r="AJ13" s="69">
        <v>3303.8519227345791</v>
      </c>
      <c r="AK13" s="69">
        <v>956.88818620045981</v>
      </c>
      <c r="AL13" s="69">
        <v>3250.1961746215825</v>
      </c>
      <c r="AM13" s="69">
        <v>2620.9993297576902</v>
      </c>
      <c r="AN13" s="69">
        <v>650.1561247825623</v>
      </c>
      <c r="AO13" s="69">
        <v>2842.9357639312739</v>
      </c>
      <c r="AP13" s="69">
        <v>394.85078560511261</v>
      </c>
      <c r="AQ13" s="69">
        <v>1046.3789384206136</v>
      </c>
    </row>
    <row r="14" spans="1:47">
      <c r="A14" s="11">
        <v>41128</v>
      </c>
      <c r="B14" s="59"/>
      <c r="C14" s="60">
        <v>114.31217402617118</v>
      </c>
      <c r="D14" s="60">
        <v>1523.8792020161948</v>
      </c>
      <c r="E14" s="60">
        <v>14.466215865314039</v>
      </c>
      <c r="F14" s="60">
        <v>0</v>
      </c>
      <c r="G14" s="60">
        <v>4249.8354705810516</v>
      </c>
      <c r="H14" s="61">
        <v>34.86931769450505</v>
      </c>
      <c r="I14" s="59">
        <v>779.52985919316814</v>
      </c>
      <c r="J14" s="60">
        <v>1813.6441585540804</v>
      </c>
      <c r="K14" s="60">
        <v>29.86513943672168</v>
      </c>
      <c r="L14" s="60">
        <v>0</v>
      </c>
      <c r="M14" s="60">
        <v>0</v>
      </c>
      <c r="N14" s="61">
        <v>0</v>
      </c>
      <c r="O14" s="59">
        <v>0</v>
      </c>
      <c r="P14" s="60">
        <v>0</v>
      </c>
      <c r="Q14" s="60">
        <v>0</v>
      </c>
      <c r="R14" s="63">
        <v>0</v>
      </c>
      <c r="S14" s="60">
        <v>0</v>
      </c>
      <c r="T14" s="64">
        <v>0</v>
      </c>
      <c r="U14" s="65">
        <v>551.564541483109</v>
      </c>
      <c r="V14" s="62">
        <v>120.93496531891618</v>
      </c>
      <c r="W14" s="62">
        <v>47.202123736907886</v>
      </c>
      <c r="X14" s="62">
        <v>10.34944556398203</v>
      </c>
      <c r="Y14" s="66">
        <v>413.87106390293059</v>
      </c>
      <c r="Z14" s="66">
        <v>90.744562050743468</v>
      </c>
      <c r="AA14" s="67">
        <v>0</v>
      </c>
      <c r="AB14" s="68">
        <v>0</v>
      </c>
      <c r="AC14" s="69">
        <v>0</v>
      </c>
      <c r="AD14" s="69">
        <v>24.731483132309378</v>
      </c>
      <c r="AE14" s="68">
        <v>19.876032174159754</v>
      </c>
      <c r="AF14" s="68">
        <v>4.3579800383764917</v>
      </c>
      <c r="AG14" s="68">
        <v>0.82017092340482889</v>
      </c>
      <c r="AH14" s="69">
        <v>431.35028001467379</v>
      </c>
      <c r="AI14" s="69">
        <v>1201.1080661773681</v>
      </c>
      <c r="AJ14" s="69">
        <v>3301.9960791269937</v>
      </c>
      <c r="AK14" s="69">
        <v>897.65397030512486</v>
      </c>
      <c r="AL14" s="69">
        <v>3112.9025905609128</v>
      </c>
      <c r="AM14" s="69">
        <v>2636.1580312093101</v>
      </c>
      <c r="AN14" s="69">
        <v>665.17003520329808</v>
      </c>
      <c r="AO14" s="69">
        <v>3282.1352719624838</v>
      </c>
      <c r="AP14" s="69">
        <v>416.95578988393157</v>
      </c>
      <c r="AQ14" s="69">
        <v>1120.1198700269067</v>
      </c>
    </row>
    <row r="15" spans="1:47">
      <c r="A15" s="11">
        <v>41129</v>
      </c>
      <c r="B15" s="59"/>
      <c r="C15" s="60">
        <v>110.55365472237261</v>
      </c>
      <c r="D15" s="60">
        <v>1512.4986659367848</v>
      </c>
      <c r="E15" s="60">
        <v>14.245973719159798</v>
      </c>
      <c r="F15" s="60">
        <v>0</v>
      </c>
      <c r="G15" s="60">
        <v>4320.2288815816273</v>
      </c>
      <c r="H15" s="61">
        <v>36.011059514681499</v>
      </c>
      <c r="I15" s="59">
        <v>787.93938271204661</v>
      </c>
      <c r="J15" s="60">
        <v>1802.2928415934239</v>
      </c>
      <c r="K15" s="60">
        <v>29.638358688354355</v>
      </c>
      <c r="L15" s="60">
        <v>0</v>
      </c>
      <c r="M15" s="60">
        <v>0</v>
      </c>
      <c r="N15" s="61">
        <v>0</v>
      </c>
      <c r="O15" s="59">
        <v>0</v>
      </c>
      <c r="P15" s="60">
        <v>0</v>
      </c>
      <c r="Q15" s="60">
        <v>0</v>
      </c>
      <c r="R15" s="63">
        <v>0</v>
      </c>
      <c r="S15" s="60">
        <v>0</v>
      </c>
      <c r="T15" s="64">
        <v>0</v>
      </c>
      <c r="U15" s="65">
        <v>529.93729893537841</v>
      </c>
      <c r="V15" s="62">
        <v>122.07241309311976</v>
      </c>
      <c r="W15" s="62">
        <v>46.154026667465395</v>
      </c>
      <c r="X15" s="62">
        <v>10.631698166142366</v>
      </c>
      <c r="Y15" s="66">
        <v>438.93775258587613</v>
      </c>
      <c r="Z15" s="66">
        <v>101.11043469382703</v>
      </c>
      <c r="AA15" s="67">
        <v>0</v>
      </c>
      <c r="AB15" s="68">
        <v>0</v>
      </c>
      <c r="AC15" s="69">
        <v>0</v>
      </c>
      <c r="AD15" s="69">
        <v>24.215401257077772</v>
      </c>
      <c r="AE15" s="68">
        <v>19.405733501947545</v>
      </c>
      <c r="AF15" s="68">
        <v>4.4701603778102887</v>
      </c>
      <c r="AG15" s="68">
        <v>0.81277516141081008</v>
      </c>
      <c r="AH15" s="69">
        <v>435.34256707827245</v>
      </c>
      <c r="AI15" s="69">
        <v>1205.3840041478477</v>
      </c>
      <c r="AJ15" s="69">
        <v>3276.043318557739</v>
      </c>
      <c r="AK15" s="69">
        <v>856.58532778422034</v>
      </c>
      <c r="AL15" s="69">
        <v>3243.8698438008628</v>
      </c>
      <c r="AM15" s="69">
        <v>2631.050550460815</v>
      </c>
      <c r="AN15" s="69">
        <v>634.72632347742717</v>
      </c>
      <c r="AO15" s="69">
        <v>3041.0601282755533</v>
      </c>
      <c r="AP15" s="69">
        <v>415.93285168011988</v>
      </c>
      <c r="AQ15" s="69">
        <v>1109.6514633814493</v>
      </c>
    </row>
    <row r="16" spans="1:47">
      <c r="A16" s="11">
        <v>41130</v>
      </c>
      <c r="B16" s="59"/>
      <c r="C16" s="60">
        <v>116.04332774480174</v>
      </c>
      <c r="D16" s="60">
        <v>1498.7043383280411</v>
      </c>
      <c r="E16" s="60">
        <v>14.189361957212299</v>
      </c>
      <c r="F16" s="60">
        <v>0</v>
      </c>
      <c r="G16" s="60">
        <v>4332.1588933308858</v>
      </c>
      <c r="H16" s="61">
        <v>34.843331452210791</v>
      </c>
      <c r="I16" s="59">
        <v>802.99154872894098</v>
      </c>
      <c r="J16" s="60">
        <v>1823.1532789866212</v>
      </c>
      <c r="K16" s="60">
        <v>30.241329995791013</v>
      </c>
      <c r="L16" s="60">
        <v>0</v>
      </c>
      <c r="M16" s="60">
        <v>0</v>
      </c>
      <c r="N16" s="61">
        <v>0</v>
      </c>
      <c r="O16" s="59">
        <v>0</v>
      </c>
      <c r="P16" s="60">
        <v>0</v>
      </c>
      <c r="Q16" s="60">
        <v>0</v>
      </c>
      <c r="R16" s="63">
        <v>0</v>
      </c>
      <c r="S16" s="60">
        <v>0</v>
      </c>
      <c r="T16" s="64">
        <v>0</v>
      </c>
      <c r="U16" s="65">
        <v>527.56206626901974</v>
      </c>
      <c r="V16" s="62">
        <v>117.68879475053812</v>
      </c>
      <c r="W16" s="62">
        <v>44.309464112474771</v>
      </c>
      <c r="X16" s="62">
        <v>9.8845761681057471</v>
      </c>
      <c r="Y16" s="66">
        <v>441.40035399370873</v>
      </c>
      <c r="Z16" s="66">
        <v>98.467799308168367</v>
      </c>
      <c r="AA16" s="67">
        <v>0</v>
      </c>
      <c r="AB16" s="68">
        <v>0</v>
      </c>
      <c r="AC16" s="69">
        <v>0</v>
      </c>
      <c r="AD16" s="69">
        <v>24.645334774918027</v>
      </c>
      <c r="AE16" s="68">
        <v>19.899312952591885</v>
      </c>
      <c r="AF16" s="68">
        <v>4.4391481258625847</v>
      </c>
      <c r="AG16" s="68">
        <v>0.81760769049640847</v>
      </c>
      <c r="AH16" s="69">
        <v>416.43033803304041</v>
      </c>
      <c r="AI16" s="69">
        <v>1191.7991119384765</v>
      </c>
      <c r="AJ16" s="69">
        <v>3280.2107135772708</v>
      </c>
      <c r="AK16" s="69">
        <v>859.1668756484986</v>
      </c>
      <c r="AL16" s="69">
        <v>3184.5171760559087</v>
      </c>
      <c r="AM16" s="69">
        <v>2640.9440629323321</v>
      </c>
      <c r="AN16" s="69">
        <v>641.00449641545606</v>
      </c>
      <c r="AO16" s="69">
        <v>3016.0478148142497</v>
      </c>
      <c r="AP16" s="69">
        <v>440.88563645680745</v>
      </c>
      <c r="AQ16" s="69">
        <v>1038.4267691612245</v>
      </c>
    </row>
    <row r="17" spans="1:43">
      <c r="A17" s="11">
        <v>41131</v>
      </c>
      <c r="B17" s="49"/>
      <c r="C17" s="50">
        <v>110.27806072235121</v>
      </c>
      <c r="D17" s="50">
        <v>1520.2510245005246</v>
      </c>
      <c r="E17" s="50">
        <v>13.997066238522541</v>
      </c>
      <c r="F17" s="50">
        <v>0</v>
      </c>
      <c r="G17" s="50">
        <v>4498.5033978779975</v>
      </c>
      <c r="H17" s="51">
        <v>38.342450740933415</v>
      </c>
      <c r="I17" s="49">
        <v>816.92507076263496</v>
      </c>
      <c r="J17" s="50">
        <v>1825.7520936330202</v>
      </c>
      <c r="K17" s="50">
        <v>30.291426505645024</v>
      </c>
      <c r="L17" s="60">
        <v>0</v>
      </c>
      <c r="M17" s="50">
        <v>0</v>
      </c>
      <c r="N17" s="51">
        <v>0</v>
      </c>
      <c r="O17" s="49">
        <v>0</v>
      </c>
      <c r="P17" s="50">
        <v>0</v>
      </c>
      <c r="Q17" s="50">
        <v>0</v>
      </c>
      <c r="R17" s="70">
        <v>0</v>
      </c>
      <c r="S17" s="50">
        <v>0</v>
      </c>
      <c r="T17" s="52">
        <v>0</v>
      </c>
      <c r="U17" s="71">
        <v>532.23604372710236</v>
      </c>
      <c r="V17" s="66">
        <v>111.7047919289576</v>
      </c>
      <c r="W17" s="62">
        <v>45.446773561524111</v>
      </c>
      <c r="X17" s="62">
        <v>9.5382912231616555</v>
      </c>
      <c r="Y17" s="66">
        <v>521.49699919826958</v>
      </c>
      <c r="Z17" s="66">
        <v>109.45089960289756</v>
      </c>
      <c r="AA17" s="67">
        <v>0</v>
      </c>
      <c r="AB17" s="68">
        <v>0</v>
      </c>
      <c r="AC17" s="69">
        <v>0</v>
      </c>
      <c r="AD17" s="69">
        <v>24.275935919417282</v>
      </c>
      <c r="AE17" s="68">
        <v>19.79284086739786</v>
      </c>
      <c r="AF17" s="68">
        <v>4.154087639936856</v>
      </c>
      <c r="AG17" s="68">
        <v>0.82652941738793362</v>
      </c>
      <c r="AH17" s="69">
        <v>424.25591506958006</v>
      </c>
      <c r="AI17" s="69">
        <v>1187.3893220901491</v>
      </c>
      <c r="AJ17" s="69">
        <v>3365.2516630808514</v>
      </c>
      <c r="AK17" s="69">
        <v>856.63893327713015</v>
      </c>
      <c r="AL17" s="69">
        <v>3027.8369186401369</v>
      </c>
      <c r="AM17" s="69">
        <v>2621.3822130839035</v>
      </c>
      <c r="AN17" s="69">
        <v>641.90736738840735</v>
      </c>
      <c r="AO17" s="69">
        <v>2973.3263131459548</v>
      </c>
      <c r="AP17" s="69">
        <v>506.78499422073361</v>
      </c>
      <c r="AQ17" s="69">
        <v>1010.3211739857993</v>
      </c>
    </row>
    <row r="18" spans="1:43">
      <c r="A18" s="11">
        <v>41132</v>
      </c>
      <c r="B18" s="59"/>
      <c r="C18" s="60">
        <v>108.99329662323017</v>
      </c>
      <c r="D18" s="60">
        <v>1523.3275510152146</v>
      </c>
      <c r="E18" s="60">
        <v>14.01770553688208</v>
      </c>
      <c r="F18" s="60">
        <v>0</v>
      </c>
      <c r="G18" s="60">
        <v>4584.7879529317388</v>
      </c>
      <c r="H18" s="61">
        <v>34.681099035342577</v>
      </c>
      <c r="I18" s="59">
        <v>815.08341757456503</v>
      </c>
      <c r="J18" s="60">
        <v>1812.3398838043227</v>
      </c>
      <c r="K18" s="60">
        <v>29.847414410114204</v>
      </c>
      <c r="L18" s="60">
        <v>0</v>
      </c>
      <c r="M18" s="60">
        <v>0</v>
      </c>
      <c r="N18" s="61">
        <v>0</v>
      </c>
      <c r="O18" s="59">
        <v>0</v>
      </c>
      <c r="P18" s="60">
        <v>0</v>
      </c>
      <c r="Q18" s="60">
        <v>0</v>
      </c>
      <c r="R18" s="63">
        <v>0</v>
      </c>
      <c r="S18" s="60">
        <v>0</v>
      </c>
      <c r="T18" s="64">
        <v>0</v>
      </c>
      <c r="U18" s="65">
        <v>537.96964766598353</v>
      </c>
      <c r="V18" s="62">
        <v>118.36078124162262</v>
      </c>
      <c r="W18" s="62">
        <v>46.283983321809835</v>
      </c>
      <c r="X18" s="62">
        <v>10.18311804153117</v>
      </c>
      <c r="Y18" s="66">
        <v>493.96175909880657</v>
      </c>
      <c r="Z18" s="66">
        <v>108.67843560334342</v>
      </c>
      <c r="AA18" s="67">
        <v>0</v>
      </c>
      <c r="AB18" s="68">
        <v>0</v>
      </c>
      <c r="AC18" s="69">
        <v>0</v>
      </c>
      <c r="AD18" s="69">
        <v>24.867493251959438</v>
      </c>
      <c r="AE18" s="68">
        <v>20.001552139543982</v>
      </c>
      <c r="AF18" s="68">
        <v>4.4006187850050482</v>
      </c>
      <c r="AG18" s="68">
        <v>0.81966281612354641</v>
      </c>
      <c r="AH18" s="69">
        <v>436.8280044237772</v>
      </c>
      <c r="AI18" s="69">
        <v>1192.9784755071003</v>
      </c>
      <c r="AJ18" s="69">
        <v>3321.2996489206944</v>
      </c>
      <c r="AK18" s="69">
        <v>854.00507650375368</v>
      </c>
      <c r="AL18" s="69">
        <v>3149.9472110748297</v>
      </c>
      <c r="AM18" s="69">
        <v>2597.1801066080725</v>
      </c>
      <c r="AN18" s="69">
        <v>637.67370630900064</v>
      </c>
      <c r="AO18" s="69">
        <v>2997.6565411885581</v>
      </c>
      <c r="AP18" s="69">
        <v>503.03344020843508</v>
      </c>
      <c r="AQ18" s="69">
        <v>932.63891681035363</v>
      </c>
    </row>
    <row r="19" spans="1:43">
      <c r="A19" s="11">
        <v>41133</v>
      </c>
      <c r="B19" s="59"/>
      <c r="C19" s="60">
        <v>110.69106201330851</v>
      </c>
      <c r="D19" s="60">
        <v>1524.6365326563464</v>
      </c>
      <c r="E19" s="60">
        <v>14.007592714826302</v>
      </c>
      <c r="F19" s="60">
        <v>0</v>
      </c>
      <c r="G19" s="60">
        <v>4526.6889439900569</v>
      </c>
      <c r="H19" s="61">
        <v>35.840195268392627</v>
      </c>
      <c r="I19" s="59">
        <v>803.62386633555343</v>
      </c>
      <c r="J19" s="60">
        <v>1811.3103792826325</v>
      </c>
      <c r="K19" s="60">
        <v>29.788960198561231</v>
      </c>
      <c r="L19" s="60">
        <v>0</v>
      </c>
      <c r="M19" s="60">
        <v>0</v>
      </c>
      <c r="N19" s="61">
        <v>0</v>
      </c>
      <c r="O19" s="59">
        <v>0</v>
      </c>
      <c r="P19" s="60">
        <v>0</v>
      </c>
      <c r="Q19" s="60">
        <v>0</v>
      </c>
      <c r="R19" s="63">
        <v>0</v>
      </c>
      <c r="S19" s="60">
        <v>0</v>
      </c>
      <c r="T19" s="64">
        <v>0</v>
      </c>
      <c r="U19" s="65">
        <v>537.88355262788332</v>
      </c>
      <c r="V19" s="62">
        <v>118.33483908727916</v>
      </c>
      <c r="W19" s="62">
        <v>47.166260099440755</v>
      </c>
      <c r="X19" s="62">
        <v>10.376617340217111</v>
      </c>
      <c r="Y19" s="66">
        <v>473.89753451274311</v>
      </c>
      <c r="Z19" s="66">
        <v>104.25786067717871</v>
      </c>
      <c r="AA19" s="67">
        <v>0</v>
      </c>
      <c r="AB19" s="68">
        <v>0</v>
      </c>
      <c r="AC19" s="69">
        <v>0</v>
      </c>
      <c r="AD19" s="69">
        <v>24.871673712465448</v>
      </c>
      <c r="AE19" s="68">
        <v>20.000526124338542</v>
      </c>
      <c r="AF19" s="68">
        <v>4.4001327592589314</v>
      </c>
      <c r="AG19" s="68">
        <v>0.8196715596800227</v>
      </c>
      <c r="AH19" s="69">
        <v>409.55437746047971</v>
      </c>
      <c r="AI19" s="69">
        <v>1160.3109622319539</v>
      </c>
      <c r="AJ19" s="69">
        <v>3286.092561340331</v>
      </c>
      <c r="AK19" s="69">
        <v>845.70191574096668</v>
      </c>
      <c r="AL19" s="69">
        <v>3247.9715445200604</v>
      </c>
      <c r="AM19" s="69">
        <v>2592.7101108551028</v>
      </c>
      <c r="AN19" s="69">
        <v>575.75103149414076</v>
      </c>
      <c r="AO19" s="69">
        <v>2998.2095516204836</v>
      </c>
      <c r="AP19" s="69">
        <v>459.87902450561518</v>
      </c>
      <c r="AQ19" s="69">
        <v>865.9945654233295</v>
      </c>
    </row>
    <row r="20" spans="1:43">
      <c r="A20" s="11">
        <v>41134</v>
      </c>
      <c r="B20" s="59"/>
      <c r="C20" s="60">
        <v>118.88453029791508</v>
      </c>
      <c r="D20" s="60">
        <v>1517.7696036020889</v>
      </c>
      <c r="E20" s="60">
        <v>14.05889671941603</v>
      </c>
      <c r="F20" s="60">
        <v>0</v>
      </c>
      <c r="G20" s="60">
        <v>4516.8369555155323</v>
      </c>
      <c r="H20" s="61">
        <v>34.531850959857337</v>
      </c>
      <c r="I20" s="59">
        <v>811.76480795542466</v>
      </c>
      <c r="J20" s="60">
        <v>1814.2756785074855</v>
      </c>
      <c r="K20" s="60">
        <v>29.764707533518397</v>
      </c>
      <c r="L20" s="60">
        <v>0</v>
      </c>
      <c r="M20" s="60">
        <v>0</v>
      </c>
      <c r="N20" s="61">
        <v>0</v>
      </c>
      <c r="O20" s="59">
        <v>0</v>
      </c>
      <c r="P20" s="60">
        <v>0</v>
      </c>
      <c r="Q20" s="60">
        <v>0</v>
      </c>
      <c r="R20" s="63">
        <v>0</v>
      </c>
      <c r="S20" s="60">
        <v>0</v>
      </c>
      <c r="T20" s="64">
        <v>0</v>
      </c>
      <c r="U20" s="65">
        <v>524.30121897778963</v>
      </c>
      <c r="V20" s="62">
        <v>118.93735172296245</v>
      </c>
      <c r="W20" s="62">
        <v>44.971841555290069</v>
      </c>
      <c r="X20" s="62">
        <v>10.201829679357392</v>
      </c>
      <c r="Y20" s="66">
        <v>460.49932618310891</v>
      </c>
      <c r="Z20" s="66">
        <v>104.46393856037899</v>
      </c>
      <c r="AA20" s="67">
        <v>0</v>
      </c>
      <c r="AB20" s="68">
        <v>0</v>
      </c>
      <c r="AC20" s="69">
        <v>0</v>
      </c>
      <c r="AD20" s="69">
        <v>24.392251853810453</v>
      </c>
      <c r="AE20" s="68">
        <v>19.474810651679235</v>
      </c>
      <c r="AF20" s="68">
        <v>4.4178466888420305</v>
      </c>
      <c r="AG20" s="68">
        <v>0.81509605123120865</v>
      </c>
      <c r="AH20" s="69">
        <v>419.30626230239858</v>
      </c>
      <c r="AI20" s="69">
        <v>1164.832475980123</v>
      </c>
      <c r="AJ20" s="69">
        <v>3223.4612723032637</v>
      </c>
      <c r="AK20" s="69">
        <v>840.96512489318854</v>
      </c>
      <c r="AL20" s="69">
        <v>3295.0508934020991</v>
      </c>
      <c r="AM20" s="69">
        <v>2597.0575422922775</v>
      </c>
      <c r="AN20" s="69">
        <v>556.86754248936961</v>
      </c>
      <c r="AO20" s="69">
        <v>3040.3303092956544</v>
      </c>
      <c r="AP20" s="69">
        <v>436.68520024617521</v>
      </c>
      <c r="AQ20" s="69">
        <v>928.12359301249171</v>
      </c>
    </row>
    <row r="21" spans="1:43">
      <c r="A21" s="11">
        <v>41135</v>
      </c>
      <c r="B21" s="59"/>
      <c r="C21" s="60">
        <v>122.21328206857035</v>
      </c>
      <c r="D21" s="60">
        <v>1543.2618680953974</v>
      </c>
      <c r="E21" s="60">
        <v>14.485412288705533</v>
      </c>
      <c r="F21" s="60">
        <v>0</v>
      </c>
      <c r="G21" s="60">
        <v>4516.1051806132</v>
      </c>
      <c r="H21" s="61">
        <v>35.966809948285402</v>
      </c>
      <c r="I21" s="59">
        <v>807.4382200876895</v>
      </c>
      <c r="J21" s="60">
        <v>1831.4484836578406</v>
      </c>
      <c r="K21" s="60">
        <v>30.217689029375602</v>
      </c>
      <c r="L21" s="60">
        <v>0</v>
      </c>
      <c r="M21" s="60">
        <v>0</v>
      </c>
      <c r="N21" s="61">
        <v>0</v>
      </c>
      <c r="O21" s="59">
        <v>0</v>
      </c>
      <c r="P21" s="60">
        <v>0</v>
      </c>
      <c r="Q21" s="60">
        <v>0</v>
      </c>
      <c r="R21" s="63">
        <v>0</v>
      </c>
      <c r="S21" s="60">
        <v>0</v>
      </c>
      <c r="T21" s="64">
        <v>0</v>
      </c>
      <c r="U21" s="65">
        <v>535.05189557487449</v>
      </c>
      <c r="V21" s="62">
        <v>123.00163437643486</v>
      </c>
      <c r="W21" s="62">
        <v>45.659994977158334</v>
      </c>
      <c r="X21" s="62">
        <v>10.496652856030019</v>
      </c>
      <c r="Y21" s="66">
        <v>463.2065690975835</v>
      </c>
      <c r="Z21" s="66">
        <v>106.48530642375933</v>
      </c>
      <c r="AA21" s="67">
        <v>0</v>
      </c>
      <c r="AB21" s="68">
        <v>0</v>
      </c>
      <c r="AC21" s="69">
        <v>0</v>
      </c>
      <c r="AD21" s="69">
        <v>24.816110032134567</v>
      </c>
      <c r="AE21" s="68">
        <v>19.87016842560557</v>
      </c>
      <c r="AF21" s="68">
        <v>4.5678993232208791</v>
      </c>
      <c r="AG21" s="68">
        <v>0.81308263115686652</v>
      </c>
      <c r="AH21" s="69">
        <v>404.24102584520978</v>
      </c>
      <c r="AI21" s="69">
        <v>1161.1818843841554</v>
      </c>
      <c r="AJ21" s="69">
        <v>3201.5422835032141</v>
      </c>
      <c r="AK21" s="69">
        <v>850.32462851206481</v>
      </c>
      <c r="AL21" s="69">
        <v>3590.9966949462887</v>
      </c>
      <c r="AM21" s="69">
        <v>2611.6830268859867</v>
      </c>
      <c r="AN21" s="69">
        <v>565.00194336573281</v>
      </c>
      <c r="AO21" s="69">
        <v>3030.0287581125899</v>
      </c>
      <c r="AP21" s="69">
        <v>432.31884218851724</v>
      </c>
      <c r="AQ21" s="69">
        <v>986.93932714462278</v>
      </c>
    </row>
    <row r="22" spans="1:43">
      <c r="A22" s="11">
        <v>41136</v>
      </c>
      <c r="B22" s="59"/>
      <c r="C22" s="60">
        <v>141.03776251474969</v>
      </c>
      <c r="D22" s="60">
        <v>1653.555793062847</v>
      </c>
      <c r="E22" s="60">
        <v>14.780167661110584</v>
      </c>
      <c r="F22" s="60">
        <v>0</v>
      </c>
      <c r="G22" s="60">
        <v>4559.0826693216995</v>
      </c>
      <c r="H22" s="61">
        <v>35.243650354941757</v>
      </c>
      <c r="I22" s="59">
        <v>834.27302824655953</v>
      </c>
      <c r="J22" s="60">
        <v>1798.2036492665604</v>
      </c>
      <c r="K22" s="60">
        <v>29.471248571077872</v>
      </c>
      <c r="L22" s="60">
        <v>0</v>
      </c>
      <c r="M22" s="60">
        <v>0</v>
      </c>
      <c r="N22" s="61">
        <v>0</v>
      </c>
      <c r="O22" s="59">
        <v>0</v>
      </c>
      <c r="P22" s="60">
        <v>0</v>
      </c>
      <c r="Q22" s="60">
        <v>0</v>
      </c>
      <c r="R22" s="63">
        <v>0</v>
      </c>
      <c r="S22" s="60">
        <v>0</v>
      </c>
      <c r="T22" s="64">
        <v>0</v>
      </c>
      <c r="U22" s="65">
        <v>538.3360378494931</v>
      </c>
      <c r="V22" s="62">
        <v>126.53573194963548</v>
      </c>
      <c r="W22" s="62">
        <v>45.986972245074476</v>
      </c>
      <c r="X22" s="62">
        <v>10.809224692486469</v>
      </c>
      <c r="Y22" s="66">
        <v>461.10445851418717</v>
      </c>
      <c r="Z22" s="66">
        <v>108.38247128394052</v>
      </c>
      <c r="AA22" s="67">
        <v>0</v>
      </c>
      <c r="AB22" s="68">
        <v>0</v>
      </c>
      <c r="AC22" s="69">
        <v>0</v>
      </c>
      <c r="AD22" s="69">
        <v>25.016490415732044</v>
      </c>
      <c r="AE22" s="68">
        <v>19.99979041235985</v>
      </c>
      <c r="AF22" s="68">
        <v>4.7009450245550557</v>
      </c>
      <c r="AG22" s="68">
        <v>0.8096840057025364</v>
      </c>
      <c r="AH22" s="69">
        <v>415.45435886383063</v>
      </c>
      <c r="AI22" s="69">
        <v>1179.1550995508828</v>
      </c>
      <c r="AJ22" s="69">
        <v>3272.983966827393</v>
      </c>
      <c r="AK22" s="69">
        <v>852.06278638839717</v>
      </c>
      <c r="AL22" s="69">
        <v>3776.2822382609047</v>
      </c>
      <c r="AM22" s="69">
        <v>2620.5409528096516</v>
      </c>
      <c r="AN22" s="69">
        <v>606.31420720418282</v>
      </c>
      <c r="AO22" s="69">
        <v>3170.9770154317221</v>
      </c>
      <c r="AP22" s="69">
        <v>468.51293649673465</v>
      </c>
      <c r="AQ22" s="69">
        <v>993.25246861775759</v>
      </c>
    </row>
    <row r="23" spans="1:43">
      <c r="A23" s="11">
        <v>41137</v>
      </c>
      <c r="B23" s="59"/>
      <c r="C23" s="60">
        <v>148.70272929668428</v>
      </c>
      <c r="D23" s="60">
        <v>1618.6793338775669</v>
      </c>
      <c r="E23" s="60">
        <v>14.680830888946879</v>
      </c>
      <c r="F23" s="60">
        <v>0</v>
      </c>
      <c r="G23" s="60">
        <v>4697.8293596903577</v>
      </c>
      <c r="H23" s="61">
        <v>34.579561819632907</v>
      </c>
      <c r="I23" s="59">
        <v>817.59699954986479</v>
      </c>
      <c r="J23" s="60">
        <v>1800.5193110148139</v>
      </c>
      <c r="K23" s="60">
        <v>29.471450134118328</v>
      </c>
      <c r="L23" s="60">
        <v>0</v>
      </c>
      <c r="M23" s="60">
        <v>0</v>
      </c>
      <c r="N23" s="61">
        <v>0</v>
      </c>
      <c r="O23" s="59">
        <v>0</v>
      </c>
      <c r="P23" s="60">
        <v>0</v>
      </c>
      <c r="Q23" s="60">
        <v>0</v>
      </c>
      <c r="R23" s="63">
        <v>0</v>
      </c>
      <c r="S23" s="60">
        <v>0</v>
      </c>
      <c r="T23" s="64">
        <v>0</v>
      </c>
      <c r="U23" s="65">
        <v>519.69821861808896</v>
      </c>
      <c r="V23" s="62">
        <v>120.93453657668657</v>
      </c>
      <c r="W23" s="62">
        <v>45.092517380612165</v>
      </c>
      <c r="X23" s="62">
        <v>10.493094832999505</v>
      </c>
      <c r="Y23" s="66">
        <v>425.53126993363787</v>
      </c>
      <c r="Z23" s="66">
        <v>99.021749709192122</v>
      </c>
      <c r="AA23" s="67">
        <v>0</v>
      </c>
      <c r="AB23" s="68">
        <v>0</v>
      </c>
      <c r="AC23" s="69">
        <v>0</v>
      </c>
      <c r="AD23" s="69">
        <v>24.111375985542935</v>
      </c>
      <c r="AE23" s="68">
        <v>19.309053887316676</v>
      </c>
      <c r="AF23" s="68">
        <v>4.4932451179189634</v>
      </c>
      <c r="AG23" s="68">
        <v>0.81122642325724026</v>
      </c>
      <c r="AH23" s="69">
        <v>410.5830006917318</v>
      </c>
      <c r="AI23" s="69">
        <v>1151.1354567209883</v>
      </c>
      <c r="AJ23" s="69">
        <v>3197.6605178833011</v>
      </c>
      <c r="AK23" s="69">
        <v>844.37005958557143</v>
      </c>
      <c r="AL23" s="69">
        <v>3619.9083974202472</v>
      </c>
      <c r="AM23" s="69">
        <v>2634.0732481638588</v>
      </c>
      <c r="AN23" s="69">
        <v>570.63699900309234</v>
      </c>
      <c r="AO23" s="69">
        <v>2967.0076136271159</v>
      </c>
      <c r="AP23" s="69">
        <v>440.26034345626834</v>
      </c>
      <c r="AQ23" s="69">
        <v>877.18995923995976</v>
      </c>
    </row>
    <row r="24" spans="1:43">
      <c r="A24" s="11">
        <v>41138</v>
      </c>
      <c r="B24" s="59"/>
      <c r="C24" s="60">
        <v>143.80077434380871</v>
      </c>
      <c r="D24" s="60">
        <v>1623.1582603454613</v>
      </c>
      <c r="E24" s="60">
        <v>14.431734369695214</v>
      </c>
      <c r="F24" s="60">
        <v>0</v>
      </c>
      <c r="G24" s="60">
        <v>4516.2696632385132</v>
      </c>
      <c r="H24" s="61">
        <v>36.255514448881236</v>
      </c>
      <c r="I24" s="59">
        <v>782.54312006632563</v>
      </c>
      <c r="J24" s="60">
        <v>1772.7861208597858</v>
      </c>
      <c r="K24" s="60">
        <v>28.948842253287506</v>
      </c>
      <c r="L24" s="60">
        <v>0</v>
      </c>
      <c r="M24" s="60">
        <v>0</v>
      </c>
      <c r="N24" s="61">
        <v>0</v>
      </c>
      <c r="O24" s="59">
        <v>0</v>
      </c>
      <c r="P24" s="60">
        <v>0</v>
      </c>
      <c r="Q24" s="60">
        <v>0</v>
      </c>
      <c r="R24" s="63">
        <v>0</v>
      </c>
      <c r="S24" s="60">
        <v>0</v>
      </c>
      <c r="T24" s="64">
        <v>0</v>
      </c>
      <c r="U24" s="65">
        <v>514.67497444070227</v>
      </c>
      <c r="V24" s="62">
        <v>122.24695137953901</v>
      </c>
      <c r="W24" s="62">
        <v>43.489933319957345</v>
      </c>
      <c r="X24" s="62">
        <v>10.32984315944578</v>
      </c>
      <c r="Y24" s="66">
        <v>443.59414829876084</v>
      </c>
      <c r="Z24" s="66">
        <v>105.36364690794667</v>
      </c>
      <c r="AA24" s="67">
        <v>0</v>
      </c>
      <c r="AB24" s="68">
        <v>0</v>
      </c>
      <c r="AC24" s="69">
        <v>0</v>
      </c>
      <c r="AD24" s="69">
        <v>23.997714403933951</v>
      </c>
      <c r="AE24" s="68">
        <v>19.120487372993725</v>
      </c>
      <c r="AF24" s="68">
        <v>4.5415483680346664</v>
      </c>
      <c r="AG24" s="68">
        <v>0.80806603380452502</v>
      </c>
      <c r="AH24" s="69">
        <v>403.88716297149659</v>
      </c>
      <c r="AI24" s="69">
        <v>1146.0479959487914</v>
      </c>
      <c r="AJ24" s="69">
        <v>3163.6203000386549</v>
      </c>
      <c r="AK24" s="69">
        <v>842.79085292816171</v>
      </c>
      <c r="AL24" s="69">
        <v>3456.9164329528799</v>
      </c>
      <c r="AM24" s="69">
        <v>2599.6002291361488</v>
      </c>
      <c r="AN24" s="69">
        <v>539.56509428024299</v>
      </c>
      <c r="AO24" s="69">
        <v>2875.9356800079349</v>
      </c>
      <c r="AP24" s="69">
        <v>440.17752844492588</v>
      </c>
      <c r="AQ24" s="69">
        <v>862.66710472106934</v>
      </c>
    </row>
    <row r="25" spans="1:43">
      <c r="A25" s="11">
        <v>41139</v>
      </c>
      <c r="B25" s="59"/>
      <c r="C25" s="60">
        <v>143.58071835835779</v>
      </c>
      <c r="D25" s="60">
        <v>1604.4343723297168</v>
      </c>
      <c r="E25" s="60">
        <v>14.347604173918556</v>
      </c>
      <c r="F25" s="60">
        <v>0</v>
      </c>
      <c r="G25" s="60">
        <v>4517.1013643900542</v>
      </c>
      <c r="H25" s="61">
        <v>35.270580919583693</v>
      </c>
      <c r="I25" s="59">
        <v>733.24644160270657</v>
      </c>
      <c r="J25" s="60">
        <v>1677.2838117917413</v>
      </c>
      <c r="K25" s="60">
        <v>27.398406370977533</v>
      </c>
      <c r="L25" s="60">
        <v>0</v>
      </c>
      <c r="M25" s="60">
        <v>0</v>
      </c>
      <c r="N25" s="61">
        <v>0</v>
      </c>
      <c r="O25" s="59">
        <v>0</v>
      </c>
      <c r="P25" s="60">
        <v>0</v>
      </c>
      <c r="Q25" s="60">
        <v>0</v>
      </c>
      <c r="R25" s="63">
        <v>0</v>
      </c>
      <c r="S25" s="60">
        <v>0</v>
      </c>
      <c r="T25" s="64">
        <v>0</v>
      </c>
      <c r="U25" s="65">
        <v>498.66102414479087</v>
      </c>
      <c r="V25" s="62">
        <v>122.47721743235775</v>
      </c>
      <c r="W25" s="62">
        <v>42.114523190035285</v>
      </c>
      <c r="X25" s="62">
        <v>10.343839530374707</v>
      </c>
      <c r="Y25" s="66">
        <v>426.93439474432915</v>
      </c>
      <c r="Z25" s="66">
        <v>104.86028416624444</v>
      </c>
      <c r="AA25" s="67">
        <v>0</v>
      </c>
      <c r="AB25" s="68">
        <v>0</v>
      </c>
      <c r="AC25" s="69">
        <v>0</v>
      </c>
      <c r="AD25" s="69">
        <v>23.509541598955821</v>
      </c>
      <c r="AE25" s="68">
        <v>18.523830970158755</v>
      </c>
      <c r="AF25" s="68">
        <v>4.5496783657862618</v>
      </c>
      <c r="AG25" s="68">
        <v>0.80281810193915515</v>
      </c>
      <c r="AH25" s="69">
        <v>408.94711345036825</v>
      </c>
      <c r="AI25" s="69">
        <v>1150.418667825063</v>
      </c>
      <c r="AJ25" s="69">
        <v>3201.7449447631834</v>
      </c>
      <c r="AK25" s="69">
        <v>842.29503482182827</v>
      </c>
      <c r="AL25" s="69">
        <v>3436.847405624389</v>
      </c>
      <c r="AM25" s="69">
        <v>2636.8396410624191</v>
      </c>
      <c r="AN25" s="69">
        <v>545.51885865529391</v>
      </c>
      <c r="AO25" s="69">
        <v>2995.596653238932</v>
      </c>
      <c r="AP25" s="69">
        <v>442.0323554674784</v>
      </c>
      <c r="AQ25" s="69">
        <v>878.49033247629814</v>
      </c>
    </row>
    <row r="26" spans="1:43">
      <c r="A26" s="11">
        <v>41140</v>
      </c>
      <c r="B26" s="59"/>
      <c r="C26" s="60">
        <v>139.77022728919994</v>
      </c>
      <c r="D26" s="60">
        <v>1579.74352970123</v>
      </c>
      <c r="E26" s="60">
        <v>14.36050646305088</v>
      </c>
      <c r="F26" s="60">
        <v>0</v>
      </c>
      <c r="G26" s="60">
        <v>4424.1332661946508</v>
      </c>
      <c r="H26" s="61">
        <v>35.018725456794165</v>
      </c>
      <c r="I26" s="59">
        <v>659.54093049367259</v>
      </c>
      <c r="J26" s="60">
        <v>1544.270224825535</v>
      </c>
      <c r="K26" s="60">
        <v>25.118548355499936</v>
      </c>
      <c r="L26" s="60">
        <v>0</v>
      </c>
      <c r="M26" s="60">
        <v>0</v>
      </c>
      <c r="N26" s="61">
        <v>0</v>
      </c>
      <c r="O26" s="59">
        <v>0</v>
      </c>
      <c r="P26" s="60">
        <v>0</v>
      </c>
      <c r="Q26" s="60">
        <v>0</v>
      </c>
      <c r="R26" s="63">
        <v>0</v>
      </c>
      <c r="S26" s="60">
        <v>0</v>
      </c>
      <c r="T26" s="64">
        <v>0</v>
      </c>
      <c r="U26" s="65">
        <v>456.77686284982212</v>
      </c>
      <c r="V26" s="62">
        <v>122.2429850624337</v>
      </c>
      <c r="W26" s="62">
        <v>38.983316801682783</v>
      </c>
      <c r="X26" s="62">
        <v>10.432746054037759</v>
      </c>
      <c r="Y26" s="66">
        <v>381.09488050912393</v>
      </c>
      <c r="Z26" s="66">
        <v>101.98891313101223</v>
      </c>
      <c r="AA26" s="67">
        <v>0</v>
      </c>
      <c r="AB26" s="68">
        <v>0</v>
      </c>
      <c r="AC26" s="69">
        <v>0</v>
      </c>
      <c r="AD26" s="69">
        <v>21.93296274741494</v>
      </c>
      <c r="AE26" s="68">
        <v>17.000611856935219</v>
      </c>
      <c r="AF26" s="68">
        <v>4.5497171820693367</v>
      </c>
      <c r="AG26" s="68">
        <v>0.78887945637235168</v>
      </c>
      <c r="AH26" s="69">
        <v>405.41176175276445</v>
      </c>
      <c r="AI26" s="69">
        <v>1148.9578264236452</v>
      </c>
      <c r="AJ26" s="69">
        <v>3165.8790128072105</v>
      </c>
      <c r="AK26" s="69">
        <v>827.07863381703692</v>
      </c>
      <c r="AL26" s="69">
        <v>3207.2624451955162</v>
      </c>
      <c r="AM26" s="69">
        <v>2662.3481822967528</v>
      </c>
      <c r="AN26" s="69">
        <v>535.97387291590371</v>
      </c>
      <c r="AO26" s="69">
        <v>2596.3711741129559</v>
      </c>
      <c r="AP26" s="69">
        <v>435.05699084599809</v>
      </c>
      <c r="AQ26" s="69">
        <v>884.68672558466608</v>
      </c>
    </row>
    <row r="27" spans="1:43">
      <c r="A27" s="11">
        <v>41141</v>
      </c>
      <c r="B27" s="59"/>
      <c r="C27" s="60">
        <v>136.31944503784183</v>
      </c>
      <c r="D27" s="60">
        <v>1551.2659205754576</v>
      </c>
      <c r="E27" s="60">
        <v>14.031135711570586</v>
      </c>
      <c r="F27" s="60">
        <v>0</v>
      </c>
      <c r="G27" s="60">
        <v>4237.1097226460761</v>
      </c>
      <c r="H27" s="61">
        <v>37.489607344071082</v>
      </c>
      <c r="I27" s="59">
        <v>809.92367038726798</v>
      </c>
      <c r="J27" s="60">
        <v>1760.3618459701554</v>
      </c>
      <c r="K27" s="60">
        <v>28.662300179401896</v>
      </c>
      <c r="L27" s="60">
        <v>0</v>
      </c>
      <c r="M27" s="60">
        <v>0</v>
      </c>
      <c r="N27" s="61">
        <v>0</v>
      </c>
      <c r="O27" s="59">
        <v>0</v>
      </c>
      <c r="P27" s="60">
        <v>0</v>
      </c>
      <c r="Q27" s="60">
        <v>0</v>
      </c>
      <c r="R27" s="63">
        <v>0</v>
      </c>
      <c r="S27" s="60">
        <v>0</v>
      </c>
      <c r="T27" s="64">
        <v>0</v>
      </c>
      <c r="U27" s="65">
        <v>521.93281854519159</v>
      </c>
      <c r="V27" s="62">
        <v>119.35683137580273</v>
      </c>
      <c r="W27" s="62">
        <v>44.685885948856814</v>
      </c>
      <c r="X27" s="62">
        <v>10.218874086022334</v>
      </c>
      <c r="Y27" s="62">
        <v>442.1849686127739</v>
      </c>
      <c r="Z27" s="62">
        <v>101.11990444045954</v>
      </c>
      <c r="AA27" s="72">
        <v>0</v>
      </c>
      <c r="AB27" s="69">
        <v>0</v>
      </c>
      <c r="AC27" s="69">
        <v>0</v>
      </c>
      <c r="AD27" s="69">
        <v>24.275591017140258</v>
      </c>
      <c r="AE27" s="69">
        <v>19.3967917038214</v>
      </c>
      <c r="AF27" s="69">
        <v>4.4357042024636026</v>
      </c>
      <c r="AG27" s="69">
        <v>0.81387999729840133</v>
      </c>
      <c r="AH27" s="69">
        <v>410.16774741808575</v>
      </c>
      <c r="AI27" s="69">
        <v>1142.9921141306559</v>
      </c>
      <c r="AJ27" s="69">
        <v>3115.9689523061111</v>
      </c>
      <c r="AK27" s="69">
        <v>826.02393309275317</v>
      </c>
      <c r="AL27" s="69">
        <v>3162.7438213348387</v>
      </c>
      <c r="AM27" s="69">
        <v>2646.2743081410731</v>
      </c>
      <c r="AN27" s="69">
        <v>521.46844695409129</v>
      </c>
      <c r="AO27" s="69">
        <v>2845.5188789367676</v>
      </c>
      <c r="AP27" s="69">
        <v>411.7707421779632</v>
      </c>
      <c r="AQ27" s="69">
        <v>961.26014188130716</v>
      </c>
    </row>
    <row r="28" spans="1:43">
      <c r="A28" s="11">
        <v>41142</v>
      </c>
      <c r="B28" s="59"/>
      <c r="C28" s="60">
        <v>138.3701730449994</v>
      </c>
      <c r="D28" s="60">
        <v>1553.6177547454818</v>
      </c>
      <c r="E28" s="60">
        <v>13.792000793417305</v>
      </c>
      <c r="F28" s="60">
        <v>0</v>
      </c>
      <c r="G28" s="60">
        <v>4273.522374979666</v>
      </c>
      <c r="H28" s="61">
        <v>32.83369170029961</v>
      </c>
      <c r="I28" s="59">
        <v>830.9729477087659</v>
      </c>
      <c r="J28" s="60">
        <v>1763.2464275360085</v>
      </c>
      <c r="K28" s="60">
        <v>28.810340354343204</v>
      </c>
      <c r="L28" s="60">
        <v>0</v>
      </c>
      <c r="M28" s="60">
        <v>0</v>
      </c>
      <c r="N28" s="61">
        <v>0</v>
      </c>
      <c r="O28" s="59">
        <v>0</v>
      </c>
      <c r="P28" s="60">
        <v>0</v>
      </c>
      <c r="Q28" s="60">
        <v>0</v>
      </c>
      <c r="R28" s="63">
        <v>0</v>
      </c>
      <c r="S28" s="60">
        <v>0</v>
      </c>
      <c r="T28" s="64">
        <v>0</v>
      </c>
      <c r="U28" s="65">
        <v>521.13381257898698</v>
      </c>
      <c r="V28" s="62">
        <v>115.75198591768277</v>
      </c>
      <c r="W28" s="62">
        <v>44.231656859659566</v>
      </c>
      <c r="X28" s="62">
        <v>9.824544096645198</v>
      </c>
      <c r="Y28" s="66">
        <v>460.84914241665092</v>
      </c>
      <c r="Z28" s="66">
        <v>102.36181601650173</v>
      </c>
      <c r="AA28" s="67">
        <v>0</v>
      </c>
      <c r="AB28" s="68">
        <v>0</v>
      </c>
      <c r="AC28" s="69">
        <v>0</v>
      </c>
      <c r="AD28" s="69">
        <v>23.482957741287038</v>
      </c>
      <c r="AE28" s="68">
        <v>18.81528608528399</v>
      </c>
      <c r="AF28" s="68">
        <v>4.1791698742458134</v>
      </c>
      <c r="AG28" s="68">
        <v>0.81825315277729804</v>
      </c>
      <c r="AH28" s="69">
        <v>404.7631541411082</v>
      </c>
      <c r="AI28" s="69">
        <v>1154.4328840891519</v>
      </c>
      <c r="AJ28" s="69">
        <v>3191.0793472290038</v>
      </c>
      <c r="AK28" s="69">
        <v>828.63718042373648</v>
      </c>
      <c r="AL28" s="69">
        <v>3205.3018548329678</v>
      </c>
      <c r="AM28" s="69">
        <v>2664.2728996276855</v>
      </c>
      <c r="AN28" s="69">
        <v>545.81010599136346</v>
      </c>
      <c r="AO28" s="69">
        <v>2950.0252891540526</v>
      </c>
      <c r="AP28" s="69">
        <v>392.01144615809125</v>
      </c>
      <c r="AQ28" s="69">
        <v>1025.7662042935688</v>
      </c>
    </row>
    <row r="29" spans="1:43">
      <c r="A29" s="11">
        <v>41143</v>
      </c>
      <c r="B29" s="59"/>
      <c r="C29" s="60">
        <v>138.90848448276526</v>
      </c>
      <c r="D29" s="60">
        <v>1547.655406379698</v>
      </c>
      <c r="E29" s="60">
        <v>13.832168900966677</v>
      </c>
      <c r="F29" s="60">
        <v>0</v>
      </c>
      <c r="G29" s="60">
        <v>4117.9441864013606</v>
      </c>
      <c r="H29" s="61">
        <v>32.367120887835888</v>
      </c>
      <c r="I29" s="59">
        <v>775.83692504564863</v>
      </c>
      <c r="J29" s="60">
        <v>1667.7173278808589</v>
      </c>
      <c r="K29" s="60">
        <v>27.341916785637579</v>
      </c>
      <c r="L29" s="60">
        <v>0</v>
      </c>
      <c r="M29" s="60">
        <v>0</v>
      </c>
      <c r="N29" s="61">
        <v>0</v>
      </c>
      <c r="O29" s="59">
        <v>0</v>
      </c>
      <c r="P29" s="60">
        <v>0</v>
      </c>
      <c r="Q29" s="60">
        <v>0</v>
      </c>
      <c r="R29" s="63">
        <v>0</v>
      </c>
      <c r="S29" s="60">
        <v>0</v>
      </c>
      <c r="T29" s="64">
        <v>0</v>
      </c>
      <c r="U29" s="65">
        <v>498.88128924180154</v>
      </c>
      <c r="V29" s="62">
        <v>119.87113527381287</v>
      </c>
      <c r="W29" s="62">
        <v>41.755866344852969</v>
      </c>
      <c r="X29" s="62">
        <v>10.033094467636174</v>
      </c>
      <c r="Y29" s="66">
        <v>411.19994396247415</v>
      </c>
      <c r="Z29" s="66">
        <v>98.803072334547451</v>
      </c>
      <c r="AA29" s="67">
        <v>0</v>
      </c>
      <c r="AB29" s="68">
        <v>0</v>
      </c>
      <c r="AC29" s="69">
        <v>0</v>
      </c>
      <c r="AD29" s="69">
        <v>22.659138304657411</v>
      </c>
      <c r="AE29" s="68">
        <v>17.977103514369663</v>
      </c>
      <c r="AF29" s="68">
        <v>4.3195362377238231</v>
      </c>
      <c r="AG29" s="68">
        <v>0.80626963139958108</v>
      </c>
      <c r="AH29" s="69">
        <v>413.83068922360735</v>
      </c>
      <c r="AI29" s="69">
        <v>1169.6668668746947</v>
      </c>
      <c r="AJ29" s="69">
        <v>3229.4597732543948</v>
      </c>
      <c r="AK29" s="69">
        <v>812.36051664352419</v>
      </c>
      <c r="AL29" s="69">
        <v>3170.3867205301917</v>
      </c>
      <c r="AM29" s="69">
        <v>2637.389167912801</v>
      </c>
      <c r="AN29" s="69">
        <v>596.82152624130254</v>
      </c>
      <c r="AO29" s="69">
        <v>2680.1738311767581</v>
      </c>
      <c r="AP29" s="69">
        <v>408.53477045694984</v>
      </c>
      <c r="AQ29" s="69">
        <v>1035.6561674435934</v>
      </c>
    </row>
    <row r="30" spans="1:43">
      <c r="A30" s="11">
        <v>41144</v>
      </c>
      <c r="B30" s="59"/>
      <c r="C30" s="60">
        <v>138.91116032997758</v>
      </c>
      <c r="D30" s="60">
        <v>1553.1249560674053</v>
      </c>
      <c r="E30" s="60">
        <v>13.874956994752086</v>
      </c>
      <c r="F30" s="60">
        <v>0</v>
      </c>
      <c r="G30" s="60">
        <v>4218.4019226074097</v>
      </c>
      <c r="H30" s="61">
        <v>32.963412922620876</v>
      </c>
      <c r="I30" s="59">
        <v>820.77623491287295</v>
      </c>
      <c r="J30" s="60">
        <v>1751.1488799373299</v>
      </c>
      <c r="K30" s="60">
        <v>28.715314320723088</v>
      </c>
      <c r="L30" s="60">
        <v>0</v>
      </c>
      <c r="M30" s="60">
        <v>0</v>
      </c>
      <c r="N30" s="61">
        <v>0</v>
      </c>
      <c r="O30" s="59">
        <v>0</v>
      </c>
      <c r="P30" s="60">
        <v>0</v>
      </c>
      <c r="Q30" s="60">
        <v>0</v>
      </c>
      <c r="R30" s="63">
        <v>0</v>
      </c>
      <c r="S30" s="60">
        <v>0</v>
      </c>
      <c r="T30" s="64">
        <v>0</v>
      </c>
      <c r="U30" s="65">
        <v>529.95269313984977</v>
      </c>
      <c r="V30" s="62">
        <v>118.3734318143799</v>
      </c>
      <c r="W30" s="62">
        <v>46.188134445089304</v>
      </c>
      <c r="X30" s="62">
        <v>10.316860455932016</v>
      </c>
      <c r="Y30" s="66">
        <v>432.60870784864983</v>
      </c>
      <c r="Z30" s="66">
        <v>96.630091786920019</v>
      </c>
      <c r="AA30" s="67">
        <v>0</v>
      </c>
      <c r="AB30" s="68">
        <v>0</v>
      </c>
      <c r="AC30" s="69">
        <v>0</v>
      </c>
      <c r="AD30" s="69">
        <v>24.125915277004236</v>
      </c>
      <c r="AE30" s="68">
        <v>19.476250778708277</v>
      </c>
      <c r="AF30" s="68">
        <v>4.3503329134791171</v>
      </c>
      <c r="AG30" s="68">
        <v>0.81741684121901337</v>
      </c>
      <c r="AH30" s="69">
        <v>395.57171505292257</v>
      </c>
      <c r="AI30" s="69">
        <v>1140.0038243929544</v>
      </c>
      <c r="AJ30" s="69">
        <v>3112.3546890258795</v>
      </c>
      <c r="AK30" s="69">
        <v>812.23984273274743</v>
      </c>
      <c r="AL30" s="69">
        <v>3157.4169008890785</v>
      </c>
      <c r="AM30" s="69">
        <v>2649.1725452423098</v>
      </c>
      <c r="AN30" s="69">
        <v>550.93333692550652</v>
      </c>
      <c r="AO30" s="69">
        <v>2960.0265083312984</v>
      </c>
      <c r="AP30" s="69">
        <v>412.01576873461408</v>
      </c>
      <c r="AQ30" s="69">
        <v>964.81203867594388</v>
      </c>
    </row>
    <row r="31" spans="1:43">
      <c r="A31" s="11">
        <v>41145</v>
      </c>
      <c r="B31" s="59"/>
      <c r="C31" s="60">
        <v>140.40816840330783</v>
      </c>
      <c r="D31" s="60">
        <v>1565.4757820765137</v>
      </c>
      <c r="E31" s="60">
        <v>13.877999833226221</v>
      </c>
      <c r="F31" s="60">
        <v>0</v>
      </c>
      <c r="G31" s="60">
        <v>4190.6520856221414</v>
      </c>
      <c r="H31" s="61">
        <v>33.371632540226052</v>
      </c>
      <c r="I31" s="59">
        <v>843.86506438255344</v>
      </c>
      <c r="J31" s="60">
        <v>1801.8718146006267</v>
      </c>
      <c r="K31" s="60">
        <v>29.197426709532611</v>
      </c>
      <c r="L31" s="60">
        <v>0</v>
      </c>
      <c r="M31" s="60">
        <v>0</v>
      </c>
      <c r="N31" s="61">
        <v>0</v>
      </c>
      <c r="O31" s="59">
        <v>0</v>
      </c>
      <c r="P31" s="60">
        <v>0</v>
      </c>
      <c r="Q31" s="60">
        <v>0</v>
      </c>
      <c r="R31" s="63">
        <v>0</v>
      </c>
      <c r="S31" s="60">
        <v>0</v>
      </c>
      <c r="T31" s="64">
        <v>0</v>
      </c>
      <c r="U31" s="65">
        <v>538.14877784162229</v>
      </c>
      <c r="V31" s="62">
        <v>117.04387907807306</v>
      </c>
      <c r="W31" s="62">
        <v>46.4413090448055</v>
      </c>
      <c r="X31" s="62">
        <v>10.100684390418442</v>
      </c>
      <c r="Y31" s="66">
        <v>454.73997513924047</v>
      </c>
      <c r="Z31" s="66">
        <v>98.90300387865463</v>
      </c>
      <c r="AA31" s="67">
        <v>0</v>
      </c>
      <c r="AB31" s="68">
        <v>0</v>
      </c>
      <c r="AC31" s="69">
        <v>0</v>
      </c>
      <c r="AD31" s="69">
        <v>24.657578690846741</v>
      </c>
      <c r="AE31" s="68">
        <v>20.001111584565805</v>
      </c>
      <c r="AF31" s="68">
        <v>4.3501124263817035</v>
      </c>
      <c r="AG31" s="68">
        <v>0.82135959882648879</v>
      </c>
      <c r="AH31" s="69">
        <v>393.33426512082417</v>
      </c>
      <c r="AI31" s="69">
        <v>1133.9780989964804</v>
      </c>
      <c r="AJ31" s="69">
        <v>2975.116732152303</v>
      </c>
      <c r="AK31" s="69">
        <v>809.7255833625793</v>
      </c>
      <c r="AL31" s="69">
        <v>3189.9395258585619</v>
      </c>
      <c r="AM31" s="69">
        <v>2653.0632829030355</v>
      </c>
      <c r="AN31" s="69">
        <v>519.92681279182432</v>
      </c>
      <c r="AO31" s="69">
        <v>2964.4642847696932</v>
      </c>
      <c r="AP31" s="69">
        <v>397.61588290532433</v>
      </c>
      <c r="AQ31" s="69">
        <v>952.23252213795979</v>
      </c>
    </row>
    <row r="32" spans="1:43">
      <c r="A32" s="11">
        <v>41146</v>
      </c>
      <c r="B32" s="59"/>
      <c r="C32" s="60">
        <v>139.75824104150152</v>
      </c>
      <c r="D32" s="60">
        <v>1535.912525367735</v>
      </c>
      <c r="E32" s="60">
        <v>13.895112966994477</v>
      </c>
      <c r="F32" s="60">
        <v>0</v>
      </c>
      <c r="G32" s="60">
        <v>4190.5428510029978</v>
      </c>
      <c r="H32" s="61">
        <v>33.470001883308115</v>
      </c>
      <c r="I32" s="59">
        <v>864.12589206695634</v>
      </c>
      <c r="J32" s="60">
        <v>1777.8535088857097</v>
      </c>
      <c r="K32" s="60">
        <v>29.243735108772789</v>
      </c>
      <c r="L32" s="60">
        <v>0</v>
      </c>
      <c r="M32" s="60">
        <v>0</v>
      </c>
      <c r="N32" s="61">
        <v>0</v>
      </c>
      <c r="O32" s="59">
        <v>0</v>
      </c>
      <c r="P32" s="60">
        <v>0</v>
      </c>
      <c r="Q32" s="60">
        <v>0</v>
      </c>
      <c r="R32" s="63">
        <v>0</v>
      </c>
      <c r="S32" s="60">
        <v>0</v>
      </c>
      <c r="T32" s="64">
        <v>0</v>
      </c>
      <c r="U32" s="65">
        <v>514.61939366890761</v>
      </c>
      <c r="V32" s="62">
        <v>116.28794909351055</v>
      </c>
      <c r="W32" s="62">
        <v>44.18956522824049</v>
      </c>
      <c r="X32" s="62">
        <v>9.9854649376702387</v>
      </c>
      <c r="Y32" s="66">
        <v>449.03894641478257</v>
      </c>
      <c r="Z32" s="66">
        <v>101.46881128868107</v>
      </c>
      <c r="AA32" s="67">
        <v>0</v>
      </c>
      <c r="AB32" s="68">
        <v>0</v>
      </c>
      <c r="AC32" s="69">
        <v>0</v>
      </c>
      <c r="AD32" s="69">
        <v>23.793877694010746</v>
      </c>
      <c r="AE32" s="68">
        <v>19.125215951020017</v>
      </c>
      <c r="AF32" s="68">
        <v>4.3217029250660026</v>
      </c>
      <c r="AG32" s="68">
        <v>0.81568141435104313</v>
      </c>
      <c r="AH32" s="69">
        <v>380.22380547523494</v>
      </c>
      <c r="AI32" s="69">
        <v>1112.6204513231914</v>
      </c>
      <c r="AJ32" s="69">
        <v>3009.0560719807945</v>
      </c>
      <c r="AK32" s="69">
        <v>811.1592461903889</v>
      </c>
      <c r="AL32" s="69">
        <v>3228.4148507436112</v>
      </c>
      <c r="AM32" s="69">
        <v>2654.5532470703129</v>
      </c>
      <c r="AN32" s="69">
        <v>515.64060203234362</v>
      </c>
      <c r="AO32" s="69">
        <v>2893.6239802042646</v>
      </c>
      <c r="AP32" s="69">
        <v>379.48645443916325</v>
      </c>
      <c r="AQ32" s="69">
        <v>874.37776498794562</v>
      </c>
    </row>
    <row r="33" spans="1:43">
      <c r="A33" s="11">
        <v>41147</v>
      </c>
      <c r="B33" s="59"/>
      <c r="C33" s="60">
        <v>141.21743770440401</v>
      </c>
      <c r="D33" s="60">
        <v>1585.2917368571013</v>
      </c>
      <c r="E33" s="60">
        <v>13.939191781977831</v>
      </c>
      <c r="F33" s="60">
        <v>0</v>
      </c>
      <c r="G33" s="60">
        <v>4268.8393750508676</v>
      </c>
      <c r="H33" s="61">
        <v>35.314300264914927</v>
      </c>
      <c r="I33" s="59">
        <v>835.22153828939031</v>
      </c>
      <c r="J33" s="60">
        <v>1744.0095467249628</v>
      </c>
      <c r="K33" s="60">
        <v>28.966139507293626</v>
      </c>
      <c r="L33" s="60">
        <v>0</v>
      </c>
      <c r="M33" s="60">
        <v>0</v>
      </c>
      <c r="N33" s="61">
        <v>0</v>
      </c>
      <c r="O33" s="59">
        <v>0</v>
      </c>
      <c r="P33" s="60">
        <v>0</v>
      </c>
      <c r="Q33" s="60">
        <v>0</v>
      </c>
      <c r="R33" s="63">
        <v>0</v>
      </c>
      <c r="S33" s="60">
        <v>0</v>
      </c>
      <c r="T33" s="64">
        <v>0</v>
      </c>
      <c r="U33" s="65">
        <v>505.02013706113149</v>
      </c>
      <c r="V33" s="62">
        <v>112.61933585790753</v>
      </c>
      <c r="W33" s="62">
        <v>43.177722866559705</v>
      </c>
      <c r="X33" s="62">
        <v>9.6286189722769997</v>
      </c>
      <c r="Y33" s="66">
        <v>434.0763515332909</v>
      </c>
      <c r="Z33" s="66">
        <v>96.798893417957643</v>
      </c>
      <c r="AA33" s="67">
        <v>0</v>
      </c>
      <c r="AB33" s="68">
        <v>0</v>
      </c>
      <c r="AC33" s="69">
        <v>0</v>
      </c>
      <c r="AD33" s="69">
        <v>23.382089467843315</v>
      </c>
      <c r="AE33" s="68">
        <v>18.761978720717249</v>
      </c>
      <c r="AF33" s="68">
        <v>4.183915507217888</v>
      </c>
      <c r="AG33" s="68">
        <v>0.81766169295227376</v>
      </c>
      <c r="AH33" s="69">
        <v>387.68559357325233</v>
      </c>
      <c r="AI33" s="69">
        <v>1130.6264533996582</v>
      </c>
      <c r="AJ33" s="69">
        <v>3217.344805526734</v>
      </c>
      <c r="AK33" s="69">
        <v>822.68670434951798</v>
      </c>
      <c r="AL33" s="69">
        <v>3205.5590880076097</v>
      </c>
      <c r="AM33" s="69">
        <v>2676.4835188547768</v>
      </c>
      <c r="AN33" s="69">
        <v>556.00093517303458</v>
      </c>
      <c r="AO33" s="69">
        <v>2717.8763941446941</v>
      </c>
      <c r="AP33" s="69">
        <v>397.22196914354959</v>
      </c>
      <c r="AQ33" s="69">
        <v>956.14136540095012</v>
      </c>
    </row>
    <row r="34" spans="1:43">
      <c r="A34" s="11">
        <v>41148</v>
      </c>
      <c r="B34" s="59"/>
      <c r="C34" s="60">
        <v>140.03979227542879</v>
      </c>
      <c r="D34" s="60">
        <v>1578.130303064984</v>
      </c>
      <c r="E34" s="60">
        <v>13.859561456739904</v>
      </c>
      <c r="F34" s="60">
        <v>0</v>
      </c>
      <c r="G34" s="60">
        <v>4307.0879453023308</v>
      </c>
      <c r="H34" s="61">
        <v>30.818065083026966</v>
      </c>
      <c r="I34" s="59">
        <v>872.02655309041415</v>
      </c>
      <c r="J34" s="60">
        <v>1797.1562056541429</v>
      </c>
      <c r="K34" s="60">
        <v>29.287197022636615</v>
      </c>
      <c r="L34" s="60">
        <v>0</v>
      </c>
      <c r="M34" s="60">
        <v>0</v>
      </c>
      <c r="N34" s="61">
        <v>0</v>
      </c>
      <c r="O34" s="59">
        <v>0</v>
      </c>
      <c r="P34" s="60">
        <v>0</v>
      </c>
      <c r="Q34" s="60">
        <v>0</v>
      </c>
      <c r="R34" s="63">
        <v>0</v>
      </c>
      <c r="S34" s="60">
        <v>0</v>
      </c>
      <c r="T34" s="64">
        <v>0</v>
      </c>
      <c r="U34" s="65">
        <v>537.87024367528443</v>
      </c>
      <c r="V34" s="62">
        <v>117.04335037989347</v>
      </c>
      <c r="W34" s="62">
        <v>47.58242488048657</v>
      </c>
      <c r="X34" s="62">
        <v>10.354182059147178</v>
      </c>
      <c r="Y34" s="66">
        <v>453.85771352830216</v>
      </c>
      <c r="Z34" s="66">
        <v>98.761788761788935</v>
      </c>
      <c r="AA34" s="67">
        <v>0</v>
      </c>
      <c r="AB34" s="68">
        <v>0</v>
      </c>
      <c r="AC34" s="69">
        <v>0</v>
      </c>
      <c r="AD34" s="69">
        <v>24.805382480886266</v>
      </c>
      <c r="AE34" s="68">
        <v>19.994271698654725</v>
      </c>
      <c r="AF34" s="68">
        <v>4.350857061780915</v>
      </c>
      <c r="AG34" s="68">
        <v>0.82128428629008987</v>
      </c>
      <c r="AH34" s="69">
        <v>393.21369647979736</v>
      </c>
      <c r="AI34" s="69">
        <v>1154.0206933339439</v>
      </c>
      <c r="AJ34" s="69">
        <v>3309.0532319386798</v>
      </c>
      <c r="AK34" s="69">
        <v>799.95109888712545</v>
      </c>
      <c r="AL34" s="69">
        <v>3138.0316441853843</v>
      </c>
      <c r="AM34" s="69">
        <v>2585.9541920979818</v>
      </c>
      <c r="AN34" s="69">
        <v>590.93289782206216</v>
      </c>
      <c r="AO34" s="69">
        <v>2856.6591681162513</v>
      </c>
      <c r="AP34" s="69">
        <v>414.40431432724006</v>
      </c>
      <c r="AQ34" s="69">
        <v>1003.343945725759</v>
      </c>
    </row>
    <row r="35" spans="1:43">
      <c r="A35" s="11">
        <v>41149</v>
      </c>
      <c r="B35" s="59"/>
      <c r="C35" s="60">
        <v>139.96406292120608</v>
      </c>
      <c r="D35" s="60">
        <v>1569.1861414194104</v>
      </c>
      <c r="E35" s="60">
        <v>13.844540319343437</v>
      </c>
      <c r="F35" s="60">
        <v>0</v>
      </c>
      <c r="G35" s="60">
        <v>4307.7824882507484</v>
      </c>
      <c r="H35" s="61">
        <v>33.585748783747412</v>
      </c>
      <c r="I35" s="59">
        <v>871.26096782684408</v>
      </c>
      <c r="J35" s="60">
        <v>1813.7739658355704</v>
      </c>
      <c r="K35" s="60">
        <v>29.539942119518773</v>
      </c>
      <c r="L35" s="60">
        <v>0.10685263872146403</v>
      </c>
      <c r="M35" s="60">
        <v>0</v>
      </c>
      <c r="N35" s="61">
        <v>0</v>
      </c>
      <c r="O35" s="59">
        <v>0</v>
      </c>
      <c r="P35" s="60">
        <v>0</v>
      </c>
      <c r="Q35" s="60">
        <v>0</v>
      </c>
      <c r="R35" s="63">
        <v>0</v>
      </c>
      <c r="S35" s="60">
        <v>0</v>
      </c>
      <c r="T35" s="64">
        <v>0</v>
      </c>
      <c r="U35" s="65">
        <v>538.11509486355362</v>
      </c>
      <c r="V35" s="62">
        <v>117.04334218716014</v>
      </c>
      <c r="W35" s="62">
        <v>45.665541348187389</v>
      </c>
      <c r="X35" s="62">
        <v>9.932536056311644</v>
      </c>
      <c r="Y35" s="66">
        <v>463.28214190305926</v>
      </c>
      <c r="Z35" s="66">
        <v>100.76671474475084</v>
      </c>
      <c r="AA35" s="67">
        <v>0</v>
      </c>
      <c r="AB35" s="68">
        <v>0</v>
      </c>
      <c r="AC35" s="69">
        <v>0</v>
      </c>
      <c r="AD35" s="69">
        <v>24.811481534110229</v>
      </c>
      <c r="AE35" s="68">
        <v>20.000573602445662</v>
      </c>
      <c r="AF35" s="68">
        <v>4.3502477489209017</v>
      </c>
      <c r="AG35" s="68">
        <v>0.82135108766354759</v>
      </c>
      <c r="AH35" s="69">
        <v>397.99281153678891</v>
      </c>
      <c r="AI35" s="69">
        <v>1155.8473061879479</v>
      </c>
      <c r="AJ35" s="69">
        <v>3315.6129695892323</v>
      </c>
      <c r="AK35" s="69">
        <v>793.59582036336258</v>
      </c>
      <c r="AL35" s="69">
        <v>3205.2073144276942</v>
      </c>
      <c r="AM35" s="69">
        <v>2589.7232227325444</v>
      </c>
      <c r="AN35" s="69">
        <v>601.46377960840857</v>
      </c>
      <c r="AO35" s="69">
        <v>2770.620294189453</v>
      </c>
      <c r="AP35" s="69">
        <v>435.88647483189902</v>
      </c>
      <c r="AQ35" s="69">
        <v>998.75512653986618</v>
      </c>
    </row>
    <row r="36" spans="1:43">
      <c r="A36" s="11">
        <v>41150</v>
      </c>
      <c r="B36" s="59"/>
      <c r="C36" s="60">
        <v>143.01454707384102</v>
      </c>
      <c r="D36" s="60">
        <v>1571.1601065635682</v>
      </c>
      <c r="E36" s="60">
        <v>13.869222952425488</v>
      </c>
      <c r="F36" s="60">
        <v>0</v>
      </c>
      <c r="G36" s="60">
        <v>4307.0866989135729</v>
      </c>
      <c r="H36" s="61">
        <v>31.5726700007916</v>
      </c>
      <c r="I36" s="59">
        <v>852.78374786376946</v>
      </c>
      <c r="J36" s="60">
        <v>1817.9027494430582</v>
      </c>
      <c r="K36" s="60">
        <v>30.113137090206077</v>
      </c>
      <c r="L36" s="60">
        <v>9.5601534843442498E-2</v>
      </c>
      <c r="M36" s="60">
        <v>0</v>
      </c>
      <c r="N36" s="61">
        <v>0</v>
      </c>
      <c r="O36" s="59">
        <v>0</v>
      </c>
      <c r="P36" s="60">
        <v>0</v>
      </c>
      <c r="Q36" s="60">
        <v>0</v>
      </c>
      <c r="R36" s="63">
        <v>0</v>
      </c>
      <c r="S36" s="60">
        <v>0</v>
      </c>
      <c r="T36" s="64">
        <v>0</v>
      </c>
      <c r="U36" s="65">
        <v>542.97812266497704</v>
      </c>
      <c r="V36" s="62">
        <v>117.93008497408044</v>
      </c>
      <c r="W36" s="62">
        <v>48.797562995406047</v>
      </c>
      <c r="X36" s="62">
        <v>10.598402606594496</v>
      </c>
      <c r="Y36" s="66">
        <v>463.91950136712296</v>
      </c>
      <c r="Z36" s="66">
        <v>100.75924596894762</v>
      </c>
      <c r="AA36" s="67">
        <v>0</v>
      </c>
      <c r="AB36" s="68">
        <v>0</v>
      </c>
      <c r="AC36" s="69">
        <v>0</v>
      </c>
      <c r="AD36" s="69">
        <v>24.645378155178474</v>
      </c>
      <c r="AE36" s="68">
        <v>19.897851984664022</v>
      </c>
      <c r="AF36" s="68">
        <v>4.3216388974127264</v>
      </c>
      <c r="AG36" s="68">
        <v>0.82156359444323057</v>
      </c>
      <c r="AH36" s="69">
        <v>409.44761684735619</v>
      </c>
      <c r="AI36" s="69">
        <v>1160.0421598116557</v>
      </c>
      <c r="AJ36" s="69">
        <v>3272.3452891031902</v>
      </c>
      <c r="AK36" s="69">
        <v>799.38849232991538</v>
      </c>
      <c r="AL36" s="69">
        <v>3316.4167457580565</v>
      </c>
      <c r="AM36" s="69">
        <v>2587.9725480397542</v>
      </c>
      <c r="AN36" s="69">
        <v>631.53526544570923</v>
      </c>
      <c r="AO36" s="69">
        <v>3114.322949727376</v>
      </c>
      <c r="AP36" s="69">
        <v>437.21857237815846</v>
      </c>
      <c r="AQ36" s="69">
        <v>1024.9896964708962</v>
      </c>
    </row>
    <row r="37" spans="1:43">
      <c r="A37" s="11">
        <v>41151</v>
      </c>
      <c r="B37" s="59"/>
      <c r="C37" s="60">
        <v>139.92051027218506</v>
      </c>
      <c r="D37" s="60">
        <v>1575.0132224400854</v>
      </c>
      <c r="E37" s="60">
        <v>13.886202379564445</v>
      </c>
      <c r="F37" s="60">
        <v>0</v>
      </c>
      <c r="G37" s="60">
        <v>4308.586886596695</v>
      </c>
      <c r="H37" s="61">
        <v>32.286572770277758</v>
      </c>
      <c r="I37" s="59">
        <v>816.49330558777001</v>
      </c>
      <c r="J37" s="60">
        <v>1811.8968095143637</v>
      </c>
      <c r="K37" s="60">
        <v>30.054303079843439</v>
      </c>
      <c r="L37" s="60">
        <v>9.0423202514646389E-2</v>
      </c>
      <c r="M37" s="60">
        <v>0</v>
      </c>
      <c r="N37" s="61">
        <v>0</v>
      </c>
      <c r="O37" s="59">
        <v>0</v>
      </c>
      <c r="P37" s="60">
        <v>0</v>
      </c>
      <c r="Q37" s="60">
        <v>0</v>
      </c>
      <c r="R37" s="63">
        <v>0</v>
      </c>
      <c r="S37" s="60">
        <v>0</v>
      </c>
      <c r="T37" s="64">
        <v>0</v>
      </c>
      <c r="U37" s="65">
        <v>540.65060447809572</v>
      </c>
      <c r="V37" s="62">
        <v>114.41503323756551</v>
      </c>
      <c r="W37" s="62">
        <v>49.400744840116595</v>
      </c>
      <c r="X37" s="62">
        <v>10.454418835430028</v>
      </c>
      <c r="Y37" s="66">
        <v>442.45344409171861</v>
      </c>
      <c r="Z37" s="66">
        <v>93.634086584805274</v>
      </c>
      <c r="AA37" s="67">
        <v>0</v>
      </c>
      <c r="AB37" s="68">
        <v>0</v>
      </c>
      <c r="AC37" s="69">
        <v>0</v>
      </c>
      <c r="AD37" s="69">
        <v>24.249639823039356</v>
      </c>
      <c r="AE37" s="68">
        <v>19.756377917321537</v>
      </c>
      <c r="AF37" s="68">
        <v>4.1809379613036759</v>
      </c>
      <c r="AG37" s="68">
        <v>0.82533806285954403</v>
      </c>
      <c r="AH37" s="69">
        <v>407.6483448823293</v>
      </c>
      <c r="AI37" s="69">
        <v>1156.5737170537313</v>
      </c>
      <c r="AJ37" s="69">
        <v>3248.0654961903892</v>
      </c>
      <c r="AK37" s="69">
        <v>796.20422420501711</v>
      </c>
      <c r="AL37" s="69">
        <v>3447.9693125406902</v>
      </c>
      <c r="AM37" s="69">
        <v>2334.1997762044271</v>
      </c>
      <c r="AN37" s="69">
        <v>635.11107123692841</v>
      </c>
      <c r="AO37" s="69">
        <v>2960.0205605824785</v>
      </c>
      <c r="AP37" s="69">
        <v>413.71191465059911</v>
      </c>
      <c r="AQ37" s="69">
        <v>1003.4945856094359</v>
      </c>
    </row>
    <row r="38" spans="1:43" ht="15.75" thickBot="1">
      <c r="A38" s="11">
        <v>41152</v>
      </c>
      <c r="B38" s="73"/>
      <c r="C38" s="74">
        <v>139.16986807982076</v>
      </c>
      <c r="D38" s="74">
        <v>1546.6981843948133</v>
      </c>
      <c r="E38" s="74">
        <v>13.403261665006765</v>
      </c>
      <c r="F38" s="74">
        <v>0</v>
      </c>
      <c r="G38" s="74">
        <v>4267.7897621155926</v>
      </c>
      <c r="H38" s="75">
        <v>31.087627633413334</v>
      </c>
      <c r="I38" s="76">
        <v>805.30412788390277</v>
      </c>
      <c r="J38" s="74">
        <v>1800.0812683105123</v>
      </c>
      <c r="K38" s="74">
        <v>29.569808377821918</v>
      </c>
      <c r="L38" s="74">
        <v>8.138465881347437E-2</v>
      </c>
      <c r="M38" s="74">
        <v>0</v>
      </c>
      <c r="N38" s="75">
        <v>0</v>
      </c>
      <c r="O38" s="76">
        <v>0</v>
      </c>
      <c r="P38" s="74">
        <v>0</v>
      </c>
      <c r="Q38" s="74">
        <v>0</v>
      </c>
      <c r="R38" s="77">
        <v>0</v>
      </c>
      <c r="S38" s="74">
        <v>0</v>
      </c>
      <c r="T38" s="78">
        <v>0</v>
      </c>
      <c r="U38" s="79">
        <v>549.39174861133836</v>
      </c>
      <c r="V38" s="80">
        <v>117.33559827516952</v>
      </c>
      <c r="W38" s="81">
        <v>50.322557149180327</v>
      </c>
      <c r="X38" s="81">
        <v>10.747571955276399</v>
      </c>
      <c r="Y38" s="80">
        <v>441.14678412836804</v>
      </c>
      <c r="Z38" s="80">
        <v>94.217326659355734</v>
      </c>
      <c r="AA38" s="82">
        <v>0</v>
      </c>
      <c r="AB38" s="83">
        <v>0</v>
      </c>
      <c r="AC38" s="84">
        <v>0</v>
      </c>
      <c r="AD38" s="85">
        <v>24.785322708553139</v>
      </c>
      <c r="AE38" s="83">
        <v>20.141031305223436</v>
      </c>
      <c r="AF38" s="83">
        <v>4.3015934695975462</v>
      </c>
      <c r="AG38" s="83">
        <v>0.82401262101651473</v>
      </c>
      <c r="AH38" s="84">
        <v>660.95745849609375</v>
      </c>
      <c r="AI38" s="84">
        <v>1430.2594910303751</v>
      </c>
      <c r="AJ38" s="84">
        <v>2942.8069788614912</v>
      </c>
      <c r="AK38" s="84">
        <v>761.87229731877642</v>
      </c>
      <c r="AL38" s="84">
        <v>3475.978141784668</v>
      </c>
      <c r="AM38" s="84">
        <v>1950.4520311991373</v>
      </c>
      <c r="AN38" s="84">
        <v>709.32764323552442</v>
      </c>
      <c r="AO38" s="84">
        <v>3086.3887939453125</v>
      </c>
      <c r="AP38" s="84">
        <v>372.11777029037478</v>
      </c>
      <c r="AQ38" s="84">
        <v>1007.9171771367392</v>
      </c>
    </row>
    <row r="39" spans="1:43" ht="15.75" thickTop="1">
      <c r="A39" s="46" t="s">
        <v>170</v>
      </c>
      <c r="B39" s="29">
        <f>SUM(B8:B38)</f>
        <v>0</v>
      </c>
      <c r="C39" s="30">
        <f t="shared" ref="C39:AC39" si="0">SUM(C8:C38)</f>
        <v>3989.6138995289784</v>
      </c>
      <c r="D39" s="30">
        <f t="shared" si="0"/>
        <v>47817.651614944116</v>
      </c>
      <c r="E39" s="30">
        <f t="shared" si="0"/>
        <v>439.77052163581146</v>
      </c>
      <c r="F39" s="30">
        <f t="shared" si="0"/>
        <v>0</v>
      </c>
      <c r="G39" s="30">
        <f t="shared" si="0"/>
        <v>138040.0369677227</v>
      </c>
      <c r="H39" s="31">
        <f t="shared" si="0"/>
        <v>1092.1339846869328</v>
      </c>
      <c r="I39" s="29">
        <f t="shared" si="0"/>
        <v>24188.098259957638</v>
      </c>
      <c r="J39" s="30">
        <f t="shared" si="0"/>
        <v>53540.723302201448</v>
      </c>
      <c r="K39" s="30">
        <f t="shared" si="0"/>
        <v>847.96613510946167</v>
      </c>
      <c r="L39" s="30">
        <f t="shared" si="0"/>
        <v>0.37426203489302723</v>
      </c>
      <c r="M39" s="30">
        <f t="shared" si="0"/>
        <v>0</v>
      </c>
      <c r="N39" s="31">
        <f t="shared" si="0"/>
        <v>0</v>
      </c>
      <c r="O39" s="260">
        <f t="shared" si="0"/>
        <v>0</v>
      </c>
      <c r="P39" s="261">
        <f t="shared" si="0"/>
        <v>0</v>
      </c>
      <c r="Q39" s="261">
        <f t="shared" si="0"/>
        <v>0</v>
      </c>
      <c r="R39" s="261">
        <f t="shared" si="0"/>
        <v>0</v>
      </c>
      <c r="S39" s="261">
        <f t="shared" si="0"/>
        <v>0</v>
      </c>
      <c r="T39" s="262">
        <f t="shared" si="0"/>
        <v>0</v>
      </c>
      <c r="U39" s="260">
        <f t="shared" si="0"/>
        <v>15964.64214447475</v>
      </c>
      <c r="V39" s="261">
        <f t="shared" si="0"/>
        <v>3713.5567099292703</v>
      </c>
      <c r="W39" s="261">
        <f t="shared" si="0"/>
        <v>1375.3943974935846</v>
      </c>
      <c r="X39" s="261">
        <f t="shared" si="0"/>
        <v>319.65557249746496</v>
      </c>
      <c r="Y39" s="261">
        <f t="shared" si="0"/>
        <v>13693.711298682563</v>
      </c>
      <c r="Z39" s="261">
        <f t="shared" si="0"/>
        <v>3192.6953912315348</v>
      </c>
      <c r="AA39" s="269">
        <f t="shared" si="0"/>
        <v>0</v>
      </c>
      <c r="AB39" s="272">
        <f t="shared" si="0"/>
        <v>0</v>
      </c>
      <c r="AC39" s="272">
        <f t="shared" si="0"/>
        <v>0</v>
      </c>
      <c r="AD39" s="275" t="s">
        <v>29</v>
      </c>
      <c r="AE39" s="275" t="s">
        <v>29</v>
      </c>
      <c r="AF39" s="275" t="s">
        <v>29</v>
      </c>
      <c r="AG39" s="275" t="s">
        <v>158</v>
      </c>
      <c r="AH39" s="272">
        <f t="shared" ref="AH39:AQ39" si="1">SUM(AH8:AH38)</f>
        <v>12946.130353943507</v>
      </c>
      <c r="AI39" s="272">
        <f t="shared" si="1"/>
        <v>36322.228929678604</v>
      </c>
      <c r="AJ39" s="272">
        <f t="shared" si="1"/>
        <v>99912.316990407315</v>
      </c>
      <c r="AK39" s="272">
        <f t="shared" si="1"/>
        <v>26340.634392420448</v>
      </c>
      <c r="AL39" s="272">
        <f t="shared" si="1"/>
        <v>101381.23519261679</v>
      </c>
      <c r="AM39" s="272">
        <f t="shared" si="1"/>
        <v>80249.787774785378</v>
      </c>
      <c r="AN39" s="272">
        <f t="shared" si="1"/>
        <v>18387.781470457714</v>
      </c>
      <c r="AO39" s="272">
        <f t="shared" si="1"/>
        <v>88956.429890950531</v>
      </c>
      <c r="AP39" s="272">
        <f t="shared" si="1"/>
        <v>12866.463075033824</v>
      </c>
      <c r="AQ39" s="272">
        <f t="shared" si="1"/>
        <v>30026.114814535777</v>
      </c>
    </row>
    <row r="40" spans="1:43" ht="15.75" thickBot="1">
      <c r="A40" s="47" t="s">
        <v>171</v>
      </c>
      <c r="B40" s="32">
        <f>Projection!$AC$30</f>
        <v>0.91139353199999984</v>
      </c>
      <c r="C40" s="33">
        <f>Projection!$AC$28</f>
        <v>1.4375491199999999</v>
      </c>
      <c r="D40" s="33">
        <f>Projection!$AC$31</f>
        <v>2.0036016000000001</v>
      </c>
      <c r="E40" s="33">
        <f>Projection!$AC$26</f>
        <v>4.7363493840000004</v>
      </c>
      <c r="F40" s="33">
        <f>Projection!$AC$23</f>
        <v>5.8379999999999994E-2</v>
      </c>
      <c r="G40" s="33">
        <f>Projection!$AC$24</f>
        <v>5.3200000000000004E-2</v>
      </c>
      <c r="H40" s="34">
        <f>Projection!$AC$29</f>
        <v>3.6371774160000006</v>
      </c>
      <c r="I40" s="32">
        <f>Projection!$AC$30</f>
        <v>0.91139353199999984</v>
      </c>
      <c r="J40" s="33">
        <f>Projection!$AC$28</f>
        <v>1.4375491199999999</v>
      </c>
      <c r="K40" s="33">
        <f>Projection!$AC$26</f>
        <v>4.7363493840000004</v>
      </c>
      <c r="L40" s="33">
        <f>Projection!$AC$25</f>
        <v>0.37613399999999997</v>
      </c>
      <c r="M40" s="33">
        <f>Projection!$AC$23</f>
        <v>5.8379999999999994E-2</v>
      </c>
      <c r="N40" s="34">
        <f>Projection!$AC$23</f>
        <v>5.8379999999999994E-2</v>
      </c>
      <c r="O40" s="26">
        <v>15.77</v>
      </c>
      <c r="P40" s="27">
        <v>15.77</v>
      </c>
      <c r="Q40" s="27">
        <v>15.77</v>
      </c>
      <c r="R40" s="27">
        <v>15.77</v>
      </c>
      <c r="S40" s="27">
        <f>Projection!$AC$28</f>
        <v>1.4375491199999999</v>
      </c>
      <c r="T40" s="38">
        <f>Projection!$AC$28</f>
        <v>1.4375491199999999</v>
      </c>
      <c r="U40" s="26">
        <f>Projection!$AC$27</f>
        <v>0.26250000000000001</v>
      </c>
      <c r="V40" s="27">
        <f>Projection!$AC$27</f>
        <v>0.26250000000000001</v>
      </c>
      <c r="W40" s="27">
        <f>Projection!$AC$22</f>
        <v>1.1475</v>
      </c>
      <c r="X40" s="27">
        <f>Projection!$AC$22</f>
        <v>1.1475</v>
      </c>
      <c r="Y40" s="27">
        <f>Projection!$AC$31</f>
        <v>2.0036016000000001</v>
      </c>
      <c r="Z40" s="27">
        <f>Projection!$AC$31</f>
        <v>2.0036016000000001</v>
      </c>
      <c r="AA40" s="28">
        <v>0</v>
      </c>
      <c r="AB40" s="41">
        <f>Projection!$AC$27</f>
        <v>0.26250000000000001</v>
      </c>
      <c r="AC40" s="41">
        <f>Projection!$AC$30</f>
        <v>0.91139353199999984</v>
      </c>
      <c r="AD40" s="43">
        <f>SUM(AD8:AD38)</f>
        <v>735.76167713569214</v>
      </c>
      <c r="AE40" s="43">
        <f>SUM(AE8:AE38)</f>
        <v>587.37384484938593</v>
      </c>
      <c r="AF40" s="43">
        <f>SUM(AF8:AF38)</f>
        <v>136.56027361652403</v>
      </c>
      <c r="AG40" s="43">
        <f>IF(SUM(AE40:AF40)&gt;0, AE40/(AE40+AF40), "")</f>
        <v>0.81136367228290174</v>
      </c>
      <c r="AH40" s="303">
        <v>9.1999999999999998E-2</v>
      </c>
      <c r="AI40" s="303">
        <f t="shared" ref="AI40:AQ40" si="2">$AH$40</f>
        <v>9.1999999999999998E-2</v>
      </c>
      <c r="AJ40" s="303">
        <f t="shared" si="2"/>
        <v>9.1999999999999998E-2</v>
      </c>
      <c r="AK40" s="303">
        <f t="shared" si="2"/>
        <v>9.1999999999999998E-2</v>
      </c>
      <c r="AL40" s="303">
        <f t="shared" si="2"/>
        <v>9.1999999999999998E-2</v>
      </c>
      <c r="AM40" s="303">
        <f t="shared" si="2"/>
        <v>9.1999999999999998E-2</v>
      </c>
      <c r="AN40" s="303">
        <f t="shared" si="2"/>
        <v>9.1999999999999998E-2</v>
      </c>
      <c r="AO40" s="303">
        <f t="shared" si="2"/>
        <v>9.1999999999999998E-2</v>
      </c>
      <c r="AP40" s="303">
        <f t="shared" si="2"/>
        <v>9.1999999999999998E-2</v>
      </c>
      <c r="AQ40" s="303">
        <f t="shared" si="2"/>
        <v>9.1999999999999998E-2</v>
      </c>
    </row>
    <row r="41" spans="1:43" ht="16.5" thickTop="1" thickBot="1">
      <c r="A41" s="48" t="s">
        <v>26</v>
      </c>
      <c r="B41" s="35">
        <f t="shared" ref="B41:AC41" si="3">B40*B39</f>
        <v>0</v>
      </c>
      <c r="C41" s="36">
        <f t="shared" si="3"/>
        <v>5735.265950407651</v>
      </c>
      <c r="D41" s="36">
        <f t="shared" si="3"/>
        <v>95807.523283944625</v>
      </c>
      <c r="E41" s="36">
        <f t="shared" si="3"/>
        <v>2082.9068392511344</v>
      </c>
      <c r="F41" s="36">
        <f t="shared" si="3"/>
        <v>0</v>
      </c>
      <c r="G41" s="36">
        <f t="shared" si="3"/>
        <v>7343.7299666828485</v>
      </c>
      <c r="H41" s="37">
        <f t="shared" si="3"/>
        <v>3972.2850643494021</v>
      </c>
      <c r="I41" s="35">
        <f t="shared" si="3"/>
        <v>22044.876305505841</v>
      </c>
      <c r="J41" s="36">
        <f t="shared" si="3"/>
        <v>76967.419667243186</v>
      </c>
      <c r="K41" s="36">
        <f t="shared" si="3"/>
        <v>4016.2638816785598</v>
      </c>
      <c r="L41" s="36">
        <f t="shared" si="3"/>
        <v>0.1407726762324539</v>
      </c>
      <c r="M41" s="36">
        <f t="shared" si="3"/>
        <v>0</v>
      </c>
      <c r="N41" s="37">
        <f t="shared" si="3"/>
        <v>0</v>
      </c>
      <c r="O41" s="266">
        <f t="shared" si="3"/>
        <v>0</v>
      </c>
      <c r="P41" s="267">
        <f t="shared" si="3"/>
        <v>0</v>
      </c>
      <c r="Q41" s="267">
        <f t="shared" si="3"/>
        <v>0</v>
      </c>
      <c r="R41" s="267">
        <f t="shared" si="3"/>
        <v>0</v>
      </c>
      <c r="S41" s="267">
        <f t="shared" si="3"/>
        <v>0</v>
      </c>
      <c r="T41" s="268">
        <f t="shared" si="3"/>
        <v>0</v>
      </c>
      <c r="U41" s="266">
        <f t="shared" si="3"/>
        <v>4190.7185629246223</v>
      </c>
      <c r="V41" s="267">
        <f t="shared" si="3"/>
        <v>974.80863635643345</v>
      </c>
      <c r="W41" s="267">
        <f t="shared" si="3"/>
        <v>1578.2650711238882</v>
      </c>
      <c r="X41" s="267">
        <f t="shared" si="3"/>
        <v>366.80476944084103</v>
      </c>
      <c r="Y41" s="267">
        <f t="shared" si="3"/>
        <v>27436.741867978464</v>
      </c>
      <c r="Z41" s="267">
        <f t="shared" si="3"/>
        <v>6396.8895941841292</v>
      </c>
      <c r="AA41" s="271">
        <f t="shared" si="3"/>
        <v>0</v>
      </c>
      <c r="AB41" s="274">
        <f t="shared" si="3"/>
        <v>0</v>
      </c>
      <c r="AC41" s="274">
        <f t="shared" si="3"/>
        <v>0</v>
      </c>
      <c r="AH41" s="277">
        <f t="shared" ref="AH41:AQ41" si="4">AH40*AH39</f>
        <v>1191.0439925628025</v>
      </c>
      <c r="AI41" s="277">
        <f t="shared" si="4"/>
        <v>3341.6450615304316</v>
      </c>
      <c r="AJ41" s="277">
        <f t="shared" si="4"/>
        <v>9191.9331631174737</v>
      </c>
      <c r="AK41" s="277">
        <f t="shared" si="4"/>
        <v>2423.3383641026812</v>
      </c>
      <c r="AL41" s="277">
        <f t="shared" si="4"/>
        <v>9327.073637720745</v>
      </c>
      <c r="AM41" s="277">
        <f t="shared" si="4"/>
        <v>7382.9804752802547</v>
      </c>
      <c r="AN41" s="277">
        <f t="shared" si="4"/>
        <v>1691.6758952821096</v>
      </c>
      <c r="AO41" s="277">
        <f t="shared" si="4"/>
        <v>8183.9915499674489</v>
      </c>
      <c r="AP41" s="277">
        <f t="shared" si="4"/>
        <v>1183.7146029031117</v>
      </c>
      <c r="AQ41" s="277">
        <f t="shared" si="4"/>
        <v>2762.4025629372913</v>
      </c>
    </row>
    <row r="42" spans="1:43" ht="49.5" customHeight="1" thickTop="1" thickBot="1">
      <c r="A42" s="740" t="s">
        <v>214</v>
      </c>
      <c r="B42" s="741"/>
      <c r="C42" s="741"/>
      <c r="D42" s="741"/>
      <c r="E42" s="741"/>
      <c r="F42" s="741"/>
      <c r="G42" s="741"/>
      <c r="H42" s="741"/>
      <c r="I42" s="741"/>
      <c r="J42" s="741"/>
      <c r="K42" s="723"/>
      <c r="L42" s="44"/>
      <c r="M42" s="44"/>
      <c r="N42" s="44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  <c r="AA42" s="45"/>
      <c r="AB42" s="45"/>
      <c r="AC42" s="45"/>
      <c r="AG42" s="295" t="s">
        <v>183</v>
      </c>
      <c r="AH42" s="294">
        <v>106.54</v>
      </c>
      <c r="AI42" s="277" t="s">
        <v>196</v>
      </c>
      <c r="AJ42" s="277">
        <v>155.08000000000001</v>
      </c>
      <c r="AK42" s="277">
        <v>72.09</v>
      </c>
      <c r="AL42" s="277">
        <v>59.55</v>
      </c>
      <c r="AM42" s="277">
        <v>619.98</v>
      </c>
      <c r="AN42" s="277">
        <v>56.09</v>
      </c>
      <c r="AO42" s="277" t="s">
        <v>196</v>
      </c>
      <c r="AP42" s="277">
        <v>32.74</v>
      </c>
      <c r="AQ42" s="277">
        <v>131.30000000000001</v>
      </c>
    </row>
    <row r="43" spans="1:43" ht="38.25" customHeight="1" thickTop="1" thickBot="1">
      <c r="A43" s="726" t="s">
        <v>49</v>
      </c>
      <c r="B43" s="722"/>
      <c r="C43" s="288"/>
      <c r="D43" s="722" t="s">
        <v>47</v>
      </c>
      <c r="E43" s="722"/>
      <c r="F43" s="288"/>
      <c r="G43" s="722" t="s">
        <v>48</v>
      </c>
      <c r="H43" s="722"/>
      <c r="I43" s="289"/>
      <c r="J43" s="722" t="s">
        <v>50</v>
      </c>
      <c r="K43" s="723"/>
      <c r="L43" s="44"/>
      <c r="M43" s="44"/>
      <c r="N43" s="44"/>
      <c r="O43" s="45"/>
      <c r="P43" s="45"/>
      <c r="Q43" s="45"/>
      <c r="R43" s="729" t="s">
        <v>165</v>
      </c>
      <c r="S43" s="730"/>
      <c r="T43" s="730"/>
      <c r="U43" s="731"/>
      <c r="AC43" s="45"/>
    </row>
    <row r="44" spans="1:43" ht="24.75" thickTop="1" thickBot="1">
      <c r="A44" s="281" t="s">
        <v>135</v>
      </c>
      <c r="B44" s="282">
        <f>SUM(B41:AC41)</f>
        <v>258914.64023374786</v>
      </c>
      <c r="C44" s="12"/>
      <c r="D44" s="281" t="s">
        <v>135</v>
      </c>
      <c r="E44" s="282">
        <f>SUM(B41:H41)+P41+R41+T41+V41+X41+Z41</f>
        <v>122680.21410461707</v>
      </c>
      <c r="F44" s="12"/>
      <c r="G44" s="281" t="s">
        <v>135</v>
      </c>
      <c r="H44" s="282">
        <f>SUM(I41:N41)+O41+Q41+S41+U41+W41+Y41</f>
        <v>136234.42612913079</v>
      </c>
      <c r="I44" s="12"/>
      <c r="J44" s="281" t="s">
        <v>197</v>
      </c>
      <c r="K44" s="282">
        <v>129151.28000000001</v>
      </c>
      <c r="L44" s="12"/>
      <c r="M44" s="12"/>
      <c r="N44" s="12"/>
      <c r="O44" s="12"/>
      <c r="P44" s="12"/>
      <c r="Q44" s="12"/>
      <c r="R44" s="308" t="s">
        <v>135</v>
      </c>
      <c r="S44" s="309"/>
      <c r="T44" s="304" t="s">
        <v>166</v>
      </c>
      <c r="U44" s="254" t="s">
        <v>167</v>
      </c>
    </row>
    <row r="45" spans="1:43" ht="24" thickBot="1">
      <c r="A45" s="283" t="s">
        <v>182</v>
      </c>
      <c r="B45" s="284">
        <f>SUM(AH41:AQ41)</f>
        <v>46679.799305404347</v>
      </c>
      <c r="C45" s="12"/>
      <c r="D45" s="283" t="s">
        <v>182</v>
      </c>
      <c r="E45" s="284">
        <f>AH41*(1-$AG$40)+AI41+AJ41*0.5+AL41+AM41*(1-$AG$40)+AN41*(1-$AG$40)+AO41*(1-$AG$40)+AP41*0.5+AQ41*0.5</f>
        <v>22718.025993727755</v>
      </c>
      <c r="F45" s="24"/>
      <c r="G45" s="283" t="s">
        <v>182</v>
      </c>
      <c r="H45" s="284">
        <f>AH41*AG40+AJ41*0.5+AK41+AM41*AG40+AN41*AG40+AO41*AG40+AP41*0.5+AQ41*0.5</f>
        <v>23961.773311676603</v>
      </c>
      <c r="I45" s="12"/>
      <c r="J45" s="12"/>
      <c r="K45" s="287"/>
      <c r="L45" s="12"/>
      <c r="M45" s="12"/>
      <c r="N45" s="12"/>
      <c r="O45" s="12"/>
      <c r="P45" s="12"/>
      <c r="Q45" s="12"/>
      <c r="R45" s="306" t="s">
        <v>140</v>
      </c>
      <c r="S45" s="307"/>
      <c r="T45" s="253">
        <f>$W$39+$X$39</f>
        <v>1695.0499699910497</v>
      </c>
      <c r="U45" s="255">
        <f>(T45*8.34*0.895)/27000</f>
        <v>0.46860598114830343</v>
      </c>
    </row>
    <row r="46" spans="1:43" ht="32.25" thickBot="1">
      <c r="A46" s="285" t="s">
        <v>183</v>
      </c>
      <c r="B46" s="286">
        <f>SUM(AH42:AQ42)</f>
        <v>1233.3699999999999</v>
      </c>
      <c r="C46" s="12"/>
      <c r="D46" s="285" t="s">
        <v>183</v>
      </c>
      <c r="E46" s="286">
        <f>AH42*(1-$AG$40)+AJ42*0.5+AL42+AM42*(1-$AG$40)+AN42*(1-$AG$40)+AP42*0.5+AQ42*0.5</f>
        <v>366.73867643467827</v>
      </c>
      <c r="F46" s="23"/>
      <c r="G46" s="285" t="s">
        <v>183</v>
      </c>
      <c r="H46" s="286">
        <f>AH42*AG40+AJ42*0.5+AK42+AM42*AG40+AN42*AG40+AP42*0.5+AQ42*0.5</f>
        <v>866.63132356532174</v>
      </c>
      <c r="I46" s="12"/>
      <c r="J46" s="724" t="s">
        <v>198</v>
      </c>
      <c r="K46" s="725"/>
      <c r="L46" s="12"/>
      <c r="M46" s="12"/>
      <c r="N46" s="12"/>
      <c r="O46" s="12"/>
      <c r="P46" s="12"/>
      <c r="Q46" s="12"/>
      <c r="R46" s="306" t="s">
        <v>144</v>
      </c>
      <c r="S46" s="307"/>
      <c r="T46" s="253">
        <f>$M$39+$N$39+$F$39</f>
        <v>0</v>
      </c>
      <c r="U46" s="256">
        <f>(((T46*8.34)*0.005)/(8.34*1.055))/400</f>
        <v>0</v>
      </c>
    </row>
    <row r="47" spans="1:43" ht="24.75" thickTop="1" thickBot="1">
      <c r="A47" s="285" t="s">
        <v>184</v>
      </c>
      <c r="B47" s="286">
        <f>K44</f>
        <v>129151.28000000001</v>
      </c>
      <c r="C47" s="12"/>
      <c r="D47" s="285" t="s">
        <v>186</v>
      </c>
      <c r="E47" s="286">
        <f>K44*0.5</f>
        <v>64575.640000000007</v>
      </c>
      <c r="F47" s="24"/>
      <c r="G47" s="285" t="s">
        <v>184</v>
      </c>
      <c r="H47" s="286">
        <f>K44*0.5</f>
        <v>64575.640000000007</v>
      </c>
      <c r="I47" s="12"/>
      <c r="J47" s="281" t="s">
        <v>197</v>
      </c>
      <c r="K47" s="282">
        <v>98347.10000000002</v>
      </c>
      <c r="L47" s="12"/>
      <c r="M47" s="12"/>
      <c r="N47" s="12"/>
      <c r="O47" s="12"/>
      <c r="P47" s="12"/>
      <c r="Q47" s="12"/>
      <c r="R47" s="306" t="s">
        <v>147</v>
      </c>
      <c r="S47" s="307"/>
      <c r="T47" s="253">
        <f>$G$39</f>
        <v>138040.0369677227</v>
      </c>
      <c r="U47" s="255">
        <f>T47/40000</f>
        <v>3.4510009241930675</v>
      </c>
    </row>
    <row r="48" spans="1:43" ht="24" thickBot="1">
      <c r="A48" s="285" t="s">
        <v>185</v>
      </c>
      <c r="B48" s="286">
        <f>K47</f>
        <v>98347.10000000002</v>
      </c>
      <c r="C48" s="12"/>
      <c r="D48" s="285" t="s">
        <v>185</v>
      </c>
      <c r="E48" s="286">
        <f>K47*0.5</f>
        <v>49173.55000000001</v>
      </c>
      <c r="F48" s="23"/>
      <c r="G48" s="285" t="s">
        <v>185</v>
      </c>
      <c r="H48" s="286">
        <f>K47*0.5</f>
        <v>49173.55000000001</v>
      </c>
      <c r="I48" s="12"/>
      <c r="J48" s="12"/>
      <c r="K48" s="86"/>
      <c r="L48" s="12"/>
      <c r="M48" s="12"/>
      <c r="N48" s="12"/>
      <c r="O48" s="12"/>
      <c r="P48" s="12"/>
      <c r="Q48" s="12"/>
      <c r="R48" s="306" t="s">
        <v>149</v>
      </c>
      <c r="S48" s="307"/>
      <c r="T48" s="253">
        <f>$L$39</f>
        <v>0.37426203489302723</v>
      </c>
      <c r="U48" s="255">
        <f>T48*9.34*0.107</f>
        <v>0.37402999243139357</v>
      </c>
    </row>
    <row r="49" spans="1:25" ht="48" thickTop="1" thickBot="1">
      <c r="A49" s="290" t="s">
        <v>193</v>
      </c>
      <c r="B49" s="291">
        <f>AD40</f>
        <v>735.76167713569214</v>
      </c>
      <c r="C49" s="12"/>
      <c r="D49" s="290" t="s">
        <v>194</v>
      </c>
      <c r="E49" s="291">
        <f>AF40</f>
        <v>136.56027361652403</v>
      </c>
      <c r="F49" s="23"/>
      <c r="G49" s="290" t="s">
        <v>195</v>
      </c>
      <c r="H49" s="291">
        <f>AE40</f>
        <v>587.37384484938593</v>
      </c>
      <c r="I49" s="12"/>
      <c r="J49" s="12"/>
      <c r="K49" s="86"/>
      <c r="L49" s="12"/>
      <c r="M49" s="12"/>
      <c r="N49" s="12"/>
      <c r="O49" s="12"/>
      <c r="P49" s="12"/>
      <c r="Q49" s="12"/>
      <c r="R49" s="306" t="s">
        <v>151</v>
      </c>
      <c r="S49" s="307"/>
      <c r="T49" s="253">
        <f>$E$39+$K$39</f>
        <v>1287.7366567452732</v>
      </c>
      <c r="U49" s="255">
        <f>(T49*8.34*1.04)/45000</f>
        <v>0.2482069481321289</v>
      </c>
    </row>
    <row r="50" spans="1:25" ht="48" thickTop="1" thickBot="1">
      <c r="A50" s="290" t="s">
        <v>189</v>
      </c>
      <c r="B50" s="292">
        <f>(SUM(B44:B48)/AD40)</f>
        <v>726.22182718088152</v>
      </c>
      <c r="C50" s="12"/>
      <c r="D50" s="290" t="s">
        <v>187</v>
      </c>
      <c r="E50" s="292">
        <f>SUM(E44:E48)/AF40</f>
        <v>1900.363567691167</v>
      </c>
      <c r="F50" s="23"/>
      <c r="G50" s="290" t="s">
        <v>188</v>
      </c>
      <c r="H50" s="292">
        <f>SUM(H44:H48)/AE40</f>
        <v>467.86560752435253</v>
      </c>
      <c r="I50" s="12"/>
      <c r="J50" s="12"/>
      <c r="K50" s="86"/>
      <c r="L50" s="12"/>
      <c r="M50" s="12"/>
      <c r="N50" s="12"/>
      <c r="O50" s="12"/>
      <c r="P50" s="12"/>
      <c r="Q50" s="12"/>
      <c r="R50" s="306" t="s">
        <v>152</v>
      </c>
      <c r="S50" s="307"/>
      <c r="T50" s="253">
        <f>$U$39+$V$39+$AB$39</f>
        <v>19678.198854404021</v>
      </c>
      <c r="U50" s="255">
        <f>T50/2000/8</f>
        <v>1.2298874284002514</v>
      </c>
    </row>
    <row r="51" spans="1:25" ht="47.25" customHeight="1" thickTop="1" thickBot="1">
      <c r="A51" s="280" t="s">
        <v>190</v>
      </c>
      <c r="B51" s="293">
        <f>B50/1000</f>
        <v>0.72622182718088157</v>
      </c>
      <c r="C51" s="12"/>
      <c r="D51" s="280" t="s">
        <v>191</v>
      </c>
      <c r="E51" s="293">
        <f>E50/1000</f>
        <v>1.900363567691167</v>
      </c>
      <c r="F51" s="12"/>
      <c r="G51" s="280" t="s">
        <v>192</v>
      </c>
      <c r="H51" s="293">
        <f>H50/1000</f>
        <v>0.46786560752435252</v>
      </c>
      <c r="I51" s="12"/>
      <c r="J51" s="12"/>
      <c r="K51" s="86"/>
      <c r="L51" s="12"/>
      <c r="M51" s="12"/>
      <c r="N51" s="12"/>
      <c r="O51" s="12"/>
      <c r="P51" s="12"/>
      <c r="Q51" s="12"/>
      <c r="R51" s="306" t="s">
        <v>153</v>
      </c>
      <c r="S51" s="307"/>
      <c r="T51" s="253">
        <f>$C$39+$J$39+$S$39+$T$39</f>
        <v>57530.337201730428</v>
      </c>
      <c r="U51" s="255">
        <f>(T51*8.34*1.4)/45000</f>
        <v>14.927204825942322</v>
      </c>
    </row>
    <row r="52" spans="1:25" ht="16.5" thickTop="1" thickBot="1">
      <c r="A52" s="301"/>
      <c r="B52" s="12"/>
      <c r="C52" s="12"/>
      <c r="D52" s="12"/>
      <c r="E52" s="12"/>
      <c r="F52" s="12"/>
      <c r="G52" s="12"/>
      <c r="H52" s="12"/>
      <c r="I52" s="12"/>
      <c r="J52" s="12"/>
      <c r="K52" s="86"/>
      <c r="L52" s="12"/>
      <c r="M52" s="12"/>
      <c r="N52" s="12"/>
      <c r="O52" s="12"/>
      <c r="P52" s="12"/>
      <c r="Q52" s="12"/>
      <c r="R52" s="306" t="s">
        <v>154</v>
      </c>
      <c r="S52" s="307"/>
      <c r="T52" s="253">
        <f>$H$39</f>
        <v>1092.1339846869328</v>
      </c>
      <c r="U52" s="255">
        <f>(T52*8.34*1.135)/45000</f>
        <v>0.22973402412551194</v>
      </c>
    </row>
    <row r="53" spans="1:25" ht="48" customHeight="1" thickTop="1" thickBot="1">
      <c r="A53" s="732" t="s">
        <v>51</v>
      </c>
      <c r="B53" s="733"/>
      <c r="C53" s="733"/>
      <c r="D53" s="733"/>
      <c r="E53" s="734"/>
      <c r="F53" s="12"/>
      <c r="G53" s="12"/>
      <c r="H53" s="12"/>
      <c r="I53" s="12"/>
      <c r="J53" s="12"/>
      <c r="K53" s="86"/>
      <c r="L53" s="12"/>
      <c r="M53" s="12"/>
      <c r="N53" s="12"/>
      <c r="O53" s="12"/>
      <c r="P53" s="12"/>
      <c r="Q53" s="12"/>
      <c r="R53" s="306" t="s">
        <v>155</v>
      </c>
      <c r="S53" s="307"/>
      <c r="T53" s="253">
        <f>$B$39+$I$39+$AC$39</f>
        <v>24188.098259957638</v>
      </c>
      <c r="U53" s="255">
        <f>(T53*8.34*1.029*0.03)/3300</f>
        <v>1.8870806630290913</v>
      </c>
    </row>
    <row r="54" spans="1:25" ht="42.75" customHeight="1" thickBot="1">
      <c r="A54" s="735" t="s">
        <v>199</v>
      </c>
      <c r="B54" s="736"/>
      <c r="C54" s="736"/>
      <c r="D54" s="736"/>
      <c r="E54" s="737"/>
      <c r="F54" s="87"/>
      <c r="G54" s="87"/>
      <c r="H54" s="87"/>
      <c r="I54" s="87"/>
      <c r="J54" s="87"/>
      <c r="K54" s="88"/>
      <c r="L54" s="12"/>
      <c r="M54" s="12"/>
      <c r="N54" s="12"/>
      <c r="O54" s="12"/>
      <c r="P54" s="12"/>
      <c r="Q54" s="12"/>
      <c r="R54" s="738" t="s">
        <v>157</v>
      </c>
      <c r="S54" s="739"/>
      <c r="T54" s="257">
        <f>$D$39+$Y$39+$Z$39</f>
        <v>64704.058304858219</v>
      </c>
      <c r="U54" s="258">
        <f>(T54*1.54*8.34)/45000</f>
        <v>18.467400960983934</v>
      </c>
    </row>
    <row r="55" spans="1:25" ht="24" thickTop="1">
      <c r="A55" s="718"/>
      <c r="B55" s="719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</row>
    <row r="56" spans="1:25">
      <c r="A56" s="720"/>
      <c r="B56" s="721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</row>
    <row r="57" spans="1:25">
      <c r="A57" s="716"/>
      <c r="B57" s="717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</row>
    <row r="58" spans="1:25">
      <c r="A58" s="717"/>
      <c r="B58" s="717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</row>
    <row r="59" spans="1:25">
      <c r="A59" s="716"/>
      <c r="B59" s="717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</row>
    <row r="60" spans="1:25">
      <c r="A60" s="717"/>
      <c r="B60" s="717"/>
      <c r="C60" s="12"/>
      <c r="D60" s="12"/>
      <c r="E60" s="12"/>
      <c r="F60" s="12"/>
      <c r="G60" s="12"/>
      <c r="H60" s="12"/>
      <c r="I60" s="12"/>
      <c r="J60" s="12"/>
      <c r="K60" s="12"/>
    </row>
    <row r="61" spans="1:25">
      <c r="A61" s="12"/>
      <c r="B61" s="12"/>
    </row>
  </sheetData>
  <sheetProtection password="A25B" sheet="1" objects="1" scenarios="1"/>
  <customSheetViews>
    <customSheetView guid="{322E6371-A03C-4BCA-B267-212DFC76880A}" scale="75" fitToPage="1">
      <selection activeCell="A42" sqref="A42:K42"/>
      <pageMargins left="0.33" right="0.19" top="0.75" bottom="0.75" header="0.3" footer="0.3"/>
      <pageSetup scale="47" orientation="landscape" r:id="rId1"/>
    </customSheetView>
  </customSheetViews>
  <mergeCells count="34">
    <mergeCell ref="R43:U43"/>
    <mergeCell ref="A53:E53"/>
    <mergeCell ref="A54:E54"/>
    <mergeCell ref="R54:S54"/>
    <mergeCell ref="AM4:AM5"/>
    <mergeCell ref="A42:K42"/>
    <mergeCell ref="AD4:AD5"/>
    <mergeCell ref="AE4:AE5"/>
    <mergeCell ref="AF4:AF5"/>
    <mergeCell ref="AG4:AG5"/>
    <mergeCell ref="B4:H5"/>
    <mergeCell ref="I4:N5"/>
    <mergeCell ref="O4:T5"/>
    <mergeCell ref="U4:AA5"/>
    <mergeCell ref="AB4:AB5"/>
    <mergeCell ref="AC4:AC5"/>
    <mergeCell ref="AN4:AN5"/>
    <mergeCell ref="AO4:AO5"/>
    <mergeCell ref="AP4:AP5"/>
    <mergeCell ref="AQ4:AQ5"/>
    <mergeCell ref="AH4:AH5"/>
    <mergeCell ref="AI4:AI5"/>
    <mergeCell ref="AJ4:AJ5"/>
    <mergeCell ref="AK4:AK5"/>
    <mergeCell ref="AL4:AL5"/>
    <mergeCell ref="A57:B58"/>
    <mergeCell ref="A59:B60"/>
    <mergeCell ref="A55:B55"/>
    <mergeCell ref="A56:B56"/>
    <mergeCell ref="J43:K43"/>
    <mergeCell ref="J46:K46"/>
    <mergeCell ref="A43:B43"/>
    <mergeCell ref="D43:E43"/>
    <mergeCell ref="G43:H43"/>
  </mergeCells>
  <pageMargins left="0.33" right="0.19" top="0.75" bottom="0.75" header="0.3" footer="0.3"/>
  <pageSetup scale="47" orientation="landscape"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BF75"/>
  <sheetViews>
    <sheetView topLeftCell="A22" zoomScale="75" zoomScaleNormal="75" workbookViewId="0">
      <selection activeCell="AF15" sqref="AF15"/>
    </sheetView>
  </sheetViews>
  <sheetFormatPr defaultRowHeight="15"/>
  <cols>
    <col min="1" max="1" width="38.7109375" customWidth="1"/>
    <col min="2" max="2" width="28.7109375" bestFit="1" customWidth="1"/>
    <col min="3" max="3" width="25.28515625" customWidth="1"/>
    <col min="4" max="4" width="38.7109375" customWidth="1"/>
    <col min="5" max="5" width="26.42578125" bestFit="1" customWidth="1"/>
    <col min="6" max="6" width="16.7109375" customWidth="1"/>
    <col min="7" max="7" width="43.7109375" customWidth="1"/>
    <col min="8" max="8" width="26.42578125" bestFit="1" customWidth="1"/>
    <col min="9" max="9" width="16.7109375" customWidth="1"/>
    <col min="10" max="10" width="25.28515625" bestFit="1" customWidth="1"/>
    <col min="11" max="11" width="28.7109375" bestFit="1" customWidth="1"/>
    <col min="12" max="12" width="17" bestFit="1" customWidth="1"/>
    <col min="13" max="13" width="16" bestFit="1" customWidth="1"/>
    <col min="14" max="14" width="20.7109375" bestFit="1" customWidth="1"/>
    <col min="15" max="16" width="16.140625" bestFit="1" customWidth="1"/>
    <col min="17" max="17" width="24" bestFit="1" customWidth="1"/>
    <col min="18" max="18" width="24.42578125" bestFit="1" customWidth="1"/>
    <col min="19" max="19" width="26" bestFit="1" customWidth="1"/>
    <col min="20" max="20" width="25.85546875" bestFit="1" customWidth="1"/>
    <col min="21" max="21" width="23" bestFit="1" customWidth="1"/>
    <col min="22" max="23" width="20.140625" bestFit="1" customWidth="1"/>
    <col min="24" max="24" width="19.85546875" bestFit="1" customWidth="1"/>
    <col min="25" max="25" width="22.42578125" bestFit="1" customWidth="1"/>
    <col min="26" max="26" width="22.140625" bestFit="1" customWidth="1"/>
    <col min="27" max="27" width="21.140625" bestFit="1" customWidth="1"/>
    <col min="28" max="28" width="32.7109375" bestFit="1" customWidth="1"/>
    <col min="29" max="29" width="36.7109375" customWidth="1"/>
    <col min="30" max="30" width="33.140625" bestFit="1" customWidth="1"/>
    <col min="31" max="31" width="26.85546875" customWidth="1"/>
    <col min="32" max="32" width="23" customWidth="1"/>
    <col min="33" max="33" width="22.28515625" customWidth="1"/>
    <col min="34" max="34" width="23.42578125" bestFit="1" customWidth="1"/>
    <col min="35" max="38" width="18.85546875" bestFit="1" customWidth="1"/>
    <col min="39" max="39" width="23.42578125" bestFit="1" customWidth="1"/>
    <col min="40" max="43" width="18.85546875" bestFit="1" customWidth="1"/>
  </cols>
  <sheetData>
    <row r="1" spans="1:58" ht="15" customHeight="1">
      <c r="A1" s="1" t="s">
        <v>0</v>
      </c>
      <c r="B1" s="2"/>
      <c r="C1" t="s">
        <v>1</v>
      </c>
      <c r="O1" s="3"/>
      <c r="P1" s="4"/>
      <c r="Q1" s="4"/>
      <c r="R1" s="4"/>
    </row>
    <row r="2" spans="1:58" ht="15" customHeight="1">
      <c r="A2" s="1" t="s">
        <v>2</v>
      </c>
      <c r="B2" s="5"/>
      <c r="O2" s="4"/>
      <c r="P2" s="4"/>
      <c r="Q2" s="4"/>
      <c r="R2" s="4"/>
    </row>
    <row r="3" spans="1:58" ht="15.75" thickBot="1">
      <c r="A3" s="6"/>
      <c r="BE3" t="s">
        <v>168</v>
      </c>
      <c r="BF3" s="259" t="s">
        <v>205</v>
      </c>
    </row>
    <row r="4" spans="1:58" ht="30" customHeight="1" thickTop="1">
      <c r="A4" s="13"/>
      <c r="B4" s="744" t="s">
        <v>3</v>
      </c>
      <c r="C4" s="745"/>
      <c r="D4" s="745"/>
      <c r="E4" s="745"/>
      <c r="F4" s="745"/>
      <c r="G4" s="745"/>
      <c r="H4" s="746"/>
      <c r="I4" s="744" t="s">
        <v>4</v>
      </c>
      <c r="J4" s="745"/>
      <c r="K4" s="745"/>
      <c r="L4" s="745"/>
      <c r="M4" s="745"/>
      <c r="N4" s="746"/>
      <c r="O4" s="750" t="s">
        <v>5</v>
      </c>
      <c r="P4" s="751"/>
      <c r="Q4" s="752"/>
      <c r="R4" s="752"/>
      <c r="S4" s="752"/>
      <c r="T4" s="753"/>
      <c r="U4" s="744" t="s">
        <v>6</v>
      </c>
      <c r="V4" s="757"/>
      <c r="W4" s="757"/>
      <c r="X4" s="757"/>
      <c r="Y4" s="757"/>
      <c r="Z4" s="757"/>
      <c r="AA4" s="758"/>
      <c r="AB4" s="727" t="s">
        <v>7</v>
      </c>
      <c r="AC4" s="763" t="s">
        <v>8</v>
      </c>
      <c r="AD4" s="742" t="s">
        <v>27</v>
      </c>
      <c r="AE4" s="742" t="s">
        <v>31</v>
      </c>
      <c r="AF4" s="742" t="s">
        <v>32</v>
      </c>
      <c r="AG4" s="742" t="s">
        <v>33</v>
      </c>
      <c r="AH4" s="727" t="s">
        <v>172</v>
      </c>
      <c r="AI4" s="727" t="s">
        <v>173</v>
      </c>
      <c r="AJ4" s="727" t="s">
        <v>174</v>
      </c>
      <c r="AK4" s="727" t="s">
        <v>175</v>
      </c>
      <c r="AL4" s="727" t="s">
        <v>176</v>
      </c>
      <c r="AM4" s="727" t="s">
        <v>177</v>
      </c>
      <c r="AN4" s="727" t="s">
        <v>178</v>
      </c>
      <c r="AO4" s="727" t="s">
        <v>181</v>
      </c>
      <c r="AP4" s="727" t="s">
        <v>179</v>
      </c>
      <c r="AQ4" s="727" t="s">
        <v>180</v>
      </c>
    </row>
    <row r="5" spans="1:58" ht="30" customHeight="1" thickBot="1">
      <c r="A5" s="13"/>
      <c r="B5" s="747"/>
      <c r="C5" s="748"/>
      <c r="D5" s="748"/>
      <c r="E5" s="748"/>
      <c r="F5" s="748"/>
      <c r="G5" s="748"/>
      <c r="H5" s="749"/>
      <c r="I5" s="747"/>
      <c r="J5" s="748"/>
      <c r="K5" s="748"/>
      <c r="L5" s="748"/>
      <c r="M5" s="748"/>
      <c r="N5" s="749"/>
      <c r="O5" s="754"/>
      <c r="P5" s="755"/>
      <c r="Q5" s="755"/>
      <c r="R5" s="755"/>
      <c r="S5" s="755"/>
      <c r="T5" s="756"/>
      <c r="U5" s="759"/>
      <c r="V5" s="760"/>
      <c r="W5" s="760"/>
      <c r="X5" s="760"/>
      <c r="Y5" s="760"/>
      <c r="Z5" s="760"/>
      <c r="AA5" s="761"/>
      <c r="AB5" s="762"/>
      <c r="AC5" s="764"/>
      <c r="AD5" s="743"/>
      <c r="AE5" s="743"/>
      <c r="AF5" s="743"/>
      <c r="AG5" s="743"/>
      <c r="AH5" s="728"/>
      <c r="AI5" s="728"/>
      <c r="AJ5" s="728"/>
      <c r="AK5" s="728"/>
      <c r="AL5" s="728"/>
      <c r="AM5" s="728"/>
      <c r="AN5" s="728"/>
      <c r="AO5" s="728"/>
      <c r="AP5" s="728"/>
      <c r="AQ5" s="728"/>
    </row>
    <row r="6" spans="1:58" ht="18">
      <c r="A6" s="7"/>
      <c r="B6" s="14" t="s">
        <v>9</v>
      </c>
      <c r="C6" s="8" t="s">
        <v>10</v>
      </c>
      <c r="D6" s="8" t="s">
        <v>11</v>
      </c>
      <c r="E6" s="8" t="s">
        <v>12</v>
      </c>
      <c r="F6" s="8" t="s">
        <v>13</v>
      </c>
      <c r="G6" s="8" t="s">
        <v>14</v>
      </c>
      <c r="H6" s="15" t="s">
        <v>15</v>
      </c>
      <c r="I6" s="16" t="s">
        <v>9</v>
      </c>
      <c r="J6" s="8" t="s">
        <v>16</v>
      </c>
      <c r="K6" s="8" t="s">
        <v>17</v>
      </c>
      <c r="L6" s="9" t="s">
        <v>18</v>
      </c>
      <c r="M6" s="8" t="s">
        <v>19</v>
      </c>
      <c r="N6" s="15" t="s">
        <v>13</v>
      </c>
      <c r="O6" s="14" t="s">
        <v>35</v>
      </c>
      <c r="P6" s="9" t="s">
        <v>36</v>
      </c>
      <c r="Q6" s="9" t="s">
        <v>37</v>
      </c>
      <c r="R6" s="9" t="s">
        <v>38</v>
      </c>
      <c r="S6" s="8" t="s">
        <v>39</v>
      </c>
      <c r="T6" s="39" t="s">
        <v>40</v>
      </c>
      <c r="U6" s="17" t="s">
        <v>41</v>
      </c>
      <c r="V6" s="8" t="s">
        <v>42</v>
      </c>
      <c r="W6" s="8" t="s">
        <v>43</v>
      </c>
      <c r="X6" s="8" t="s">
        <v>44</v>
      </c>
      <c r="Y6" s="8" t="s">
        <v>45</v>
      </c>
      <c r="Z6" s="8" t="s">
        <v>46</v>
      </c>
      <c r="AA6" s="18" t="s">
        <v>20</v>
      </c>
      <c r="AB6" s="19" t="s">
        <v>21</v>
      </c>
      <c r="AC6" s="19" t="s">
        <v>22</v>
      </c>
      <c r="AD6" s="42" t="s">
        <v>30</v>
      </c>
      <c r="AE6" s="42"/>
      <c r="AF6" s="42"/>
      <c r="AG6" s="42"/>
      <c r="AH6" s="42"/>
      <c r="AI6" s="42"/>
      <c r="AJ6" s="42"/>
      <c r="AK6" s="42"/>
      <c r="AL6" s="42"/>
      <c r="AM6" s="42"/>
      <c r="AN6" s="42"/>
      <c r="AO6" s="42"/>
      <c r="AP6" s="42"/>
      <c r="AQ6" s="42"/>
    </row>
    <row r="7" spans="1:58" ht="15.75" thickBot="1">
      <c r="A7" s="7"/>
      <c r="B7" s="20" t="s">
        <v>23</v>
      </c>
      <c r="C7" s="10" t="s">
        <v>23</v>
      </c>
      <c r="D7" s="10" t="s">
        <v>23</v>
      </c>
      <c r="E7" s="10" t="s">
        <v>23</v>
      </c>
      <c r="F7" s="10" t="s">
        <v>23</v>
      </c>
      <c r="G7" s="10" t="s">
        <v>24</v>
      </c>
      <c r="H7" s="21" t="s">
        <v>23</v>
      </c>
      <c r="I7" s="20" t="s">
        <v>23</v>
      </c>
      <c r="J7" s="10" t="s">
        <v>23</v>
      </c>
      <c r="K7" s="10" t="s">
        <v>23</v>
      </c>
      <c r="L7" s="10" t="s">
        <v>23</v>
      </c>
      <c r="M7" s="10" t="s">
        <v>23</v>
      </c>
      <c r="N7" s="21" t="s">
        <v>23</v>
      </c>
      <c r="O7" s="20" t="s">
        <v>23</v>
      </c>
      <c r="P7" s="10" t="s">
        <v>23</v>
      </c>
      <c r="Q7" s="10" t="s">
        <v>23</v>
      </c>
      <c r="R7" s="10" t="s">
        <v>23</v>
      </c>
      <c r="S7" s="10" t="s">
        <v>23</v>
      </c>
      <c r="T7" s="40" t="s">
        <v>23</v>
      </c>
      <c r="U7" s="20" t="s">
        <v>25</v>
      </c>
      <c r="V7" s="10" t="s">
        <v>25</v>
      </c>
      <c r="W7" s="10" t="s">
        <v>23</v>
      </c>
      <c r="X7" s="10" t="s">
        <v>23</v>
      </c>
      <c r="Y7" s="10" t="s">
        <v>23</v>
      </c>
      <c r="Z7" s="10" t="s">
        <v>23</v>
      </c>
      <c r="AA7" s="21" t="s">
        <v>23</v>
      </c>
      <c r="AB7" s="22" t="s">
        <v>25</v>
      </c>
      <c r="AC7" s="25" t="s">
        <v>23</v>
      </c>
      <c r="AD7" s="22" t="s">
        <v>28</v>
      </c>
      <c r="AE7" s="22" t="s">
        <v>28</v>
      </c>
      <c r="AF7" s="22" t="s">
        <v>28</v>
      </c>
      <c r="AG7" s="22" t="s">
        <v>34</v>
      </c>
      <c r="AH7" s="22" t="s">
        <v>169</v>
      </c>
      <c r="AI7" s="22" t="s">
        <v>169</v>
      </c>
      <c r="AJ7" s="22" t="s">
        <v>169</v>
      </c>
      <c r="AK7" s="22" t="s">
        <v>169</v>
      </c>
      <c r="AL7" s="22" t="s">
        <v>169</v>
      </c>
      <c r="AM7" s="22" t="s">
        <v>169</v>
      </c>
      <c r="AN7" s="22" t="s">
        <v>169</v>
      </c>
      <c r="AO7" s="22" t="s">
        <v>169</v>
      </c>
      <c r="AP7" s="22" t="s">
        <v>169</v>
      </c>
      <c r="AQ7" s="22" t="s">
        <v>169</v>
      </c>
    </row>
    <row r="8" spans="1:58">
      <c r="A8" s="11">
        <v>41153</v>
      </c>
      <c r="B8" s="49"/>
      <c r="C8" s="50">
        <v>140.03158885637939</v>
      </c>
      <c r="D8" s="50">
        <v>1568.7001983006785</v>
      </c>
      <c r="E8" s="50">
        <v>13.833228987952079</v>
      </c>
      <c r="F8" s="50">
        <v>0</v>
      </c>
      <c r="G8" s="50">
        <v>4308.2827458699558</v>
      </c>
      <c r="H8" s="51">
        <v>31.303067175547326</v>
      </c>
      <c r="I8" s="49">
        <v>763.62386627197213</v>
      </c>
      <c r="J8" s="50">
        <v>1622.2887938181525</v>
      </c>
      <c r="K8" s="50">
        <v>29.48832254807142</v>
      </c>
      <c r="L8" s="50">
        <v>0</v>
      </c>
      <c r="M8" s="50">
        <v>0</v>
      </c>
      <c r="N8" s="51">
        <v>0</v>
      </c>
      <c r="O8" s="49">
        <v>0</v>
      </c>
      <c r="P8" s="50">
        <v>0</v>
      </c>
      <c r="Q8" s="50">
        <v>0</v>
      </c>
      <c r="R8" s="50">
        <v>0</v>
      </c>
      <c r="S8" s="50">
        <v>0</v>
      </c>
      <c r="T8" s="52">
        <v>0</v>
      </c>
      <c r="U8" s="53">
        <v>532.270102799715</v>
      </c>
      <c r="V8" s="54">
        <v>115.77708581078498</v>
      </c>
      <c r="W8" s="54">
        <v>48.343391289007045</v>
      </c>
      <c r="X8" s="54">
        <v>10.515444944608902</v>
      </c>
      <c r="Y8" s="54">
        <v>422.17366716582927</v>
      </c>
      <c r="Z8" s="54">
        <v>91.829386308597606</v>
      </c>
      <c r="AA8" s="55">
        <v>0</v>
      </c>
      <c r="AB8" s="56">
        <v>0</v>
      </c>
      <c r="AC8" s="57">
        <v>0</v>
      </c>
      <c r="AD8" s="57">
        <v>24.65057464175749</v>
      </c>
      <c r="AE8" s="58">
        <v>19.996702661844985</v>
      </c>
      <c r="AF8" s="58">
        <v>4.3495960938545108</v>
      </c>
      <c r="AG8" s="58">
        <v>0.82134466772546832</v>
      </c>
      <c r="AH8" s="57">
        <v>379.61833499272666</v>
      </c>
      <c r="AI8" s="57">
        <v>1126.7773777961729</v>
      </c>
      <c r="AJ8" s="57">
        <v>3210.3387554168698</v>
      </c>
      <c r="AK8" s="57">
        <v>825.12365436553955</v>
      </c>
      <c r="AL8" s="57">
        <v>3420.8193702697758</v>
      </c>
      <c r="AM8" s="57">
        <v>2063.3842363993331</v>
      </c>
      <c r="AN8" s="57">
        <v>560.88553126653039</v>
      </c>
      <c r="AO8" s="57">
        <v>2986.224187215169</v>
      </c>
      <c r="AP8" s="57">
        <v>404.17598419189454</v>
      </c>
      <c r="AQ8" s="57">
        <v>955.76141242980975</v>
      </c>
    </row>
    <row r="9" spans="1:58">
      <c r="A9" s="11">
        <v>41154</v>
      </c>
      <c r="B9" s="59"/>
      <c r="C9" s="60">
        <v>140.18451004028336</v>
      </c>
      <c r="D9" s="60">
        <v>1569.3038575490341</v>
      </c>
      <c r="E9" s="60">
        <v>13.831284890572254</v>
      </c>
      <c r="F9" s="60">
        <v>0</v>
      </c>
      <c r="G9" s="60">
        <v>4307.6459386189763</v>
      </c>
      <c r="H9" s="61">
        <v>31.113190342982705</v>
      </c>
      <c r="I9" s="59">
        <v>763.88600721358966</v>
      </c>
      <c r="J9" s="60">
        <v>1621.9193483988431</v>
      </c>
      <c r="K9" s="60">
        <v>29.466015597184381</v>
      </c>
      <c r="L9" s="50">
        <v>0</v>
      </c>
      <c r="M9" s="60">
        <v>0</v>
      </c>
      <c r="N9" s="61">
        <v>0</v>
      </c>
      <c r="O9" s="59">
        <v>0</v>
      </c>
      <c r="P9" s="60">
        <v>0</v>
      </c>
      <c r="Q9" s="62">
        <v>0</v>
      </c>
      <c r="R9" s="63">
        <v>0</v>
      </c>
      <c r="S9" s="60">
        <v>0</v>
      </c>
      <c r="T9" s="64">
        <v>0</v>
      </c>
      <c r="U9" s="65">
        <v>533.36445636525912</v>
      </c>
      <c r="V9" s="62">
        <v>116.01612127315865</v>
      </c>
      <c r="W9" s="62">
        <v>48.976847532847053</v>
      </c>
      <c r="X9" s="62">
        <v>10.653323098561636</v>
      </c>
      <c r="Y9" s="66">
        <v>418.20091067597565</v>
      </c>
      <c r="Z9" s="66">
        <v>90.96603080784071</v>
      </c>
      <c r="AA9" s="67">
        <v>0</v>
      </c>
      <c r="AB9" s="68">
        <v>0</v>
      </c>
      <c r="AC9" s="69">
        <v>0</v>
      </c>
      <c r="AD9" s="69">
        <v>24.65126298666004</v>
      </c>
      <c r="AE9" s="68">
        <v>19.999459155706113</v>
      </c>
      <c r="AF9" s="68">
        <v>4.3502330369330435</v>
      </c>
      <c r="AG9" s="68">
        <v>0.82134340744364287</v>
      </c>
      <c r="AH9" s="69">
        <v>375.17801342805234</v>
      </c>
      <c r="AI9" s="69">
        <v>1132.1982012430826</v>
      </c>
      <c r="AJ9" s="69">
        <v>3237.4392512003578</v>
      </c>
      <c r="AK9" s="69">
        <v>825.87254457473739</v>
      </c>
      <c r="AL9" s="69">
        <v>3392.2600331624349</v>
      </c>
      <c r="AM9" s="69">
        <v>2223.9254595438638</v>
      </c>
      <c r="AN9" s="69">
        <v>579.14949207305915</v>
      </c>
      <c r="AO9" s="69">
        <v>2935.3769332885745</v>
      </c>
      <c r="AP9" s="69">
        <v>429.27983721097303</v>
      </c>
      <c r="AQ9" s="69">
        <v>940.17572094599416</v>
      </c>
    </row>
    <row r="10" spans="1:58">
      <c r="A10" s="11">
        <v>41155</v>
      </c>
      <c r="B10" s="59"/>
      <c r="C10" s="60">
        <v>140.49210210641218</v>
      </c>
      <c r="D10" s="60">
        <v>1573.9789398829132</v>
      </c>
      <c r="E10" s="60">
        <v>13.856440258026131</v>
      </c>
      <c r="F10" s="60">
        <v>0</v>
      </c>
      <c r="G10" s="60">
        <v>4307.8501553853448</v>
      </c>
      <c r="H10" s="61">
        <v>30.994655267397636</v>
      </c>
      <c r="I10" s="59">
        <v>789.97669035593447</v>
      </c>
      <c r="J10" s="60">
        <v>1665.3779920577983</v>
      </c>
      <c r="K10" s="60">
        <v>30.696650008360432</v>
      </c>
      <c r="L10" s="50">
        <v>0</v>
      </c>
      <c r="M10" s="60">
        <v>0</v>
      </c>
      <c r="N10" s="61">
        <v>0</v>
      </c>
      <c r="O10" s="59">
        <v>0</v>
      </c>
      <c r="P10" s="60">
        <v>0</v>
      </c>
      <c r="Q10" s="60">
        <v>0</v>
      </c>
      <c r="R10" s="63">
        <v>0</v>
      </c>
      <c r="S10" s="60">
        <v>0</v>
      </c>
      <c r="T10" s="64">
        <v>0</v>
      </c>
      <c r="U10" s="65">
        <v>529.91652709641119</v>
      </c>
      <c r="V10" s="62">
        <v>111.9404308690183</v>
      </c>
      <c r="W10" s="62">
        <v>47.955542387776283</v>
      </c>
      <c r="X10" s="62">
        <v>10.130206934399844</v>
      </c>
      <c r="Y10" s="66">
        <v>416.3583981211043</v>
      </c>
      <c r="Z10" s="66">
        <v>87.952226621403511</v>
      </c>
      <c r="AA10" s="67">
        <v>0</v>
      </c>
      <c r="AB10" s="68">
        <v>0</v>
      </c>
      <c r="AC10" s="69">
        <v>0</v>
      </c>
      <c r="AD10" s="69">
        <v>24.469901735252808</v>
      </c>
      <c r="AE10" s="68">
        <v>19.797900666205209</v>
      </c>
      <c r="AF10" s="68">
        <v>4.1821408043645123</v>
      </c>
      <c r="AG10" s="68">
        <v>0.82559910042285867</v>
      </c>
      <c r="AH10" s="69">
        <v>389.30169531504316</v>
      </c>
      <c r="AI10" s="69">
        <v>1135.6694836298623</v>
      </c>
      <c r="AJ10" s="69">
        <v>3190.5081058502196</v>
      </c>
      <c r="AK10" s="69">
        <v>822.89558560053513</v>
      </c>
      <c r="AL10" s="69">
        <v>3340.7903920491531</v>
      </c>
      <c r="AM10" s="69">
        <v>2233.7955159505204</v>
      </c>
      <c r="AN10" s="69">
        <v>558.17699262301119</v>
      </c>
      <c r="AO10" s="69">
        <v>2952.0800170898437</v>
      </c>
      <c r="AP10" s="69">
        <v>410.79265847206119</v>
      </c>
      <c r="AQ10" s="69">
        <v>924.65304171244316</v>
      </c>
    </row>
    <row r="11" spans="1:58">
      <c r="A11" s="11">
        <v>41156</v>
      </c>
      <c r="B11" s="59"/>
      <c r="C11" s="60">
        <v>140.98425705432908</v>
      </c>
      <c r="D11" s="60">
        <v>1583.0992479324332</v>
      </c>
      <c r="E11" s="60">
        <v>13.882567370434627</v>
      </c>
      <c r="F11" s="60">
        <v>0</v>
      </c>
      <c r="G11" s="60">
        <v>4307.5571782430052</v>
      </c>
      <c r="H11" s="61">
        <v>32.064234618345992</v>
      </c>
      <c r="I11" s="59">
        <v>778.24969546000227</v>
      </c>
      <c r="J11" s="60">
        <v>1639.5474606196053</v>
      </c>
      <c r="K11" s="60">
        <v>29.996590876579216</v>
      </c>
      <c r="L11" s="50">
        <v>0</v>
      </c>
      <c r="M11" s="60">
        <v>0</v>
      </c>
      <c r="N11" s="61">
        <v>0</v>
      </c>
      <c r="O11" s="59">
        <v>0</v>
      </c>
      <c r="P11" s="60">
        <v>0</v>
      </c>
      <c r="Q11" s="60">
        <v>0</v>
      </c>
      <c r="R11" s="63">
        <v>0</v>
      </c>
      <c r="S11" s="60">
        <v>0</v>
      </c>
      <c r="T11" s="64">
        <v>0</v>
      </c>
      <c r="U11" s="65">
        <v>535.16821648312293</v>
      </c>
      <c r="V11" s="62">
        <v>116.29249156283637</v>
      </c>
      <c r="W11" s="62">
        <v>48.905571978614752</v>
      </c>
      <c r="X11" s="62">
        <v>10.627220828010625</v>
      </c>
      <c r="Y11" s="66">
        <v>408.50361115460089</v>
      </c>
      <c r="Z11" s="66">
        <v>88.768169129645543</v>
      </c>
      <c r="AA11" s="67">
        <v>0</v>
      </c>
      <c r="AB11" s="68">
        <v>0</v>
      </c>
      <c r="AC11" s="69">
        <v>0</v>
      </c>
      <c r="AD11" s="69">
        <v>24.677850215964831</v>
      </c>
      <c r="AE11" s="68">
        <v>19.888727229351801</v>
      </c>
      <c r="AF11" s="68">
        <v>4.3218367090525591</v>
      </c>
      <c r="AG11" s="68">
        <v>0.82148963072285219</v>
      </c>
      <c r="AH11" s="69">
        <v>390.26093362172446</v>
      </c>
      <c r="AI11" s="69">
        <v>1130.7967448234558</v>
      </c>
      <c r="AJ11" s="69">
        <v>3206.5691663106281</v>
      </c>
      <c r="AK11" s="69">
        <v>829.13449659347532</v>
      </c>
      <c r="AL11" s="69">
        <v>3360.950724283854</v>
      </c>
      <c r="AM11" s="69">
        <v>2158.6694675445556</v>
      </c>
      <c r="AN11" s="69">
        <v>546.58471732139583</v>
      </c>
      <c r="AO11" s="69">
        <v>2863.5250186920161</v>
      </c>
      <c r="AP11" s="69">
        <v>420.68796736399338</v>
      </c>
      <c r="AQ11" s="69">
        <v>1002.2902739842733</v>
      </c>
    </row>
    <row r="12" spans="1:58">
      <c r="A12" s="11">
        <v>41157</v>
      </c>
      <c r="B12" s="59"/>
      <c r="C12" s="60">
        <v>152.66945970058393</v>
      </c>
      <c r="D12" s="60">
        <v>1680.5207700967812</v>
      </c>
      <c r="E12" s="60">
        <v>14.846103829145427</v>
      </c>
      <c r="F12" s="60">
        <v>0</v>
      </c>
      <c r="G12" s="60">
        <v>4308.6601343790826</v>
      </c>
      <c r="H12" s="61">
        <v>67.155081796645959</v>
      </c>
      <c r="I12" s="59">
        <v>804.34192250569799</v>
      </c>
      <c r="J12" s="60">
        <v>1628.4268261591608</v>
      </c>
      <c r="K12" s="60">
        <v>29.741819183031698</v>
      </c>
      <c r="L12" s="50">
        <v>0</v>
      </c>
      <c r="M12" s="60">
        <v>0</v>
      </c>
      <c r="N12" s="61">
        <v>0</v>
      </c>
      <c r="O12" s="59">
        <v>0</v>
      </c>
      <c r="P12" s="60">
        <v>0</v>
      </c>
      <c r="Q12" s="60">
        <v>0</v>
      </c>
      <c r="R12" s="63">
        <v>0</v>
      </c>
      <c r="S12" s="60">
        <v>0</v>
      </c>
      <c r="T12" s="64">
        <v>0</v>
      </c>
      <c r="U12" s="65">
        <v>530.36477382798432</v>
      </c>
      <c r="V12" s="62">
        <v>70.265575521991664</v>
      </c>
      <c r="W12" s="62">
        <v>48.395199741964596</v>
      </c>
      <c r="X12" s="62">
        <v>6.4116561471968918</v>
      </c>
      <c r="Y12" s="66">
        <v>396.51466367858745</v>
      </c>
      <c r="Z12" s="66">
        <v>52.53239359241703</v>
      </c>
      <c r="AA12" s="67">
        <v>0</v>
      </c>
      <c r="AB12" s="68">
        <v>0</v>
      </c>
      <c r="AC12" s="69">
        <v>0</v>
      </c>
      <c r="AD12" s="69">
        <v>22.781569412350667</v>
      </c>
      <c r="AE12" s="68">
        <v>19.719836164283226</v>
      </c>
      <c r="AF12" s="68">
        <v>2.612589873346586</v>
      </c>
      <c r="AG12" s="68">
        <v>0.88301361128681621</v>
      </c>
      <c r="AH12" s="69">
        <v>383.89241420427959</v>
      </c>
      <c r="AI12" s="69">
        <v>1098.0764447212218</v>
      </c>
      <c r="AJ12" s="69">
        <v>3191.4053488413497</v>
      </c>
      <c r="AK12" s="69">
        <v>829.67879266738896</v>
      </c>
      <c r="AL12" s="69">
        <v>4331.8096728006994</v>
      </c>
      <c r="AM12" s="69">
        <v>2151.3801581064863</v>
      </c>
      <c r="AN12" s="69">
        <v>516.57885141372685</v>
      </c>
      <c r="AO12" s="69">
        <v>2600.4550951639812</v>
      </c>
      <c r="AP12" s="69">
        <v>399.93047710657129</v>
      </c>
      <c r="AQ12" s="69">
        <v>982.58424930572517</v>
      </c>
    </row>
    <row r="13" spans="1:58">
      <c r="A13" s="11">
        <v>41158</v>
      </c>
      <c r="B13" s="59"/>
      <c r="C13" s="60">
        <v>141.23099315563852</v>
      </c>
      <c r="D13" s="60">
        <v>1599.2010979970305</v>
      </c>
      <c r="E13" s="60">
        <v>13.900813130537708</v>
      </c>
      <c r="F13" s="60">
        <v>0</v>
      </c>
      <c r="G13" s="60">
        <v>4559.2738535563103</v>
      </c>
      <c r="H13" s="61">
        <v>30.903694242239084</v>
      </c>
      <c r="I13" s="59">
        <v>769.80398750305403</v>
      </c>
      <c r="J13" s="60">
        <v>1528.6883277893032</v>
      </c>
      <c r="K13" s="60">
        <v>27.914070843656791</v>
      </c>
      <c r="L13" s="50">
        <v>0</v>
      </c>
      <c r="M13" s="60">
        <v>0</v>
      </c>
      <c r="N13" s="61">
        <v>0</v>
      </c>
      <c r="O13" s="59">
        <v>0</v>
      </c>
      <c r="P13" s="60">
        <v>0</v>
      </c>
      <c r="Q13" s="60">
        <v>0</v>
      </c>
      <c r="R13" s="63">
        <v>0</v>
      </c>
      <c r="S13" s="60">
        <v>0</v>
      </c>
      <c r="T13" s="64">
        <v>0</v>
      </c>
      <c r="U13" s="65">
        <v>504.99804451638551</v>
      </c>
      <c r="V13" s="62">
        <v>117.39496284683199</v>
      </c>
      <c r="W13" s="62">
        <v>45.901919416660235</v>
      </c>
      <c r="X13" s="62">
        <v>10.670643546110325</v>
      </c>
      <c r="Y13" s="66">
        <v>386.57215667640099</v>
      </c>
      <c r="Z13" s="66">
        <v>89.864949901154162</v>
      </c>
      <c r="AA13" s="67">
        <v>0</v>
      </c>
      <c r="AB13" s="68">
        <v>0</v>
      </c>
      <c r="AC13" s="69">
        <v>0</v>
      </c>
      <c r="AD13" s="69">
        <v>23.498764076497807</v>
      </c>
      <c r="AE13" s="68">
        <v>18.712864398145864</v>
      </c>
      <c r="AF13" s="68">
        <v>4.3501079749366465</v>
      </c>
      <c r="AG13" s="68">
        <v>0.81138129532627867</v>
      </c>
      <c r="AH13" s="69">
        <v>391.41353549957279</v>
      </c>
      <c r="AI13" s="69">
        <v>1098.4719319025676</v>
      </c>
      <c r="AJ13" s="69">
        <v>3173.2433414459224</v>
      </c>
      <c r="AK13" s="69">
        <v>824.33283529281596</v>
      </c>
      <c r="AL13" s="69">
        <v>3828.8218668619797</v>
      </c>
      <c r="AM13" s="69">
        <v>2332.3852682749434</v>
      </c>
      <c r="AN13" s="69">
        <v>533.47408191363013</v>
      </c>
      <c r="AO13" s="69">
        <v>2784.4142887115477</v>
      </c>
      <c r="AP13" s="69">
        <v>394.4569883346557</v>
      </c>
      <c r="AQ13" s="69">
        <v>978.0954886754356</v>
      </c>
    </row>
    <row r="14" spans="1:58">
      <c r="A14" s="11">
        <v>41159</v>
      </c>
      <c r="B14" s="59"/>
      <c r="C14" s="60">
        <v>140.92653997739154</v>
      </c>
      <c r="D14" s="60">
        <v>1575.8389340718568</v>
      </c>
      <c r="E14" s="60">
        <v>13.870389389495081</v>
      </c>
      <c r="F14" s="60">
        <v>0</v>
      </c>
      <c r="G14" s="60">
        <v>4497.9019676208345</v>
      </c>
      <c r="H14" s="61">
        <v>30.106231027841627</v>
      </c>
      <c r="I14" s="59">
        <v>659.00957384109586</v>
      </c>
      <c r="J14" s="60">
        <v>1309.0382518450394</v>
      </c>
      <c r="K14" s="60">
        <v>24.137303180495866</v>
      </c>
      <c r="L14" s="50">
        <v>0</v>
      </c>
      <c r="M14" s="60">
        <v>0</v>
      </c>
      <c r="N14" s="61">
        <v>0</v>
      </c>
      <c r="O14" s="59">
        <v>0</v>
      </c>
      <c r="P14" s="60">
        <v>0</v>
      </c>
      <c r="Q14" s="60">
        <v>0</v>
      </c>
      <c r="R14" s="63">
        <v>0</v>
      </c>
      <c r="S14" s="60">
        <v>0</v>
      </c>
      <c r="T14" s="64">
        <v>0</v>
      </c>
      <c r="U14" s="65">
        <v>442.40187719669848</v>
      </c>
      <c r="V14" s="62">
        <v>120.3082517994096</v>
      </c>
      <c r="W14" s="62">
        <v>39.781193862287097</v>
      </c>
      <c r="X14" s="62">
        <v>10.818231419793985</v>
      </c>
      <c r="Y14" s="66">
        <v>329.66343824190113</v>
      </c>
      <c r="Z14" s="66">
        <v>89.649782203414517</v>
      </c>
      <c r="AA14" s="67">
        <v>0</v>
      </c>
      <c r="AB14" s="68">
        <v>0</v>
      </c>
      <c r="AC14" s="69">
        <v>0</v>
      </c>
      <c r="AD14" s="69">
        <v>20.734395788775519</v>
      </c>
      <c r="AE14" s="68">
        <v>15.997011341366116</v>
      </c>
      <c r="AF14" s="68">
        <v>4.3502809723372664</v>
      </c>
      <c r="AG14" s="68">
        <v>0.78619853171286758</v>
      </c>
      <c r="AH14" s="69">
        <v>391.50857992172246</v>
      </c>
      <c r="AI14" s="69">
        <v>1084.2155281066894</v>
      </c>
      <c r="AJ14" s="69">
        <v>3101.5306069691978</v>
      </c>
      <c r="AK14" s="69">
        <v>800.85162614186618</v>
      </c>
      <c r="AL14" s="69">
        <v>3367.2902208964028</v>
      </c>
      <c r="AM14" s="69">
        <v>2368.9596004486084</v>
      </c>
      <c r="AN14" s="69">
        <v>516.59367925326012</v>
      </c>
      <c r="AO14" s="69">
        <v>2316.4281609853106</v>
      </c>
      <c r="AP14" s="69">
        <v>406.68394168217981</v>
      </c>
      <c r="AQ14" s="69">
        <v>844.72230895360326</v>
      </c>
    </row>
    <row r="15" spans="1:58">
      <c r="A15" s="11">
        <v>41160</v>
      </c>
      <c r="B15" s="59"/>
      <c r="C15" s="60">
        <v>140.70159955819452</v>
      </c>
      <c r="D15" s="60">
        <v>1578.7676696777369</v>
      </c>
      <c r="E15" s="60">
        <v>13.85830397407217</v>
      </c>
      <c r="F15" s="60">
        <v>0</v>
      </c>
      <c r="G15" s="60">
        <v>4460.1083264668687</v>
      </c>
      <c r="H15" s="61">
        <v>27.880555696288805</v>
      </c>
      <c r="I15" s="59">
        <v>655.95857947667537</v>
      </c>
      <c r="J15" s="60">
        <v>1402.3190254211397</v>
      </c>
      <c r="K15" s="60">
        <v>25.649801419178722</v>
      </c>
      <c r="L15" s="50">
        <v>0</v>
      </c>
      <c r="M15" s="60">
        <v>0</v>
      </c>
      <c r="N15" s="61">
        <v>0</v>
      </c>
      <c r="O15" s="59">
        <v>0</v>
      </c>
      <c r="P15" s="60">
        <v>0</v>
      </c>
      <c r="Q15" s="60">
        <v>0</v>
      </c>
      <c r="R15" s="63">
        <v>0</v>
      </c>
      <c r="S15" s="60">
        <v>0</v>
      </c>
      <c r="T15" s="64">
        <v>0</v>
      </c>
      <c r="U15" s="65">
        <v>444.60757091650345</v>
      </c>
      <c r="V15" s="62">
        <v>116.988873340598</v>
      </c>
      <c r="W15" s="62">
        <v>39.400630351966576</v>
      </c>
      <c r="X15" s="62">
        <v>10.367424342964199</v>
      </c>
      <c r="Y15" s="66">
        <v>335.41121917730794</v>
      </c>
      <c r="Z15" s="66">
        <v>88.256213353413017</v>
      </c>
      <c r="AA15" s="67">
        <v>0</v>
      </c>
      <c r="AB15" s="68">
        <v>0</v>
      </c>
      <c r="AC15" s="69">
        <v>0</v>
      </c>
      <c r="AD15" s="69">
        <v>20.880227828025824</v>
      </c>
      <c r="AE15" s="68">
        <v>16.277381341547454</v>
      </c>
      <c r="AF15" s="68">
        <v>4.2830411100681154</v>
      </c>
      <c r="AG15" s="68">
        <v>0.79168516015916945</v>
      </c>
      <c r="AH15" s="69">
        <v>376.32777022520702</v>
      </c>
      <c r="AI15" s="69">
        <v>1070.2734088579814</v>
      </c>
      <c r="AJ15" s="69">
        <v>3092.0976577758788</v>
      </c>
      <c r="AK15" s="69">
        <v>800.61508194605506</v>
      </c>
      <c r="AL15" s="69">
        <v>3368.8411616007488</v>
      </c>
      <c r="AM15" s="69">
        <v>2282.3726155598956</v>
      </c>
      <c r="AN15" s="69">
        <v>489.11726471583046</v>
      </c>
      <c r="AO15" s="69">
        <v>2439.0552656809487</v>
      </c>
      <c r="AP15" s="69">
        <v>404.54704370498655</v>
      </c>
      <c r="AQ15" s="69">
        <v>806.63568007151287</v>
      </c>
    </row>
    <row r="16" spans="1:58">
      <c r="A16" s="11">
        <v>41161</v>
      </c>
      <c r="B16" s="59"/>
      <c r="C16" s="60">
        <v>141.25699794292447</v>
      </c>
      <c r="D16" s="60">
        <v>1582.3793706258155</v>
      </c>
      <c r="E16" s="60">
        <v>13.889997759958129</v>
      </c>
      <c r="F16" s="60">
        <v>0</v>
      </c>
      <c r="G16" s="60">
        <v>4470.3854743957754</v>
      </c>
      <c r="H16" s="61">
        <v>28.56277897159265</v>
      </c>
      <c r="I16" s="59">
        <v>705.27866420745954</v>
      </c>
      <c r="J16" s="60">
        <v>1500.4664885838818</v>
      </c>
      <c r="K16" s="60">
        <v>27.419093823432824</v>
      </c>
      <c r="L16" s="50">
        <v>0</v>
      </c>
      <c r="M16" s="60">
        <v>0</v>
      </c>
      <c r="N16" s="61">
        <v>0</v>
      </c>
      <c r="O16" s="59">
        <v>0</v>
      </c>
      <c r="P16" s="60">
        <v>0</v>
      </c>
      <c r="Q16" s="60">
        <v>0</v>
      </c>
      <c r="R16" s="63">
        <v>0</v>
      </c>
      <c r="S16" s="60">
        <v>0</v>
      </c>
      <c r="T16" s="64">
        <v>0</v>
      </c>
      <c r="U16" s="65">
        <v>505.15314917905346</v>
      </c>
      <c r="V16" s="62">
        <v>115.6225194314102</v>
      </c>
      <c r="W16" s="62">
        <v>43.882766266027204</v>
      </c>
      <c r="X16" s="62">
        <v>10.044153943301106</v>
      </c>
      <c r="Y16" s="66">
        <v>380.92315714728574</v>
      </c>
      <c r="Z16" s="66">
        <v>87.188004688702534</v>
      </c>
      <c r="AA16" s="67">
        <v>0</v>
      </c>
      <c r="AB16" s="68">
        <v>0</v>
      </c>
      <c r="AC16" s="69">
        <v>0</v>
      </c>
      <c r="AD16" s="69">
        <v>23.0064206441244</v>
      </c>
      <c r="AE16" s="68">
        <v>18.496856484625209</v>
      </c>
      <c r="AF16" s="68">
        <v>4.2336728015834462</v>
      </c>
      <c r="AG16" s="68">
        <v>0.81374508493508102</v>
      </c>
      <c r="AH16" s="69">
        <v>377.7596811294556</v>
      </c>
      <c r="AI16" s="69">
        <v>1086.0742877324421</v>
      </c>
      <c r="AJ16" s="69">
        <v>3149.0586917877195</v>
      </c>
      <c r="AK16" s="69">
        <v>811.58479661941521</v>
      </c>
      <c r="AL16" s="69">
        <v>3396.2842224121096</v>
      </c>
      <c r="AM16" s="69">
        <v>2322.9257408142093</v>
      </c>
      <c r="AN16" s="69">
        <v>516.45306741396587</v>
      </c>
      <c r="AO16" s="69">
        <v>2591.3127428690595</v>
      </c>
      <c r="AP16" s="69">
        <v>402.31320301691693</v>
      </c>
      <c r="AQ16" s="69">
        <v>897.66326961517336</v>
      </c>
    </row>
    <row r="17" spans="1:43">
      <c r="A17" s="11">
        <v>41162</v>
      </c>
      <c r="B17" s="59"/>
      <c r="C17" s="60">
        <v>141.67427849769609</v>
      </c>
      <c r="D17" s="60">
        <v>1587.4700954437278</v>
      </c>
      <c r="E17" s="60">
        <v>13.989416559040563</v>
      </c>
      <c r="F17" s="60">
        <v>0</v>
      </c>
      <c r="G17" s="60">
        <v>4470.4698895772426</v>
      </c>
      <c r="H17" s="61">
        <v>27.914653362830524</v>
      </c>
      <c r="I17" s="59">
        <v>755.62264931996697</v>
      </c>
      <c r="J17" s="60">
        <v>1594.5711335500057</v>
      </c>
      <c r="K17" s="60">
        <v>29.015832597017177</v>
      </c>
      <c r="L17" s="50">
        <v>0</v>
      </c>
      <c r="M17" s="60">
        <v>0</v>
      </c>
      <c r="N17" s="61">
        <v>0</v>
      </c>
      <c r="O17" s="59">
        <v>0</v>
      </c>
      <c r="P17" s="60">
        <v>0</v>
      </c>
      <c r="Q17" s="60">
        <v>0</v>
      </c>
      <c r="R17" s="63">
        <v>0</v>
      </c>
      <c r="S17" s="60">
        <v>0</v>
      </c>
      <c r="T17" s="64">
        <v>0</v>
      </c>
      <c r="U17" s="65">
        <v>534.19085681141291</v>
      </c>
      <c r="V17" s="62">
        <v>118.10754540264016</v>
      </c>
      <c r="W17" s="62">
        <v>44.596483681102697</v>
      </c>
      <c r="X17" s="62">
        <v>9.8601111456750878</v>
      </c>
      <c r="Y17" s="66">
        <v>416.64709777135477</v>
      </c>
      <c r="Z17" s="66">
        <v>92.119072030993223</v>
      </c>
      <c r="AA17" s="67">
        <v>0</v>
      </c>
      <c r="AB17" s="68">
        <v>0</v>
      </c>
      <c r="AC17" s="69">
        <v>0</v>
      </c>
      <c r="AD17" s="69">
        <v>24.160008350345848</v>
      </c>
      <c r="AE17" s="68">
        <v>19.540640106982416</v>
      </c>
      <c r="AF17" s="68">
        <v>4.3203604277465972</v>
      </c>
      <c r="AG17" s="68">
        <v>0.81893632576477948</v>
      </c>
      <c r="AH17" s="69">
        <v>379.33476476669313</v>
      </c>
      <c r="AI17" s="69">
        <v>1095.0399527867633</v>
      </c>
      <c r="AJ17" s="69">
        <v>3197.059165445964</v>
      </c>
      <c r="AK17" s="69">
        <v>818.14057474136337</v>
      </c>
      <c r="AL17" s="69">
        <v>3400.7522539774582</v>
      </c>
      <c r="AM17" s="69">
        <v>2355.1550772349037</v>
      </c>
      <c r="AN17" s="69">
        <v>549.4506747563679</v>
      </c>
      <c r="AO17" s="69">
        <v>2804.5779838562012</v>
      </c>
      <c r="AP17" s="69">
        <v>421.14019737243655</v>
      </c>
      <c r="AQ17" s="69">
        <v>967.82443647384639</v>
      </c>
    </row>
    <row r="18" spans="1:43">
      <c r="A18" s="11">
        <v>41163</v>
      </c>
      <c r="B18" s="49"/>
      <c r="C18" s="50">
        <v>141.13147273858408</v>
      </c>
      <c r="D18" s="50">
        <v>1580.7458188374871</v>
      </c>
      <c r="E18" s="50">
        <v>13.980605802933384</v>
      </c>
      <c r="F18" s="50">
        <v>0</v>
      </c>
      <c r="G18" s="50">
        <v>4451.3679552714193</v>
      </c>
      <c r="H18" s="51">
        <v>32.216335260868128</v>
      </c>
      <c r="I18" s="49">
        <v>756.82547642389534</v>
      </c>
      <c r="J18" s="50">
        <v>1612.2064823786425</v>
      </c>
      <c r="K18" s="50">
        <v>29.585326568285542</v>
      </c>
      <c r="L18" s="50">
        <v>0</v>
      </c>
      <c r="M18" s="50">
        <v>0</v>
      </c>
      <c r="N18" s="51">
        <v>0</v>
      </c>
      <c r="O18" s="49">
        <v>0</v>
      </c>
      <c r="P18" s="50">
        <v>0</v>
      </c>
      <c r="Q18" s="50">
        <v>0</v>
      </c>
      <c r="R18" s="70">
        <v>0</v>
      </c>
      <c r="S18" s="50">
        <v>0</v>
      </c>
      <c r="T18" s="52">
        <v>0</v>
      </c>
      <c r="U18" s="71">
        <v>544.08322565479443</v>
      </c>
      <c r="V18" s="66">
        <v>118.94749774744498</v>
      </c>
      <c r="W18" s="62">
        <v>44.854578611325195</v>
      </c>
      <c r="X18" s="62">
        <v>9.8061098684161987</v>
      </c>
      <c r="Y18" s="66">
        <v>453.21182530002773</v>
      </c>
      <c r="Z18" s="66">
        <v>99.081188368034432</v>
      </c>
      <c r="AA18" s="67">
        <v>0</v>
      </c>
      <c r="AB18" s="68">
        <v>0</v>
      </c>
      <c r="AC18" s="69">
        <v>0</v>
      </c>
      <c r="AD18" s="69">
        <v>24.547067628966495</v>
      </c>
      <c r="AE18" s="68">
        <v>19.897629367985786</v>
      </c>
      <c r="AF18" s="68">
        <v>4.3500205719072031</v>
      </c>
      <c r="AG18" s="68">
        <v>0.82060032280693673</v>
      </c>
      <c r="AH18" s="69">
        <v>401.33595765431721</v>
      </c>
      <c r="AI18" s="69">
        <v>1096.9667509078979</v>
      </c>
      <c r="AJ18" s="69">
        <v>3192.8251809438066</v>
      </c>
      <c r="AK18" s="69">
        <v>817.96633399327595</v>
      </c>
      <c r="AL18" s="69">
        <v>3399.499716186524</v>
      </c>
      <c r="AM18" s="69">
        <v>2306.1836882273356</v>
      </c>
      <c r="AN18" s="69">
        <v>552.40481662750244</v>
      </c>
      <c r="AO18" s="69">
        <v>2913.1301849365232</v>
      </c>
      <c r="AP18" s="69">
        <v>407.39224344889328</v>
      </c>
      <c r="AQ18" s="69">
        <v>964.67627824147553</v>
      </c>
    </row>
    <row r="19" spans="1:43">
      <c r="A19" s="11">
        <v>41164</v>
      </c>
      <c r="B19" s="59"/>
      <c r="C19" s="60">
        <v>140.88933672904975</v>
      </c>
      <c r="D19" s="60">
        <v>1579.3435113271075</v>
      </c>
      <c r="E19" s="60">
        <v>13.927798374493925</v>
      </c>
      <c r="F19" s="60">
        <v>0</v>
      </c>
      <c r="G19" s="60">
        <v>4354.2741981506606</v>
      </c>
      <c r="H19" s="61">
        <v>32.794921052455969</v>
      </c>
      <c r="I19" s="59">
        <v>497.32954653104196</v>
      </c>
      <c r="J19" s="60">
        <v>1189.8146636327124</v>
      </c>
      <c r="K19" s="60">
        <v>21.662610137462607</v>
      </c>
      <c r="L19" s="50">
        <v>0</v>
      </c>
      <c r="M19" s="60">
        <v>0</v>
      </c>
      <c r="N19" s="61">
        <v>0</v>
      </c>
      <c r="O19" s="59">
        <v>0</v>
      </c>
      <c r="P19" s="60">
        <v>0</v>
      </c>
      <c r="Q19" s="60">
        <v>0</v>
      </c>
      <c r="R19" s="63">
        <v>0</v>
      </c>
      <c r="S19" s="60">
        <v>0</v>
      </c>
      <c r="T19" s="64">
        <v>0</v>
      </c>
      <c r="U19" s="65">
        <v>390.19569017908606</v>
      </c>
      <c r="V19" s="62">
        <v>118.37876018661449</v>
      </c>
      <c r="W19" s="62">
        <v>32.923297729743368</v>
      </c>
      <c r="X19" s="62">
        <v>9.9883706165822108</v>
      </c>
      <c r="Y19" s="66">
        <v>315.51755036107323</v>
      </c>
      <c r="Z19" s="66">
        <v>95.722678053463241</v>
      </c>
      <c r="AA19" s="67">
        <v>0</v>
      </c>
      <c r="AB19" s="68">
        <v>0</v>
      </c>
      <c r="AC19" s="69">
        <v>0</v>
      </c>
      <c r="AD19" s="69">
        <v>18.955355573362763</v>
      </c>
      <c r="AE19" s="68">
        <v>14.339165424677027</v>
      </c>
      <c r="AF19" s="68">
        <v>4.3502597999095407</v>
      </c>
      <c r="AG19" s="68">
        <v>0.76723415794581917</v>
      </c>
      <c r="AH19" s="69">
        <v>286.29097551504771</v>
      </c>
      <c r="AI19" s="69">
        <v>963.34175214767447</v>
      </c>
      <c r="AJ19" s="69">
        <v>3043.6911699930829</v>
      </c>
      <c r="AK19" s="69">
        <v>791.22125666936222</v>
      </c>
      <c r="AL19" s="69">
        <v>3323.7486789703366</v>
      </c>
      <c r="AM19" s="69">
        <v>2424.8967126210537</v>
      </c>
      <c r="AN19" s="69">
        <v>481.18266827265421</v>
      </c>
      <c r="AO19" s="69">
        <v>2233.3741943359373</v>
      </c>
      <c r="AP19" s="69">
        <v>392.58348140716555</v>
      </c>
      <c r="AQ19" s="69">
        <v>683.5846668879193</v>
      </c>
    </row>
    <row r="20" spans="1:43">
      <c r="A20" s="11">
        <v>41165</v>
      </c>
      <c r="B20" s="59"/>
      <c r="C20" s="60">
        <v>140.8391104221343</v>
      </c>
      <c r="D20" s="60">
        <v>1579.5195480346674</v>
      </c>
      <c r="E20" s="60">
        <v>13.922087424496841</v>
      </c>
      <c r="F20" s="60">
        <v>0</v>
      </c>
      <c r="G20" s="60">
        <v>4354.3704455058032</v>
      </c>
      <c r="H20" s="61">
        <v>32.001364610592603</v>
      </c>
      <c r="I20" s="59">
        <v>359.41810027758396</v>
      </c>
      <c r="J20" s="60">
        <v>834.21666154861384</v>
      </c>
      <c r="K20" s="60">
        <v>15.078898229201618</v>
      </c>
      <c r="L20" s="50">
        <v>0</v>
      </c>
      <c r="M20" s="60">
        <v>0</v>
      </c>
      <c r="N20" s="61">
        <v>0</v>
      </c>
      <c r="O20" s="59">
        <v>0</v>
      </c>
      <c r="P20" s="60">
        <v>0</v>
      </c>
      <c r="Q20" s="60">
        <v>0</v>
      </c>
      <c r="R20" s="63">
        <v>0</v>
      </c>
      <c r="S20" s="60">
        <v>0</v>
      </c>
      <c r="T20" s="64">
        <v>0</v>
      </c>
      <c r="U20" s="65">
        <v>269.2674790291083</v>
      </c>
      <c r="V20" s="62">
        <v>115.40057612378105</v>
      </c>
      <c r="W20" s="62">
        <v>23.840956192857103</v>
      </c>
      <c r="X20" s="62">
        <v>10.217572838419597</v>
      </c>
      <c r="Y20" s="66">
        <v>190.07877029525139</v>
      </c>
      <c r="Z20" s="66">
        <v>81.462491051883092</v>
      </c>
      <c r="AA20" s="67">
        <v>0</v>
      </c>
      <c r="AB20" s="68">
        <v>0</v>
      </c>
      <c r="AC20" s="69">
        <v>0</v>
      </c>
      <c r="AD20" s="69">
        <v>14.233723844422244</v>
      </c>
      <c r="AE20" s="68">
        <v>9.70217543510193</v>
      </c>
      <c r="AF20" s="68">
        <v>4.1580834005718321</v>
      </c>
      <c r="AG20" s="68">
        <v>0.69999958515423333</v>
      </c>
      <c r="AH20" s="69">
        <v>287.07670701344807</v>
      </c>
      <c r="AI20" s="69">
        <v>966.66230138142919</v>
      </c>
      <c r="AJ20" s="69">
        <v>3012.0731324513754</v>
      </c>
      <c r="AK20" s="69">
        <v>761.19449319839475</v>
      </c>
      <c r="AL20" s="69">
        <v>3082.5267604827882</v>
      </c>
      <c r="AM20" s="69">
        <v>2474.4936865488689</v>
      </c>
      <c r="AN20" s="69">
        <v>469.55393907229103</v>
      </c>
      <c r="AO20" s="69">
        <v>1813.7206490834556</v>
      </c>
      <c r="AP20" s="69">
        <v>376.48276576995852</v>
      </c>
      <c r="AQ20" s="69">
        <v>745.96364901860545</v>
      </c>
    </row>
    <row r="21" spans="1:43">
      <c r="A21" s="11">
        <v>41166</v>
      </c>
      <c r="B21" s="59"/>
      <c r="C21" s="60">
        <v>141.02666842937498</v>
      </c>
      <c r="D21" s="60">
        <v>1579.7222329457609</v>
      </c>
      <c r="E21" s="60">
        <v>13.910888529320575</v>
      </c>
      <c r="F21" s="60">
        <v>0</v>
      </c>
      <c r="G21" s="60">
        <v>4407.4432764688981</v>
      </c>
      <c r="H21" s="61">
        <v>31.691347199678475</v>
      </c>
      <c r="I21" s="59">
        <v>500.16109116872127</v>
      </c>
      <c r="J21" s="60">
        <v>966.29858576456604</v>
      </c>
      <c r="K21" s="60">
        <v>17.572006645798666</v>
      </c>
      <c r="L21" s="50">
        <v>0</v>
      </c>
      <c r="M21" s="60">
        <v>0</v>
      </c>
      <c r="N21" s="61">
        <v>0</v>
      </c>
      <c r="O21" s="59">
        <v>0</v>
      </c>
      <c r="P21" s="60">
        <v>0</v>
      </c>
      <c r="Q21" s="60">
        <v>0</v>
      </c>
      <c r="R21" s="63">
        <v>0</v>
      </c>
      <c r="S21" s="60">
        <v>0</v>
      </c>
      <c r="T21" s="64">
        <v>0</v>
      </c>
      <c r="U21" s="65">
        <v>322.65194027976787</v>
      </c>
      <c r="V21" s="62">
        <v>124.40621478004735</v>
      </c>
      <c r="W21" s="62">
        <v>30.023602205299099</v>
      </c>
      <c r="X21" s="62">
        <v>11.576321844475691</v>
      </c>
      <c r="Y21" s="66">
        <v>231.85015855372873</v>
      </c>
      <c r="Z21" s="66">
        <v>89.395404214254057</v>
      </c>
      <c r="AA21" s="67">
        <v>0</v>
      </c>
      <c r="AB21" s="68">
        <v>0</v>
      </c>
      <c r="AC21" s="69">
        <v>0</v>
      </c>
      <c r="AD21" s="69">
        <v>15.85977368354799</v>
      </c>
      <c r="AE21" s="68">
        <v>11.180277534805015</v>
      </c>
      <c r="AF21" s="68">
        <v>4.3108248693296582</v>
      </c>
      <c r="AG21" s="68">
        <v>0.72172252452613883</v>
      </c>
      <c r="AH21" s="69">
        <v>286.82847170829768</v>
      </c>
      <c r="AI21" s="69">
        <v>963.5814085006715</v>
      </c>
      <c r="AJ21" s="69">
        <v>3017.750546646118</v>
      </c>
      <c r="AK21" s="69">
        <v>778.36000280380233</v>
      </c>
      <c r="AL21" s="69">
        <v>2922.6392791748044</v>
      </c>
      <c r="AM21" s="69">
        <v>2259.7344609578449</v>
      </c>
      <c r="AN21" s="69">
        <v>497.49260938962306</v>
      </c>
      <c r="AO21" s="69">
        <v>1884.7511533101399</v>
      </c>
      <c r="AP21" s="69">
        <v>348.47877327601111</v>
      </c>
      <c r="AQ21" s="69">
        <v>818.69798959096261</v>
      </c>
    </row>
    <row r="22" spans="1:43">
      <c r="A22" s="11">
        <v>41167</v>
      </c>
      <c r="B22" s="59"/>
      <c r="C22" s="60">
        <v>140.94134370485958</v>
      </c>
      <c r="D22" s="60">
        <v>1580.0008954366062</v>
      </c>
      <c r="E22" s="60">
        <v>13.917876499394582</v>
      </c>
      <c r="F22" s="60">
        <v>0</v>
      </c>
      <c r="G22" s="60">
        <v>4447.4092725118044</v>
      </c>
      <c r="H22" s="61">
        <v>33.579220292965651</v>
      </c>
      <c r="I22" s="59">
        <v>567.82403577168645</v>
      </c>
      <c r="J22" s="60">
        <v>1155.0268825531</v>
      </c>
      <c r="K22" s="60">
        <v>21.010729987422664</v>
      </c>
      <c r="L22" s="50">
        <v>0</v>
      </c>
      <c r="M22" s="60">
        <v>0</v>
      </c>
      <c r="N22" s="61">
        <v>0</v>
      </c>
      <c r="O22" s="59">
        <v>0</v>
      </c>
      <c r="P22" s="60">
        <v>0</v>
      </c>
      <c r="Q22" s="60">
        <v>0</v>
      </c>
      <c r="R22" s="63">
        <v>0</v>
      </c>
      <c r="S22" s="60">
        <v>0</v>
      </c>
      <c r="T22" s="64">
        <v>0</v>
      </c>
      <c r="U22" s="65">
        <v>385.18204878832591</v>
      </c>
      <c r="V22" s="62">
        <v>119.68412900369852</v>
      </c>
      <c r="W22" s="62">
        <v>36.325045150064149</v>
      </c>
      <c r="X22" s="62">
        <v>11.286952243702837</v>
      </c>
      <c r="Y22" s="66">
        <v>289.6505033335211</v>
      </c>
      <c r="Z22" s="66">
        <v>90.000477218516792</v>
      </c>
      <c r="AA22" s="67">
        <v>0</v>
      </c>
      <c r="AB22" s="68">
        <v>0</v>
      </c>
      <c r="AC22" s="69">
        <v>0</v>
      </c>
      <c r="AD22" s="69">
        <v>18.749665812651291</v>
      </c>
      <c r="AE22" s="68">
        <v>13.999987252578135</v>
      </c>
      <c r="AF22" s="68">
        <v>4.3500892257533437</v>
      </c>
      <c r="AG22" s="68">
        <v>0.76293890486559501</v>
      </c>
      <c r="AH22" s="69">
        <v>275.83670131365454</v>
      </c>
      <c r="AI22" s="69">
        <v>964.99639317194624</v>
      </c>
      <c r="AJ22" s="69">
        <v>3075.2125495910641</v>
      </c>
      <c r="AK22" s="69">
        <v>795.02123324076319</v>
      </c>
      <c r="AL22" s="69">
        <v>2820.1131998697915</v>
      </c>
      <c r="AM22" s="69">
        <v>2165.0035901387532</v>
      </c>
      <c r="AN22" s="69">
        <v>509.56481862068182</v>
      </c>
      <c r="AO22" s="69">
        <v>2098.7379460652674</v>
      </c>
      <c r="AP22" s="69">
        <v>393.1960701306661</v>
      </c>
      <c r="AQ22" s="69">
        <v>837.94408744176224</v>
      </c>
    </row>
    <row r="23" spans="1:43">
      <c r="A23" s="11">
        <v>41168</v>
      </c>
      <c r="B23" s="59"/>
      <c r="C23" s="60">
        <v>141.24087356726352</v>
      </c>
      <c r="D23" s="60">
        <v>1581.2386070251493</v>
      </c>
      <c r="E23" s="60">
        <v>13.924694982171081</v>
      </c>
      <c r="F23" s="60">
        <v>0</v>
      </c>
      <c r="G23" s="60">
        <v>4447.3143163045224</v>
      </c>
      <c r="H23" s="61">
        <v>32.329342377185881</v>
      </c>
      <c r="I23" s="59">
        <v>573.13337300618502</v>
      </c>
      <c r="J23" s="60">
        <v>1274.7515563329052</v>
      </c>
      <c r="K23" s="60">
        <v>23.180408771832791</v>
      </c>
      <c r="L23" s="50">
        <v>0</v>
      </c>
      <c r="M23" s="60">
        <v>0</v>
      </c>
      <c r="N23" s="61">
        <v>0</v>
      </c>
      <c r="O23" s="59">
        <v>0</v>
      </c>
      <c r="P23" s="60">
        <v>0</v>
      </c>
      <c r="Q23" s="60">
        <v>0</v>
      </c>
      <c r="R23" s="63">
        <v>0</v>
      </c>
      <c r="S23" s="60">
        <v>0</v>
      </c>
      <c r="T23" s="64">
        <v>0</v>
      </c>
      <c r="U23" s="65">
        <v>425.46734038223042</v>
      </c>
      <c r="V23" s="62">
        <v>119.26445280946598</v>
      </c>
      <c r="W23" s="62">
        <v>41.004082597280402</v>
      </c>
      <c r="X23" s="62">
        <v>11.494018482183449</v>
      </c>
      <c r="Y23" s="66">
        <v>321.44230187040205</v>
      </c>
      <c r="Z23" s="66">
        <v>90.104777978840616</v>
      </c>
      <c r="AA23" s="67">
        <v>0</v>
      </c>
      <c r="AB23" s="68">
        <v>0</v>
      </c>
      <c r="AC23" s="69">
        <v>0</v>
      </c>
      <c r="AD23" s="69">
        <v>20.270598045984894</v>
      </c>
      <c r="AE23" s="68">
        <v>15.516772008257856</v>
      </c>
      <c r="AF23" s="68">
        <v>4.3495684563510206</v>
      </c>
      <c r="AG23" s="68">
        <v>0.78105839552585898</v>
      </c>
      <c r="AH23" s="69">
        <v>380.07691849072773</v>
      </c>
      <c r="AI23" s="69">
        <v>1081.3617041269938</v>
      </c>
      <c r="AJ23" s="69">
        <v>3044.1530447642012</v>
      </c>
      <c r="AK23" s="69">
        <v>800.33799645105989</v>
      </c>
      <c r="AL23" s="69">
        <v>2949.5986349741615</v>
      </c>
      <c r="AM23" s="69">
        <v>2130.4623924255375</v>
      </c>
      <c r="AN23" s="69">
        <v>512.26411348978672</v>
      </c>
      <c r="AO23" s="69">
        <v>2225.4722792307539</v>
      </c>
      <c r="AP23" s="69">
        <v>400.0861001968384</v>
      </c>
      <c r="AQ23" s="69">
        <v>881.28385324478154</v>
      </c>
    </row>
    <row r="24" spans="1:43">
      <c r="A24" s="11">
        <v>41169</v>
      </c>
      <c r="B24" s="59"/>
      <c r="C24" s="60">
        <v>141.47994217872608</v>
      </c>
      <c r="D24" s="60">
        <v>1584.186603673302</v>
      </c>
      <c r="E24" s="60">
        <v>13.948054168125015</v>
      </c>
      <c r="F24" s="60">
        <v>0</v>
      </c>
      <c r="G24" s="60">
        <v>4401.0595932006672</v>
      </c>
      <c r="H24" s="61">
        <v>32.85939594308546</v>
      </c>
      <c r="I24" s="59">
        <v>621.1295159975698</v>
      </c>
      <c r="J24" s="60">
        <v>1450.4523677825907</v>
      </c>
      <c r="K24" s="60">
        <v>26.383881674210286</v>
      </c>
      <c r="L24" s="50">
        <v>0</v>
      </c>
      <c r="M24" s="60">
        <v>0</v>
      </c>
      <c r="N24" s="61">
        <v>0</v>
      </c>
      <c r="O24" s="59">
        <v>0</v>
      </c>
      <c r="P24" s="60">
        <v>0</v>
      </c>
      <c r="Q24" s="60">
        <v>0</v>
      </c>
      <c r="R24" s="63">
        <v>0</v>
      </c>
      <c r="S24" s="60">
        <v>0</v>
      </c>
      <c r="T24" s="64">
        <v>0</v>
      </c>
      <c r="U24" s="65">
        <v>476.22661365522799</v>
      </c>
      <c r="V24" s="62">
        <v>113.85174090477256</v>
      </c>
      <c r="W24" s="62">
        <v>44.22183628982264</v>
      </c>
      <c r="X24" s="62">
        <v>10.57213709447816</v>
      </c>
      <c r="Y24" s="66">
        <v>366.13150557986302</v>
      </c>
      <c r="Z24" s="66">
        <v>87.531246921305353</v>
      </c>
      <c r="AA24" s="67">
        <v>0</v>
      </c>
      <c r="AB24" s="68">
        <v>0</v>
      </c>
      <c r="AC24" s="69">
        <v>0</v>
      </c>
      <c r="AD24" s="69">
        <v>22.216406469212661</v>
      </c>
      <c r="AE24" s="68">
        <v>17.58858425776101</v>
      </c>
      <c r="AF24" s="68">
        <v>4.2049118641783947</v>
      </c>
      <c r="AG24" s="68">
        <v>0.80705657134353359</v>
      </c>
      <c r="AH24" s="69">
        <v>279.2253840764364</v>
      </c>
      <c r="AI24" s="69">
        <v>978.80922247568787</v>
      </c>
      <c r="AJ24" s="69">
        <v>2881.9245802561436</v>
      </c>
      <c r="AK24" s="69">
        <v>798.93711210886636</v>
      </c>
      <c r="AL24" s="69">
        <v>3061.3317813873291</v>
      </c>
      <c r="AM24" s="69">
        <v>2257.5073326110842</v>
      </c>
      <c r="AN24" s="69">
        <v>483.35144306818637</v>
      </c>
      <c r="AO24" s="69">
        <v>2507.5001433054613</v>
      </c>
      <c r="AP24" s="69">
        <v>407.96659803390503</v>
      </c>
      <c r="AQ24" s="69">
        <v>732.74149630864463</v>
      </c>
    </row>
    <row r="25" spans="1:43">
      <c r="A25" s="11">
        <v>41170</v>
      </c>
      <c r="B25" s="59"/>
      <c r="C25" s="60">
        <v>143.53245559533431</v>
      </c>
      <c r="D25" s="60">
        <v>1582.8753733317067</v>
      </c>
      <c r="E25" s="60">
        <v>13.908985501031099</v>
      </c>
      <c r="F25" s="60">
        <v>0</v>
      </c>
      <c r="G25" s="60">
        <v>4361.2940958658801</v>
      </c>
      <c r="H25" s="61">
        <v>32.470439155896578</v>
      </c>
      <c r="I25" s="59">
        <v>591.03836863835681</v>
      </c>
      <c r="J25" s="60">
        <v>1499.0340167363463</v>
      </c>
      <c r="K25" s="60">
        <v>27.275423079729084</v>
      </c>
      <c r="L25" s="50">
        <v>0</v>
      </c>
      <c r="M25" s="60">
        <v>0</v>
      </c>
      <c r="N25" s="61">
        <v>0</v>
      </c>
      <c r="O25" s="59">
        <v>0</v>
      </c>
      <c r="P25" s="60">
        <v>0</v>
      </c>
      <c r="Q25" s="60">
        <v>0</v>
      </c>
      <c r="R25" s="63">
        <v>0</v>
      </c>
      <c r="S25" s="60">
        <v>0</v>
      </c>
      <c r="T25" s="64">
        <v>0</v>
      </c>
      <c r="U25" s="65">
        <v>480.81996366540164</v>
      </c>
      <c r="V25" s="62">
        <v>116.1466723989158</v>
      </c>
      <c r="W25" s="62">
        <v>44.313186773110282</v>
      </c>
      <c r="X25" s="62">
        <v>10.70427514667432</v>
      </c>
      <c r="Y25" s="66">
        <v>374.95918418082857</v>
      </c>
      <c r="Z25" s="66">
        <v>90.574986105031343</v>
      </c>
      <c r="AA25" s="67">
        <v>0</v>
      </c>
      <c r="AB25" s="68">
        <v>0</v>
      </c>
      <c r="AC25" s="69">
        <v>0</v>
      </c>
      <c r="AD25" s="69">
        <v>22.603731462690568</v>
      </c>
      <c r="AE25" s="68">
        <v>17.883104682364024</v>
      </c>
      <c r="AF25" s="68">
        <v>4.3198354019748262</v>
      </c>
      <c r="AG25" s="68">
        <v>0.80543858671123103</v>
      </c>
      <c r="AH25" s="69">
        <v>279.61622463067374</v>
      </c>
      <c r="AI25" s="69">
        <v>977.27032680511491</v>
      </c>
      <c r="AJ25" s="69">
        <v>2975.8939587910972</v>
      </c>
      <c r="AK25" s="69">
        <v>800.11270500818898</v>
      </c>
      <c r="AL25" s="69">
        <v>3151.5105223337814</v>
      </c>
      <c r="AM25" s="69">
        <v>2203.4573034922282</v>
      </c>
      <c r="AN25" s="69">
        <v>499.63244139353435</v>
      </c>
      <c r="AO25" s="69">
        <v>2648.2919516245524</v>
      </c>
      <c r="AP25" s="69">
        <v>407.84307861328125</v>
      </c>
      <c r="AQ25" s="69">
        <v>859.43657916386928</v>
      </c>
    </row>
    <row r="26" spans="1:43">
      <c r="A26" s="11">
        <v>41171</v>
      </c>
      <c r="B26" s="59"/>
      <c r="C26" s="60">
        <v>141.6632916649184</v>
      </c>
      <c r="D26" s="60">
        <v>1586.3292249043832</v>
      </c>
      <c r="E26" s="60">
        <v>13.938109131157441</v>
      </c>
      <c r="F26" s="60">
        <v>0</v>
      </c>
      <c r="G26" s="60">
        <v>4327.3772354126131</v>
      </c>
      <c r="H26" s="61">
        <v>32.465123788515754</v>
      </c>
      <c r="I26" s="59">
        <v>675.21377061208136</v>
      </c>
      <c r="J26" s="60">
        <v>1714.6874783198086</v>
      </c>
      <c r="K26" s="60">
        <v>31.391877446571968</v>
      </c>
      <c r="L26" s="50">
        <v>0</v>
      </c>
      <c r="M26" s="60">
        <v>0</v>
      </c>
      <c r="N26" s="61">
        <v>0</v>
      </c>
      <c r="O26" s="59">
        <v>0</v>
      </c>
      <c r="P26" s="60">
        <v>0</v>
      </c>
      <c r="Q26" s="60">
        <v>0</v>
      </c>
      <c r="R26" s="63">
        <v>0</v>
      </c>
      <c r="S26" s="60">
        <v>0</v>
      </c>
      <c r="T26" s="64">
        <v>0</v>
      </c>
      <c r="U26" s="65">
        <v>565.55247411914468</v>
      </c>
      <c r="V26" s="62">
        <v>117.12371788897936</v>
      </c>
      <c r="W26" s="62">
        <v>51.540753120761394</v>
      </c>
      <c r="X26" s="62">
        <v>10.673889523167132</v>
      </c>
      <c r="Y26" s="66">
        <v>444.06930901012851</v>
      </c>
      <c r="Z26" s="66">
        <v>91.965026857435589</v>
      </c>
      <c r="AA26" s="67">
        <v>0</v>
      </c>
      <c r="AB26" s="68">
        <v>0</v>
      </c>
      <c r="AC26" s="69">
        <v>0</v>
      </c>
      <c r="AD26" s="69">
        <v>25.627802562713594</v>
      </c>
      <c r="AE26" s="68">
        <v>21.00394068222225</v>
      </c>
      <c r="AF26" s="68">
        <v>4.349834428455166</v>
      </c>
      <c r="AG26" s="68">
        <v>0.82843444775120334</v>
      </c>
      <c r="AH26" s="69">
        <v>307.3668129205704</v>
      </c>
      <c r="AI26" s="69">
        <v>1006.6059100786846</v>
      </c>
      <c r="AJ26" s="69">
        <v>3049.2532137552894</v>
      </c>
      <c r="AK26" s="69">
        <v>816.18943535486858</v>
      </c>
      <c r="AL26" s="69">
        <v>3132.5034228006998</v>
      </c>
      <c r="AM26" s="69">
        <v>2140.8842005411784</v>
      </c>
      <c r="AN26" s="69">
        <v>501.6967543601989</v>
      </c>
      <c r="AO26" s="69">
        <v>3047.2098819732664</v>
      </c>
      <c r="AP26" s="69">
        <v>407.98760627110795</v>
      </c>
      <c r="AQ26" s="69">
        <v>864.63302536010735</v>
      </c>
    </row>
    <row r="27" spans="1:43">
      <c r="A27" s="11">
        <v>41172</v>
      </c>
      <c r="B27" s="59"/>
      <c r="C27" s="60">
        <v>141.27083806991575</v>
      </c>
      <c r="D27" s="60">
        <v>1582.3790510813408</v>
      </c>
      <c r="E27" s="60">
        <v>13.900490373869763</v>
      </c>
      <c r="F27" s="60">
        <v>0</v>
      </c>
      <c r="G27" s="60">
        <v>4391.828902435288</v>
      </c>
      <c r="H27" s="61">
        <v>34.321000223358531</v>
      </c>
      <c r="I27" s="59">
        <v>478.37490932146875</v>
      </c>
      <c r="J27" s="60">
        <v>1268.6408945719379</v>
      </c>
      <c r="K27" s="60">
        <v>23.135393671194677</v>
      </c>
      <c r="L27" s="50">
        <v>0</v>
      </c>
      <c r="M27" s="60">
        <v>0</v>
      </c>
      <c r="N27" s="61">
        <v>0</v>
      </c>
      <c r="O27" s="59">
        <v>0</v>
      </c>
      <c r="P27" s="60">
        <v>0</v>
      </c>
      <c r="Q27" s="60">
        <v>0</v>
      </c>
      <c r="R27" s="63">
        <v>0</v>
      </c>
      <c r="S27" s="60">
        <v>0</v>
      </c>
      <c r="T27" s="64">
        <v>0</v>
      </c>
      <c r="U27" s="65">
        <v>420.68650835217204</v>
      </c>
      <c r="V27" s="62">
        <v>117.24198667346084</v>
      </c>
      <c r="W27" s="62">
        <v>36.521605825140057</v>
      </c>
      <c r="X27" s="62">
        <v>10.178281305517777</v>
      </c>
      <c r="Y27" s="66">
        <v>337.97559419262586</v>
      </c>
      <c r="Z27" s="66">
        <v>94.19111220252249</v>
      </c>
      <c r="AA27" s="67">
        <v>0</v>
      </c>
      <c r="AB27" s="68">
        <v>0</v>
      </c>
      <c r="AC27" s="69">
        <v>0</v>
      </c>
      <c r="AD27" s="69">
        <v>20.213267072372968</v>
      </c>
      <c r="AE27" s="68">
        <v>15.60818535194263</v>
      </c>
      <c r="AF27" s="68">
        <v>4.3498772190180617</v>
      </c>
      <c r="AG27" s="68">
        <v>0.78204912407944827</v>
      </c>
      <c r="AH27" s="69">
        <v>280.00257477760317</v>
      </c>
      <c r="AI27" s="69">
        <v>986.06483281453461</v>
      </c>
      <c r="AJ27" s="69">
        <v>3060.6787386576334</v>
      </c>
      <c r="AK27" s="69">
        <v>796.15372412999466</v>
      </c>
      <c r="AL27" s="69">
        <v>3123.3752493540442</v>
      </c>
      <c r="AM27" s="69">
        <v>2265.2470993041998</v>
      </c>
      <c r="AN27" s="69">
        <v>521.98994490305574</v>
      </c>
      <c r="AO27" s="69">
        <v>2495.3768355051679</v>
      </c>
      <c r="AP27" s="69">
        <v>414.74714218775426</v>
      </c>
      <c r="AQ27" s="69">
        <v>893.40752528508494</v>
      </c>
    </row>
    <row r="28" spans="1:43">
      <c r="A28" s="11">
        <v>41173</v>
      </c>
      <c r="B28" s="59"/>
      <c r="C28" s="60">
        <v>141.06765596071892</v>
      </c>
      <c r="D28" s="60">
        <v>1578.0532401402784</v>
      </c>
      <c r="E28" s="60">
        <v>13.869592097401638</v>
      </c>
      <c r="F28" s="60">
        <v>0</v>
      </c>
      <c r="G28" s="60">
        <v>4401.0558667500709</v>
      </c>
      <c r="H28" s="61">
        <v>32.777977601687226</v>
      </c>
      <c r="I28" s="59">
        <v>515.02891956965175</v>
      </c>
      <c r="J28" s="60">
        <v>1318.2541826248143</v>
      </c>
      <c r="K28" s="60">
        <v>23.841524044672589</v>
      </c>
      <c r="L28" s="50">
        <v>0</v>
      </c>
      <c r="M28" s="60">
        <v>0</v>
      </c>
      <c r="N28" s="61">
        <v>0</v>
      </c>
      <c r="O28" s="59">
        <v>0</v>
      </c>
      <c r="P28" s="60">
        <v>0</v>
      </c>
      <c r="Q28" s="60">
        <v>0</v>
      </c>
      <c r="R28" s="63">
        <v>0</v>
      </c>
      <c r="S28" s="60">
        <v>0</v>
      </c>
      <c r="T28" s="64">
        <v>0</v>
      </c>
      <c r="U28" s="65">
        <v>446.62475462385339</v>
      </c>
      <c r="V28" s="62">
        <v>120.84532615448053</v>
      </c>
      <c r="W28" s="62">
        <v>40.526773435622353</v>
      </c>
      <c r="X28" s="62">
        <v>10.965516584366584</v>
      </c>
      <c r="Y28" s="62">
        <v>323.30593997158991</v>
      </c>
      <c r="Z28" s="62">
        <v>87.478383943255423</v>
      </c>
      <c r="AA28" s="72">
        <v>0</v>
      </c>
      <c r="AB28" s="69">
        <v>0</v>
      </c>
      <c r="AC28" s="69">
        <v>0</v>
      </c>
      <c r="AD28" s="69">
        <v>20.502868497371651</v>
      </c>
      <c r="AE28" s="69">
        <v>15.951491364656007</v>
      </c>
      <c r="AF28" s="69">
        <v>4.3160688176267996</v>
      </c>
      <c r="AG28" s="69">
        <v>0.78704546680464493</v>
      </c>
      <c r="AH28" s="69">
        <v>269.24358210563662</v>
      </c>
      <c r="AI28" s="69">
        <v>968.90239912668869</v>
      </c>
      <c r="AJ28" s="69">
        <v>3042.0114106496171</v>
      </c>
      <c r="AK28" s="69">
        <v>795.9196963946024</v>
      </c>
      <c r="AL28" s="69">
        <v>3237.4014124552405</v>
      </c>
      <c r="AM28" s="69">
        <v>2081.6694285074873</v>
      </c>
      <c r="AN28" s="69">
        <v>492.23075704574592</v>
      </c>
      <c r="AO28" s="69">
        <v>2271.9332730611168</v>
      </c>
      <c r="AP28" s="69">
        <v>408.93101118405656</v>
      </c>
      <c r="AQ28" s="69">
        <v>843.64946619669593</v>
      </c>
    </row>
    <row r="29" spans="1:43">
      <c r="A29" s="11">
        <v>41174</v>
      </c>
      <c r="B29" s="59"/>
      <c r="C29" s="60">
        <v>141.07568209966036</v>
      </c>
      <c r="D29" s="60">
        <v>1579.8742691040018</v>
      </c>
      <c r="E29" s="60">
        <v>13.878327939411035</v>
      </c>
      <c r="F29" s="60">
        <v>0</v>
      </c>
      <c r="G29" s="60">
        <v>4400.3495483398201</v>
      </c>
      <c r="H29" s="61">
        <v>31.738789870341702</v>
      </c>
      <c r="I29" s="59">
        <v>562.60125980377188</v>
      </c>
      <c r="J29" s="60">
        <v>1539.0359809875474</v>
      </c>
      <c r="K29" s="60">
        <v>27.982500525315487</v>
      </c>
      <c r="L29" s="50">
        <v>0</v>
      </c>
      <c r="M29" s="60">
        <v>0</v>
      </c>
      <c r="N29" s="61">
        <v>0</v>
      </c>
      <c r="O29" s="59">
        <v>0</v>
      </c>
      <c r="P29" s="60">
        <v>0</v>
      </c>
      <c r="Q29" s="60">
        <v>0</v>
      </c>
      <c r="R29" s="63">
        <v>0</v>
      </c>
      <c r="S29" s="60">
        <v>0</v>
      </c>
      <c r="T29" s="64">
        <v>0</v>
      </c>
      <c r="U29" s="65">
        <v>519.17312484262948</v>
      </c>
      <c r="V29" s="62">
        <v>118.84135935095661</v>
      </c>
      <c r="W29" s="62">
        <v>46.919198302334436</v>
      </c>
      <c r="X29" s="62">
        <v>10.740042269323331</v>
      </c>
      <c r="Y29" s="66">
        <v>388.94749888248896</v>
      </c>
      <c r="Z29" s="66">
        <v>89.0320536090166</v>
      </c>
      <c r="AA29" s="67">
        <v>0</v>
      </c>
      <c r="AB29" s="68">
        <v>0</v>
      </c>
      <c r="AC29" s="69">
        <v>0</v>
      </c>
      <c r="AD29" s="69">
        <v>23.619941404130753</v>
      </c>
      <c r="AE29" s="68">
        <v>19.000890410852634</v>
      </c>
      <c r="AF29" s="68">
        <v>4.3494001080829259</v>
      </c>
      <c r="AG29" s="68">
        <v>0.81373250561675681</v>
      </c>
      <c r="AH29" s="69">
        <v>264.81141422589621</v>
      </c>
      <c r="AI29" s="69">
        <v>958.61377423604324</v>
      </c>
      <c r="AJ29" s="69">
        <v>3051.3631875356036</v>
      </c>
      <c r="AK29" s="69">
        <v>803.71973164876295</v>
      </c>
      <c r="AL29" s="69">
        <v>3338.5374179840092</v>
      </c>
      <c r="AM29" s="69">
        <v>2072.6002071380617</v>
      </c>
      <c r="AN29" s="69">
        <v>496.84785499572757</v>
      </c>
      <c r="AO29" s="69">
        <v>2637.9187543233238</v>
      </c>
      <c r="AP29" s="69">
        <v>373.80694732666012</v>
      </c>
      <c r="AQ29" s="69">
        <v>777.02272351582849</v>
      </c>
    </row>
    <row r="30" spans="1:43">
      <c r="A30" s="11">
        <v>41175</v>
      </c>
      <c r="B30" s="59"/>
      <c r="C30" s="60">
        <v>141.09094807306911</v>
      </c>
      <c r="D30" s="60">
        <v>1579.2952164332075</v>
      </c>
      <c r="E30" s="60">
        <v>13.87619483023882</v>
      </c>
      <c r="F30" s="60">
        <v>0</v>
      </c>
      <c r="G30" s="60">
        <v>4401.3463389078725</v>
      </c>
      <c r="H30" s="61">
        <v>31.598798835277567</v>
      </c>
      <c r="I30" s="59">
        <v>536.60748904546142</v>
      </c>
      <c r="J30" s="60">
        <v>1464.9966643651339</v>
      </c>
      <c r="K30" s="60">
        <v>26.889517392714907</v>
      </c>
      <c r="L30" s="50">
        <v>0</v>
      </c>
      <c r="M30" s="60">
        <v>0</v>
      </c>
      <c r="N30" s="61">
        <v>0</v>
      </c>
      <c r="O30" s="59">
        <v>0</v>
      </c>
      <c r="P30" s="60">
        <v>0</v>
      </c>
      <c r="Q30" s="60">
        <v>0</v>
      </c>
      <c r="R30" s="63">
        <v>0</v>
      </c>
      <c r="S30" s="60">
        <v>0</v>
      </c>
      <c r="T30" s="64">
        <v>0</v>
      </c>
      <c r="U30" s="65">
        <v>481.76398204861982</v>
      </c>
      <c r="V30" s="62">
        <v>117.95291405089178</v>
      </c>
      <c r="W30" s="62">
        <v>42.473823080747579</v>
      </c>
      <c r="X30" s="62">
        <v>10.399098707944923</v>
      </c>
      <c r="Y30" s="66">
        <v>366.15192629376764</v>
      </c>
      <c r="Z30" s="66">
        <v>89.646981304091383</v>
      </c>
      <c r="AA30" s="67">
        <v>0</v>
      </c>
      <c r="AB30" s="68">
        <v>0</v>
      </c>
      <c r="AC30" s="69">
        <v>0</v>
      </c>
      <c r="AD30" s="69">
        <v>22.334496896134475</v>
      </c>
      <c r="AE30" s="68">
        <v>17.64505117760406</v>
      </c>
      <c r="AF30" s="68">
        <v>4.3201345109387495</v>
      </c>
      <c r="AG30" s="68">
        <v>0.80331900798852973</v>
      </c>
      <c r="AH30" s="69">
        <v>367.68568605581919</v>
      </c>
      <c r="AI30" s="69">
        <v>1074.0062060991922</v>
      </c>
      <c r="AJ30" s="69">
        <v>3066.058235168457</v>
      </c>
      <c r="AK30" s="69">
        <v>805.72355721791587</v>
      </c>
      <c r="AL30" s="69">
        <v>3396.1378033955889</v>
      </c>
      <c r="AM30" s="69">
        <v>2093.2199384053547</v>
      </c>
      <c r="AN30" s="69">
        <v>497.60129512151087</v>
      </c>
      <c r="AO30" s="69">
        <v>2636.1061981201169</v>
      </c>
      <c r="AP30" s="69">
        <v>404.95333868662516</v>
      </c>
      <c r="AQ30" s="69">
        <v>789.97843847274783</v>
      </c>
    </row>
    <row r="31" spans="1:43">
      <c r="A31" s="11">
        <v>41176</v>
      </c>
      <c r="B31" s="59"/>
      <c r="C31" s="60">
        <v>141.30929172039043</v>
      </c>
      <c r="D31" s="60">
        <v>1583.3839169184389</v>
      </c>
      <c r="E31" s="60">
        <v>13.886038222412289</v>
      </c>
      <c r="F31" s="60">
        <v>0</v>
      </c>
      <c r="G31" s="60">
        <v>4401.4512494404908</v>
      </c>
      <c r="H31" s="61">
        <v>33.08125290274625</v>
      </c>
      <c r="I31" s="59">
        <v>532.61337188084872</v>
      </c>
      <c r="J31" s="60">
        <v>1391.6215134302772</v>
      </c>
      <c r="K31" s="60">
        <v>25.496230228741975</v>
      </c>
      <c r="L31" s="50">
        <v>0</v>
      </c>
      <c r="M31" s="60">
        <v>0</v>
      </c>
      <c r="N31" s="61">
        <v>0</v>
      </c>
      <c r="O31" s="59">
        <v>0</v>
      </c>
      <c r="P31" s="60">
        <v>0</v>
      </c>
      <c r="Q31" s="60">
        <v>0</v>
      </c>
      <c r="R31" s="63">
        <v>0</v>
      </c>
      <c r="S31" s="60">
        <v>0</v>
      </c>
      <c r="T31" s="64">
        <v>0</v>
      </c>
      <c r="U31" s="65">
        <v>454.53892409976368</v>
      </c>
      <c r="V31" s="62">
        <v>113.17664529042496</v>
      </c>
      <c r="W31" s="62">
        <v>40.099246661690323</v>
      </c>
      <c r="X31" s="62">
        <v>9.9843995205288554</v>
      </c>
      <c r="Y31" s="66">
        <v>347.47793691329906</v>
      </c>
      <c r="Z31" s="66">
        <v>86.51929488805149</v>
      </c>
      <c r="AA31" s="67">
        <v>0</v>
      </c>
      <c r="AB31" s="68">
        <v>0</v>
      </c>
      <c r="AC31" s="69">
        <v>0</v>
      </c>
      <c r="AD31" s="69">
        <v>21.22838976316978</v>
      </c>
      <c r="AE31" s="68">
        <v>16.658369416131389</v>
      </c>
      <c r="AF31" s="68">
        <v>4.1478039977772427</v>
      </c>
      <c r="AG31" s="68">
        <v>0.8006455144219603</v>
      </c>
      <c r="AH31" s="69">
        <v>268.89249219894407</v>
      </c>
      <c r="AI31" s="69">
        <v>977.05895366668676</v>
      </c>
      <c r="AJ31" s="69">
        <v>3020.305678431193</v>
      </c>
      <c r="AK31" s="69">
        <v>794.72520545323698</v>
      </c>
      <c r="AL31" s="69">
        <v>3451.0961863199877</v>
      </c>
      <c r="AM31" s="69">
        <v>2133.3653911590577</v>
      </c>
      <c r="AN31" s="69">
        <v>478.60006475448614</v>
      </c>
      <c r="AO31" s="69">
        <v>2354.8055628458656</v>
      </c>
      <c r="AP31" s="69">
        <v>392.30085555712378</v>
      </c>
      <c r="AQ31" s="69">
        <v>877.59648303985614</v>
      </c>
    </row>
    <row r="32" spans="1:43">
      <c r="A32" s="11">
        <v>41177</v>
      </c>
      <c r="B32" s="59"/>
      <c r="C32" s="60">
        <v>140.26480497519196</v>
      </c>
      <c r="D32" s="60">
        <v>1579.7018272399891</v>
      </c>
      <c r="E32" s="60">
        <v>13.809302644928305</v>
      </c>
      <c r="F32" s="60">
        <v>0</v>
      </c>
      <c r="G32" s="60">
        <v>4401.3482200622402</v>
      </c>
      <c r="H32" s="61">
        <v>32.014990001916942</v>
      </c>
      <c r="I32" s="59">
        <v>501.97371478478101</v>
      </c>
      <c r="J32" s="60">
        <v>1286.0206102371196</v>
      </c>
      <c r="K32" s="60">
        <v>23.393937699993518</v>
      </c>
      <c r="L32" s="50">
        <v>0</v>
      </c>
      <c r="M32" s="60">
        <v>0</v>
      </c>
      <c r="N32" s="61">
        <v>0</v>
      </c>
      <c r="O32" s="59">
        <v>0</v>
      </c>
      <c r="P32" s="60">
        <v>0</v>
      </c>
      <c r="Q32" s="60">
        <v>0</v>
      </c>
      <c r="R32" s="63">
        <v>0</v>
      </c>
      <c r="S32" s="60">
        <v>0</v>
      </c>
      <c r="T32" s="64">
        <v>0</v>
      </c>
      <c r="U32" s="65">
        <v>420.44715993778726</v>
      </c>
      <c r="V32" s="62">
        <v>118.09797475493603</v>
      </c>
      <c r="W32" s="62">
        <v>36.800947071371709</v>
      </c>
      <c r="X32" s="62">
        <v>10.336893032731343</v>
      </c>
      <c r="Y32" s="66">
        <v>320.20032304621975</v>
      </c>
      <c r="Z32" s="66">
        <v>89.939981217212249</v>
      </c>
      <c r="AA32" s="67">
        <v>0</v>
      </c>
      <c r="AB32" s="68">
        <v>0</v>
      </c>
      <c r="AC32" s="69">
        <v>0</v>
      </c>
      <c r="AD32" s="69">
        <v>20.089986317025279</v>
      </c>
      <c r="AE32" s="68">
        <v>15.359854250961407</v>
      </c>
      <c r="AF32" s="68">
        <v>4.314377292589981</v>
      </c>
      <c r="AG32" s="68">
        <v>0.78070923466364806</v>
      </c>
      <c r="AH32" s="69">
        <v>277.96706477006273</v>
      </c>
      <c r="AI32" s="69">
        <v>981.07520936330138</v>
      </c>
      <c r="AJ32" s="69">
        <v>2995.1957199096687</v>
      </c>
      <c r="AK32" s="69">
        <v>800.98314641316722</v>
      </c>
      <c r="AL32" s="69">
        <v>3394.6587931315107</v>
      </c>
      <c r="AM32" s="69">
        <v>2217.134541447957</v>
      </c>
      <c r="AN32" s="69">
        <v>476.73240207036332</v>
      </c>
      <c r="AO32" s="69">
        <v>2341.7459799448652</v>
      </c>
      <c r="AP32" s="69">
        <v>335.42326847712201</v>
      </c>
      <c r="AQ32" s="69">
        <v>754.08849299748738</v>
      </c>
    </row>
    <row r="33" spans="1:43">
      <c r="A33" s="11">
        <v>41178</v>
      </c>
      <c r="B33" s="59"/>
      <c r="C33" s="60">
        <v>141.15404988129907</v>
      </c>
      <c r="D33" s="60">
        <v>1581.6945617675779</v>
      </c>
      <c r="E33" s="60">
        <v>13.862379435201499</v>
      </c>
      <c r="F33" s="60">
        <v>0</v>
      </c>
      <c r="G33" s="60">
        <v>4345.8578791300397</v>
      </c>
      <c r="H33" s="61">
        <v>33.826188876231612</v>
      </c>
      <c r="I33" s="59">
        <v>445.1343874295556</v>
      </c>
      <c r="J33" s="60">
        <v>1072.5967311223333</v>
      </c>
      <c r="K33" s="60">
        <v>19.305347781380053</v>
      </c>
      <c r="L33" s="50">
        <v>0</v>
      </c>
      <c r="M33" s="60">
        <v>0</v>
      </c>
      <c r="N33" s="61">
        <v>0</v>
      </c>
      <c r="O33" s="59">
        <v>0</v>
      </c>
      <c r="P33" s="60">
        <v>0</v>
      </c>
      <c r="Q33" s="60">
        <v>0</v>
      </c>
      <c r="R33" s="63">
        <v>0</v>
      </c>
      <c r="S33" s="60">
        <v>0</v>
      </c>
      <c r="T33" s="64">
        <v>0</v>
      </c>
      <c r="U33" s="65">
        <v>359.90605076358111</v>
      </c>
      <c r="V33" s="62">
        <v>120.42105619968633</v>
      </c>
      <c r="W33" s="62">
        <v>32.005548859355308</v>
      </c>
      <c r="X33" s="62">
        <v>10.708744656326941</v>
      </c>
      <c r="Y33" s="66">
        <v>270.78780087244036</v>
      </c>
      <c r="Z33" s="66">
        <v>90.602958516165259</v>
      </c>
      <c r="AA33" s="67">
        <v>0</v>
      </c>
      <c r="AB33" s="68">
        <v>0</v>
      </c>
      <c r="AC33" s="69">
        <v>0</v>
      </c>
      <c r="AD33" s="69">
        <v>17.714163585503879</v>
      </c>
      <c r="AE33" s="68">
        <v>13.000388322373176</v>
      </c>
      <c r="AF33" s="68">
        <v>4.3498032040995644</v>
      </c>
      <c r="AG33" s="68">
        <v>0.74929364915293983</v>
      </c>
      <c r="AH33" s="69">
        <v>302.5255660295486</v>
      </c>
      <c r="AI33" s="69">
        <v>1001.3579526265462</v>
      </c>
      <c r="AJ33" s="69">
        <v>3055.7922726949059</v>
      </c>
      <c r="AK33" s="69">
        <v>791.43313582738244</v>
      </c>
      <c r="AL33" s="69">
        <v>3033.0532863616945</v>
      </c>
      <c r="AM33" s="69">
        <v>2380.9308956146238</v>
      </c>
      <c r="AN33" s="69">
        <v>481.03458234469099</v>
      </c>
      <c r="AO33" s="69">
        <v>2014.3418735504151</v>
      </c>
      <c r="AP33" s="69">
        <v>221.81315743923187</v>
      </c>
      <c r="AQ33" s="69">
        <v>741.32246103286752</v>
      </c>
    </row>
    <row r="34" spans="1:43">
      <c r="A34" s="11">
        <v>41179</v>
      </c>
      <c r="B34" s="59"/>
      <c r="C34" s="60">
        <v>62.476757299900093</v>
      </c>
      <c r="D34" s="60">
        <v>664.50961816708252</v>
      </c>
      <c r="E34" s="60">
        <v>6.1586529334386251</v>
      </c>
      <c r="F34" s="60">
        <v>0</v>
      </c>
      <c r="G34" s="60">
        <v>1851.2645853678418</v>
      </c>
      <c r="H34" s="61">
        <v>14.091310901443157</v>
      </c>
      <c r="I34" s="59">
        <v>387.86711753209431</v>
      </c>
      <c r="J34" s="60">
        <v>933.88888460795124</v>
      </c>
      <c r="K34" s="60">
        <v>17.007622513174987</v>
      </c>
      <c r="L34" s="50">
        <v>0</v>
      </c>
      <c r="M34" s="60">
        <v>0</v>
      </c>
      <c r="N34" s="61">
        <v>0</v>
      </c>
      <c r="O34" s="59">
        <v>0</v>
      </c>
      <c r="P34" s="60">
        <v>0</v>
      </c>
      <c r="Q34" s="60">
        <v>0</v>
      </c>
      <c r="R34" s="63">
        <v>0</v>
      </c>
      <c r="S34" s="60">
        <v>0</v>
      </c>
      <c r="T34" s="64">
        <v>0</v>
      </c>
      <c r="U34" s="65">
        <v>323.87647376882433</v>
      </c>
      <c r="V34" s="62">
        <v>51.546563378694842</v>
      </c>
      <c r="W34" s="62">
        <v>25.329715728988134</v>
      </c>
      <c r="X34" s="62">
        <v>4.0313511568010982</v>
      </c>
      <c r="Y34" s="66">
        <v>235.78271958246143</v>
      </c>
      <c r="Z34" s="66">
        <v>37.526001061853847</v>
      </c>
      <c r="AA34" s="67">
        <v>0</v>
      </c>
      <c r="AB34" s="68">
        <v>0</v>
      </c>
      <c r="AC34" s="69">
        <v>0</v>
      </c>
      <c r="AD34" s="69">
        <v>13.410929477214822</v>
      </c>
      <c r="AE34" s="68">
        <v>11.296898325106447</v>
      </c>
      <c r="AF34" s="68">
        <v>1.797957964410269</v>
      </c>
      <c r="AG34" s="68">
        <v>0.86269738860367251</v>
      </c>
      <c r="AH34" s="69">
        <v>317.84316852887468</v>
      </c>
      <c r="AI34" s="69">
        <v>996.02679630915304</v>
      </c>
      <c r="AJ34" s="69">
        <v>1936.617591603597</v>
      </c>
      <c r="AK34" s="69">
        <v>772.91476806004835</v>
      </c>
      <c r="AL34" s="69">
        <v>2028.7444101333617</v>
      </c>
      <c r="AM34" s="69">
        <v>2460.9821754455565</v>
      </c>
      <c r="AN34" s="69">
        <v>477.48804022471114</v>
      </c>
      <c r="AO34" s="69">
        <v>1712.2330797831216</v>
      </c>
      <c r="AP34" s="69">
        <v>232.00147762298585</v>
      </c>
      <c r="AQ34" s="69">
        <v>746.7220534960428</v>
      </c>
    </row>
    <row r="35" spans="1:43">
      <c r="A35" s="11">
        <v>41180</v>
      </c>
      <c r="B35" s="59"/>
      <c r="C35" s="60">
        <v>0</v>
      </c>
      <c r="D35" s="60">
        <v>0</v>
      </c>
      <c r="E35" s="60">
        <v>0</v>
      </c>
      <c r="F35" s="60">
        <v>0</v>
      </c>
      <c r="G35" s="60">
        <v>0</v>
      </c>
      <c r="H35" s="61">
        <v>1.8805811802546184E-2</v>
      </c>
      <c r="I35" s="59">
        <v>435.50786281426781</v>
      </c>
      <c r="J35" s="60">
        <v>1034.4370529810597</v>
      </c>
      <c r="K35" s="60">
        <v>18.821648086110741</v>
      </c>
      <c r="L35" s="50">
        <v>0</v>
      </c>
      <c r="M35" s="60">
        <v>0</v>
      </c>
      <c r="N35" s="61">
        <v>0</v>
      </c>
      <c r="O35" s="59">
        <v>0</v>
      </c>
      <c r="P35" s="60">
        <v>0</v>
      </c>
      <c r="Q35" s="60">
        <v>0</v>
      </c>
      <c r="R35" s="63">
        <v>0</v>
      </c>
      <c r="S35" s="60">
        <v>0</v>
      </c>
      <c r="T35" s="64">
        <v>0</v>
      </c>
      <c r="U35" s="65">
        <v>362.13143992953712</v>
      </c>
      <c r="V35" s="62">
        <v>0</v>
      </c>
      <c r="W35" s="62">
        <v>34.007640890280427</v>
      </c>
      <c r="X35" s="62">
        <v>0</v>
      </c>
      <c r="Y35" s="66">
        <v>263.70720822016415</v>
      </c>
      <c r="Z35" s="66">
        <v>0</v>
      </c>
      <c r="AA35" s="67">
        <v>0</v>
      </c>
      <c r="AB35" s="68">
        <v>0</v>
      </c>
      <c r="AC35" s="69">
        <v>0</v>
      </c>
      <c r="AD35" s="69">
        <v>12.845710892147462</v>
      </c>
      <c r="AE35" s="68">
        <v>12.565291386056508</v>
      </c>
      <c r="AF35" s="68">
        <v>0</v>
      </c>
      <c r="AG35" s="68">
        <v>1</v>
      </c>
      <c r="AH35" s="69">
        <v>297.23865038553873</v>
      </c>
      <c r="AI35" s="69">
        <v>965.16867227554314</v>
      </c>
      <c r="AJ35" s="69">
        <v>1113.9401219050092</v>
      </c>
      <c r="AK35" s="69">
        <v>780.87188523610405</v>
      </c>
      <c r="AL35" s="69">
        <v>1119.0205655415853</v>
      </c>
      <c r="AM35" s="69">
        <v>2444.078006235758</v>
      </c>
      <c r="AN35" s="69">
        <v>477.91471524238585</v>
      </c>
      <c r="AO35" s="69">
        <v>1625.3529331207276</v>
      </c>
      <c r="AP35" s="69">
        <v>88.809173583984375</v>
      </c>
      <c r="AQ35" s="69">
        <v>769.87332703272511</v>
      </c>
    </row>
    <row r="36" spans="1:43">
      <c r="A36" s="11">
        <v>41181</v>
      </c>
      <c r="B36" s="59"/>
      <c r="C36" s="60">
        <v>0</v>
      </c>
      <c r="D36" s="60">
        <v>0</v>
      </c>
      <c r="E36" s="60">
        <v>0</v>
      </c>
      <c r="F36" s="60">
        <v>0</v>
      </c>
      <c r="G36" s="60">
        <v>0</v>
      </c>
      <c r="H36" s="61">
        <v>0</v>
      </c>
      <c r="I36" s="59">
        <v>587.38684724172094</v>
      </c>
      <c r="J36" s="60">
        <v>1492.4620295206701</v>
      </c>
      <c r="K36" s="60">
        <v>27.11965469121937</v>
      </c>
      <c r="L36" s="50">
        <v>0</v>
      </c>
      <c r="M36" s="60">
        <v>0</v>
      </c>
      <c r="N36" s="61">
        <v>0</v>
      </c>
      <c r="O36" s="59">
        <v>0</v>
      </c>
      <c r="P36" s="60">
        <v>0</v>
      </c>
      <c r="Q36" s="60">
        <v>0</v>
      </c>
      <c r="R36" s="63">
        <v>0</v>
      </c>
      <c r="S36" s="60">
        <v>0</v>
      </c>
      <c r="T36" s="64">
        <v>0</v>
      </c>
      <c r="U36" s="65">
        <v>510.32572061750625</v>
      </c>
      <c r="V36" s="62">
        <v>0</v>
      </c>
      <c r="W36" s="62">
        <v>45.424553191661808</v>
      </c>
      <c r="X36" s="62">
        <v>0</v>
      </c>
      <c r="Y36" s="66">
        <v>463.47286774317519</v>
      </c>
      <c r="Z36" s="66">
        <v>0</v>
      </c>
      <c r="AA36" s="67">
        <v>0</v>
      </c>
      <c r="AB36" s="68">
        <v>0</v>
      </c>
      <c r="AC36" s="69">
        <v>0</v>
      </c>
      <c r="AD36" s="69">
        <v>18.332973476250945</v>
      </c>
      <c r="AE36" s="68">
        <v>18.079810373945186</v>
      </c>
      <c r="AF36" s="68">
        <v>0</v>
      </c>
      <c r="AG36" s="68">
        <v>1</v>
      </c>
      <c r="AH36" s="69">
        <v>298.62656952540084</v>
      </c>
      <c r="AI36" s="69">
        <v>965.47116572062168</v>
      </c>
      <c r="AJ36" s="69">
        <v>1100.4756735483804</v>
      </c>
      <c r="AK36" s="69">
        <v>803.64573322931926</v>
      </c>
      <c r="AL36" s="69">
        <v>1087.5404839197795</v>
      </c>
      <c r="AM36" s="69">
        <v>2361.4768549601245</v>
      </c>
      <c r="AN36" s="69">
        <v>484.00272787412001</v>
      </c>
      <c r="AO36" s="69">
        <v>2055.4143328348796</v>
      </c>
      <c r="AP36" s="69">
        <v>88.809173583984375</v>
      </c>
      <c r="AQ36" s="69">
        <v>801.85977932612127</v>
      </c>
    </row>
    <row r="37" spans="1:43">
      <c r="A37" s="11">
        <v>41182</v>
      </c>
      <c r="B37" s="59"/>
      <c r="C37" s="60">
        <v>0</v>
      </c>
      <c r="D37" s="60">
        <v>0</v>
      </c>
      <c r="E37" s="60">
        <v>0</v>
      </c>
      <c r="F37" s="60">
        <v>0</v>
      </c>
      <c r="G37" s="60">
        <v>0</v>
      </c>
      <c r="H37" s="61">
        <v>0</v>
      </c>
      <c r="I37" s="59">
        <v>556.03903824488305</v>
      </c>
      <c r="J37" s="60">
        <v>1441.1287335077939</v>
      </c>
      <c r="K37" s="60">
        <v>26.563230593999339</v>
      </c>
      <c r="L37" s="50">
        <v>0</v>
      </c>
      <c r="M37" s="60">
        <v>0</v>
      </c>
      <c r="N37" s="61">
        <v>0</v>
      </c>
      <c r="O37" s="59">
        <v>0</v>
      </c>
      <c r="P37" s="60">
        <v>0</v>
      </c>
      <c r="Q37" s="60">
        <v>0</v>
      </c>
      <c r="R37" s="63">
        <v>0</v>
      </c>
      <c r="S37" s="60">
        <v>0</v>
      </c>
      <c r="T37" s="64">
        <v>0</v>
      </c>
      <c r="U37" s="65">
        <v>499.79142470889775</v>
      </c>
      <c r="V37" s="62">
        <v>0</v>
      </c>
      <c r="W37" s="62">
        <v>41.580886606375373</v>
      </c>
      <c r="X37" s="62">
        <v>0</v>
      </c>
      <c r="Y37" s="66">
        <v>487.51417272885584</v>
      </c>
      <c r="Z37" s="66">
        <v>0</v>
      </c>
      <c r="AA37" s="67">
        <v>0</v>
      </c>
      <c r="AB37" s="68">
        <v>0</v>
      </c>
      <c r="AC37" s="69">
        <v>0</v>
      </c>
      <c r="AD37" s="69">
        <v>17.802165007591245</v>
      </c>
      <c r="AE37" s="68">
        <v>17.594749450751564</v>
      </c>
      <c r="AF37" s="68">
        <v>0</v>
      </c>
      <c r="AG37" s="68">
        <v>1</v>
      </c>
      <c r="AH37" s="69">
        <v>286.58001448313394</v>
      </c>
      <c r="AI37" s="69">
        <v>957.00413271586092</v>
      </c>
      <c r="AJ37" s="69">
        <v>1074.5057804743451</v>
      </c>
      <c r="AK37" s="69">
        <v>801.2454710006715</v>
      </c>
      <c r="AL37" s="69">
        <v>1081.0501866658528</v>
      </c>
      <c r="AM37" s="69">
        <v>2378.1034406026201</v>
      </c>
      <c r="AN37" s="69">
        <v>478.5076112906138</v>
      </c>
      <c r="AO37" s="69">
        <v>2071.435326894124</v>
      </c>
      <c r="AP37" s="69">
        <v>88.809173583984375</v>
      </c>
      <c r="AQ37" s="69">
        <v>778.87070026397703</v>
      </c>
    </row>
    <row r="38" spans="1:43" ht="15.75" thickBot="1">
      <c r="A38" s="11"/>
      <c r="B38" s="59"/>
      <c r="C38" s="60"/>
      <c r="D38" s="60"/>
      <c r="E38" s="60"/>
      <c r="F38" s="60"/>
      <c r="G38" s="60"/>
      <c r="H38" s="61"/>
      <c r="I38" s="59"/>
      <c r="J38" s="60"/>
      <c r="K38" s="60"/>
      <c r="L38" s="60"/>
      <c r="M38" s="60"/>
      <c r="N38" s="61"/>
      <c r="O38" s="59"/>
      <c r="P38" s="60"/>
      <c r="Q38" s="60"/>
      <c r="R38" s="63"/>
      <c r="S38" s="60"/>
      <c r="T38" s="64"/>
      <c r="U38" s="65"/>
      <c r="V38" s="62"/>
      <c r="W38" s="62"/>
      <c r="X38" s="62"/>
      <c r="Y38" s="66"/>
      <c r="Z38" s="66"/>
      <c r="AA38" s="67"/>
      <c r="AB38" s="68"/>
      <c r="AC38" s="69"/>
      <c r="AD38" s="69"/>
      <c r="AE38" s="68"/>
      <c r="AF38" s="68"/>
      <c r="AG38" s="68"/>
      <c r="AH38" s="69"/>
      <c r="AI38" s="69"/>
      <c r="AJ38" s="69"/>
      <c r="AK38" s="69"/>
      <c r="AL38" s="69"/>
      <c r="AM38" s="69"/>
      <c r="AN38" s="69"/>
      <c r="AO38" s="69"/>
      <c r="AP38" s="69"/>
      <c r="AQ38" s="69"/>
    </row>
    <row r="39" spans="1:43" ht="15.75" thickTop="1">
      <c r="A39" s="46" t="s">
        <v>170</v>
      </c>
      <c r="B39" s="29">
        <f t="shared" ref="B39:AC39" si="0">SUM(B8:B38)</f>
        <v>0</v>
      </c>
      <c r="C39" s="30">
        <f t="shared" si="0"/>
        <v>3742.6068500002243</v>
      </c>
      <c r="D39" s="30">
        <f t="shared" si="0"/>
        <v>41862.113697946093</v>
      </c>
      <c r="E39" s="30">
        <f t="shared" si="0"/>
        <v>368.37862503926021</v>
      </c>
      <c r="F39" s="30">
        <f t="shared" si="0"/>
        <v>0</v>
      </c>
      <c r="G39" s="30">
        <f t="shared" si="0"/>
        <v>116144.54864323931</v>
      </c>
      <c r="H39" s="31">
        <f t="shared" si="0"/>
        <v>873.87474720776208</v>
      </c>
      <c r="I39" s="29">
        <f t="shared" si="0"/>
        <v>18126.959832251079</v>
      </c>
      <c r="J39" s="30">
        <f t="shared" si="0"/>
        <v>41452.215621248855</v>
      </c>
      <c r="K39" s="30">
        <f t="shared" si="0"/>
        <v>756.22326984604138</v>
      </c>
      <c r="L39" s="30">
        <f t="shared" si="0"/>
        <v>0</v>
      </c>
      <c r="M39" s="30">
        <f t="shared" si="0"/>
        <v>0</v>
      </c>
      <c r="N39" s="31">
        <f t="shared" si="0"/>
        <v>0</v>
      </c>
      <c r="O39" s="260">
        <f t="shared" si="0"/>
        <v>0</v>
      </c>
      <c r="P39" s="261">
        <f t="shared" si="0"/>
        <v>0</v>
      </c>
      <c r="Q39" s="261">
        <f t="shared" si="0"/>
        <v>0</v>
      </c>
      <c r="R39" s="261">
        <f t="shared" si="0"/>
        <v>0</v>
      </c>
      <c r="S39" s="261">
        <f t="shared" si="0"/>
        <v>0</v>
      </c>
      <c r="T39" s="262">
        <f t="shared" si="0"/>
        <v>0</v>
      </c>
      <c r="U39" s="260">
        <f t="shared" si="0"/>
        <v>13751.147914638805</v>
      </c>
      <c r="V39" s="261">
        <f t="shared" si="0"/>
        <v>3060.0414455559312</v>
      </c>
      <c r="W39" s="261">
        <f t="shared" si="0"/>
        <v>1226.8768248320846</v>
      </c>
      <c r="X39" s="261">
        <f t="shared" si="0"/>
        <v>273.76239124226305</v>
      </c>
      <c r="Y39" s="261">
        <f t="shared" si="0"/>
        <v>10703.203416742261</v>
      </c>
      <c r="Z39" s="261">
        <f t="shared" si="0"/>
        <v>2339.9012721485155</v>
      </c>
      <c r="AA39" s="269">
        <f t="shared" si="0"/>
        <v>0</v>
      </c>
      <c r="AB39" s="272">
        <f t="shared" si="0"/>
        <v>0</v>
      </c>
      <c r="AC39" s="272">
        <f t="shared" si="0"/>
        <v>0</v>
      </c>
      <c r="AD39" s="275" t="s">
        <v>29</v>
      </c>
      <c r="AE39" s="275" t="s">
        <v>29</v>
      </c>
      <c r="AF39" s="275" t="s">
        <v>29</v>
      </c>
      <c r="AG39" s="275" t="s">
        <v>158</v>
      </c>
      <c r="AH39" s="272">
        <f t="shared" ref="AH39:AQ39" si="1">SUM(AH8:AH38)</f>
        <v>9849.6666595141105</v>
      </c>
      <c r="AI39" s="272">
        <f t="shared" si="1"/>
        <v>30887.939226150516</v>
      </c>
      <c r="AJ39" s="272">
        <f t="shared" si="1"/>
        <v>85558.971878814686</v>
      </c>
      <c r="AK39" s="272">
        <f t="shared" si="1"/>
        <v>24094.906611982973</v>
      </c>
      <c r="AL39" s="272">
        <f t="shared" si="1"/>
        <v>91342.707709757524</v>
      </c>
      <c r="AM39" s="272">
        <f t="shared" si="1"/>
        <v>67744.384486262003</v>
      </c>
      <c r="AN39" s="272">
        <f t="shared" si="1"/>
        <v>15236.557952912646</v>
      </c>
      <c r="AO39" s="272">
        <f t="shared" si="1"/>
        <v>72862.302227401728</v>
      </c>
      <c r="AP39" s="272">
        <f t="shared" si="1"/>
        <v>10686.42973483801</v>
      </c>
      <c r="AQ39" s="272">
        <f t="shared" si="1"/>
        <v>25463.758958085382</v>
      </c>
    </row>
    <row r="40" spans="1:43" ht="15.75" thickBot="1">
      <c r="A40" s="47" t="s">
        <v>171</v>
      </c>
      <c r="B40" s="32">
        <f>Projection!$AC$30</f>
        <v>0.91139353199999984</v>
      </c>
      <c r="C40" s="33">
        <f>Projection!$AC$28</f>
        <v>1.4375491199999999</v>
      </c>
      <c r="D40" s="33">
        <f>Projection!$AC$31</f>
        <v>2.0036016000000001</v>
      </c>
      <c r="E40" s="33">
        <f>Projection!$AC$26</f>
        <v>4.7363493840000004</v>
      </c>
      <c r="F40" s="33">
        <f>Projection!$AC$23</f>
        <v>5.8379999999999994E-2</v>
      </c>
      <c r="G40" s="33">
        <f>Projection!$AC$24</f>
        <v>5.3200000000000004E-2</v>
      </c>
      <c r="H40" s="34">
        <f>Projection!$AC$29</f>
        <v>3.6371774160000006</v>
      </c>
      <c r="I40" s="32">
        <f>Projection!$AC$30</f>
        <v>0.91139353199999984</v>
      </c>
      <c r="J40" s="33">
        <f>Projection!$AC$28</f>
        <v>1.4375491199999999</v>
      </c>
      <c r="K40" s="33">
        <f>Projection!$AC$26</f>
        <v>4.7363493840000004</v>
      </c>
      <c r="L40" s="33">
        <f>Projection!$AC$25</f>
        <v>0.37613399999999997</v>
      </c>
      <c r="M40" s="33">
        <f>Projection!$AC$23</f>
        <v>5.8379999999999994E-2</v>
      </c>
      <c r="N40" s="34">
        <f>Projection!$AC$23</f>
        <v>5.8379999999999994E-2</v>
      </c>
      <c r="O40" s="263">
        <v>15.77</v>
      </c>
      <c r="P40" s="264">
        <v>15.77</v>
      </c>
      <c r="Q40" s="264">
        <v>15.77</v>
      </c>
      <c r="R40" s="264">
        <v>15.77</v>
      </c>
      <c r="S40" s="264">
        <f>Projection!$AC$28</f>
        <v>1.4375491199999999</v>
      </c>
      <c r="T40" s="265">
        <f>Projection!$AC$28</f>
        <v>1.4375491199999999</v>
      </c>
      <c r="U40" s="263">
        <f>Projection!$AC$27</f>
        <v>0.26250000000000001</v>
      </c>
      <c r="V40" s="264">
        <f>Projection!$AC$27</f>
        <v>0.26250000000000001</v>
      </c>
      <c r="W40" s="264">
        <f>Projection!$AC$22</f>
        <v>1.1475</v>
      </c>
      <c r="X40" s="264">
        <f>Projection!$AC$22</f>
        <v>1.1475</v>
      </c>
      <c r="Y40" s="264">
        <f>Projection!$AC$31</f>
        <v>2.0036016000000001</v>
      </c>
      <c r="Z40" s="264">
        <f>Projection!$AC$31</f>
        <v>2.0036016000000001</v>
      </c>
      <c r="AA40" s="270">
        <v>0</v>
      </c>
      <c r="AB40" s="273">
        <f>Projection!$AC$27</f>
        <v>0.26250000000000001</v>
      </c>
      <c r="AC40" s="273">
        <f>Projection!$AC$30</f>
        <v>0.91139353199999984</v>
      </c>
      <c r="AD40" s="276">
        <f>SUM(AD8:AD38)</f>
        <v>624.66999315222097</v>
      </c>
      <c r="AE40" s="276">
        <f>SUM(AE8:AE38)</f>
        <v>502.29999602619239</v>
      </c>
      <c r="AF40" s="276">
        <f>SUM(AF8:AF38)</f>
        <v>112.04271093719788</v>
      </c>
      <c r="AG40" s="276">
        <f>IF(SUM(AE40:AF40)&gt;0, AE40/(AE40+AF40), "")</f>
        <v>0.81762180999753498</v>
      </c>
      <c r="AH40" s="303">
        <v>7.4999999999999997E-2</v>
      </c>
      <c r="AI40" s="303">
        <f t="shared" ref="AI40:AQ40" si="2">$AH$40</f>
        <v>7.4999999999999997E-2</v>
      </c>
      <c r="AJ40" s="303">
        <f t="shared" si="2"/>
        <v>7.4999999999999997E-2</v>
      </c>
      <c r="AK40" s="303">
        <f t="shared" si="2"/>
        <v>7.4999999999999997E-2</v>
      </c>
      <c r="AL40" s="303">
        <f t="shared" si="2"/>
        <v>7.4999999999999997E-2</v>
      </c>
      <c r="AM40" s="303">
        <f t="shared" si="2"/>
        <v>7.4999999999999997E-2</v>
      </c>
      <c r="AN40" s="303">
        <f t="shared" si="2"/>
        <v>7.4999999999999997E-2</v>
      </c>
      <c r="AO40" s="303">
        <f t="shared" si="2"/>
        <v>7.4999999999999997E-2</v>
      </c>
      <c r="AP40" s="303">
        <f t="shared" si="2"/>
        <v>7.4999999999999997E-2</v>
      </c>
      <c r="AQ40" s="303">
        <f t="shared" si="2"/>
        <v>7.4999999999999997E-2</v>
      </c>
    </row>
    <row r="41" spans="1:43" ht="16.5" thickTop="1" thickBot="1">
      <c r="A41" s="48" t="s">
        <v>26</v>
      </c>
      <c r="B41" s="35">
        <f t="shared" ref="B41:AC41" si="3">B40*B39</f>
        <v>0</v>
      </c>
      <c r="C41" s="36">
        <f t="shared" si="3"/>
        <v>5380.1811837237938</v>
      </c>
      <c r="D41" s="36">
        <f t="shared" si="3"/>
        <v>83874.99798458672</v>
      </c>
      <c r="E41" s="36">
        <f t="shared" si="3"/>
        <v>1744.7698737834671</v>
      </c>
      <c r="F41" s="36">
        <f t="shared" si="3"/>
        <v>0</v>
      </c>
      <c r="G41" s="36">
        <f t="shared" si="3"/>
        <v>6178.889987820332</v>
      </c>
      <c r="H41" s="37">
        <f t="shared" si="3"/>
        <v>3178.4374949567818</v>
      </c>
      <c r="I41" s="35">
        <f t="shared" si="3"/>
        <v>16520.793945937436</v>
      </c>
      <c r="J41" s="36">
        <f t="shared" si="3"/>
        <v>59589.596088376544</v>
      </c>
      <c r="K41" s="36">
        <f t="shared" si="3"/>
        <v>3581.7376183017641</v>
      </c>
      <c r="L41" s="36">
        <f t="shared" si="3"/>
        <v>0</v>
      </c>
      <c r="M41" s="36">
        <f t="shared" si="3"/>
        <v>0</v>
      </c>
      <c r="N41" s="37">
        <f t="shared" si="3"/>
        <v>0</v>
      </c>
      <c r="O41" s="266">
        <f t="shared" si="3"/>
        <v>0</v>
      </c>
      <c r="P41" s="267">
        <f t="shared" si="3"/>
        <v>0</v>
      </c>
      <c r="Q41" s="267">
        <f t="shared" si="3"/>
        <v>0</v>
      </c>
      <c r="R41" s="267">
        <f t="shared" si="3"/>
        <v>0</v>
      </c>
      <c r="S41" s="267">
        <f t="shared" si="3"/>
        <v>0</v>
      </c>
      <c r="T41" s="268">
        <f t="shared" si="3"/>
        <v>0</v>
      </c>
      <c r="U41" s="266">
        <f t="shared" si="3"/>
        <v>3609.6763275926864</v>
      </c>
      <c r="V41" s="267">
        <f t="shared" si="3"/>
        <v>803.26087945843199</v>
      </c>
      <c r="W41" s="267">
        <f t="shared" si="3"/>
        <v>1407.8411564948171</v>
      </c>
      <c r="X41" s="267">
        <f t="shared" si="3"/>
        <v>314.14234395049687</v>
      </c>
      <c r="Y41" s="267">
        <f t="shared" si="3"/>
        <v>21444.955490910263</v>
      </c>
      <c r="Z41" s="267">
        <f t="shared" si="3"/>
        <v>4688.2299327188011</v>
      </c>
      <c r="AA41" s="271">
        <f t="shared" si="3"/>
        <v>0</v>
      </c>
      <c r="AB41" s="274">
        <f t="shared" si="3"/>
        <v>0</v>
      </c>
      <c r="AC41" s="274">
        <f t="shared" si="3"/>
        <v>0</v>
      </c>
      <c r="AH41" s="277">
        <f t="shared" ref="AH41:AI41" si="4">AH40*AH39</f>
        <v>738.72499946355822</v>
      </c>
      <c r="AI41" s="277">
        <f t="shared" si="4"/>
        <v>2316.5954419612885</v>
      </c>
      <c r="AJ41" s="277">
        <f t="shared" ref="AJ41:AQ41" si="5">AJ40*AJ39</f>
        <v>6416.9228909111016</v>
      </c>
      <c r="AK41" s="277">
        <f t="shared" si="5"/>
        <v>1807.1179958987229</v>
      </c>
      <c r="AL41" s="277">
        <f t="shared" si="5"/>
        <v>6850.7030782318143</v>
      </c>
      <c r="AM41" s="277">
        <f t="shared" si="5"/>
        <v>5080.82883646965</v>
      </c>
      <c r="AN41" s="277">
        <f t="shared" si="5"/>
        <v>1142.7418464684483</v>
      </c>
      <c r="AO41" s="277">
        <f t="shared" si="5"/>
        <v>5464.6726670551298</v>
      </c>
      <c r="AP41" s="277">
        <f t="shared" si="5"/>
        <v>801.48223011285074</v>
      </c>
      <c r="AQ41" s="277">
        <f t="shared" si="5"/>
        <v>1909.7819218564036</v>
      </c>
    </row>
    <row r="42" spans="1:43" ht="49.5" customHeight="1" thickTop="1" thickBot="1">
      <c r="A42" s="740" t="s">
        <v>215</v>
      </c>
      <c r="B42" s="741"/>
      <c r="C42" s="741"/>
      <c r="D42" s="741"/>
      <c r="E42" s="741"/>
      <c r="F42" s="741"/>
      <c r="G42" s="741"/>
      <c r="H42" s="741"/>
      <c r="I42" s="741"/>
      <c r="J42" s="741"/>
      <c r="K42" s="723"/>
      <c r="L42" s="44"/>
      <c r="M42" s="44"/>
      <c r="N42" s="44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  <c r="AA42" s="45"/>
      <c r="AB42" s="45"/>
      <c r="AC42" s="45"/>
      <c r="AG42" s="295" t="s">
        <v>183</v>
      </c>
      <c r="AH42" s="294">
        <v>136.91999999999999</v>
      </c>
      <c r="AI42" s="277" t="s">
        <v>196</v>
      </c>
      <c r="AJ42" s="277">
        <v>279.58</v>
      </c>
      <c r="AK42" s="277">
        <v>134.33000000000001</v>
      </c>
      <c r="AL42" s="277">
        <v>133</v>
      </c>
      <c r="AM42" s="277">
        <v>644.08000000000004</v>
      </c>
      <c r="AN42" s="277">
        <v>0</v>
      </c>
      <c r="AO42" s="277" t="s">
        <v>196</v>
      </c>
      <c r="AP42" s="277">
        <v>32.74</v>
      </c>
      <c r="AQ42" s="277">
        <v>144.69</v>
      </c>
    </row>
    <row r="43" spans="1:43" ht="38.25" customHeight="1" thickTop="1" thickBot="1">
      <c r="A43" s="726" t="s">
        <v>49</v>
      </c>
      <c r="B43" s="722"/>
      <c r="C43" s="288"/>
      <c r="D43" s="722" t="s">
        <v>47</v>
      </c>
      <c r="E43" s="722"/>
      <c r="F43" s="288"/>
      <c r="G43" s="722" t="s">
        <v>48</v>
      </c>
      <c r="H43" s="722"/>
      <c r="I43" s="289"/>
      <c r="J43" s="722" t="s">
        <v>50</v>
      </c>
      <c r="K43" s="723"/>
      <c r="L43" s="44"/>
      <c r="M43" s="44"/>
      <c r="N43" s="44"/>
      <c r="O43" s="45"/>
      <c r="P43" s="45"/>
      <c r="Q43" s="45"/>
      <c r="R43" s="729" t="s">
        <v>165</v>
      </c>
      <c r="S43" s="730"/>
      <c r="T43" s="730"/>
      <c r="U43" s="731"/>
      <c r="AC43" s="45"/>
    </row>
    <row r="44" spans="1:43" ht="61.5" customHeight="1" thickTop="1" thickBot="1">
      <c r="A44" s="281" t="s">
        <v>135</v>
      </c>
      <c r="B44" s="282">
        <f>SUM(B41:AC41)</f>
        <v>212317.51030861231</v>
      </c>
      <c r="C44" s="12"/>
      <c r="D44" s="281" t="s">
        <v>135</v>
      </c>
      <c r="E44" s="282">
        <f>SUM(B41:H41)+P41+R41+T41+V41+X41+Z41</f>
        <v>106162.90968099886</v>
      </c>
      <c r="F44" s="12"/>
      <c r="G44" s="281" t="s">
        <v>135</v>
      </c>
      <c r="H44" s="282">
        <f>SUM(I41:N41)+O41+Q41+S41+U41+W41+Y41</f>
        <v>106154.60062761352</v>
      </c>
      <c r="I44" s="12"/>
      <c r="J44" s="281" t="s">
        <v>197</v>
      </c>
      <c r="K44" s="282">
        <v>136302.31</v>
      </c>
      <c r="L44" s="12"/>
      <c r="M44" s="12"/>
      <c r="N44" s="12"/>
      <c r="O44" s="12"/>
      <c r="P44" s="12"/>
      <c r="Q44" s="12"/>
      <c r="R44" s="299" t="s">
        <v>135</v>
      </c>
      <c r="S44" s="300"/>
      <c r="T44" s="296" t="s">
        <v>166</v>
      </c>
      <c r="U44" s="254" t="s">
        <v>167</v>
      </c>
    </row>
    <row r="45" spans="1:43" ht="60" customHeight="1" thickBot="1">
      <c r="A45" s="283" t="s">
        <v>182</v>
      </c>
      <c r="B45" s="284">
        <f>SUM(AH41:AQ41)</f>
        <v>32529.571908428967</v>
      </c>
      <c r="C45" s="12"/>
      <c r="D45" s="283" t="s">
        <v>182</v>
      </c>
      <c r="E45" s="284">
        <f>AH41*(1-$AG$40)+AI41+AJ41*0.5+AL41+AM41*(1-$AG$40)+AN41*(1-$AG$40)+AO41*(1-$AG$40)+AP41*0.5+AQ41*0.5</f>
        <v>15997.800036425127</v>
      </c>
      <c r="F45" s="24"/>
      <c r="G45" s="283" t="s">
        <v>182</v>
      </c>
      <c r="H45" s="284">
        <f>AH41*AG40+AJ41*0.5+AK41+AM41*AG40+AN41*AG40+AO41*AG40+AP41*0.5+AQ41*0.5</f>
        <v>16531.771872003839</v>
      </c>
      <c r="I45" s="12"/>
      <c r="J45" s="12"/>
      <c r="K45" s="287"/>
      <c r="L45" s="12"/>
      <c r="M45" s="12"/>
      <c r="N45" s="12"/>
      <c r="O45" s="12"/>
      <c r="P45" s="12"/>
      <c r="Q45" s="12"/>
      <c r="R45" s="297" t="s">
        <v>140</v>
      </c>
      <c r="S45" s="298"/>
      <c r="T45" s="253">
        <f>$W$39+$X$39</f>
        <v>1500.6392160743476</v>
      </c>
      <c r="U45" s="255">
        <f>(T45*8.34*0.895)/27000</f>
        <v>0.41486004816828714</v>
      </c>
    </row>
    <row r="46" spans="1:43" ht="32.25" thickBot="1">
      <c r="A46" s="285" t="s">
        <v>183</v>
      </c>
      <c r="B46" s="286">
        <f>SUM(AH42:AQ42)</f>
        <v>1505.3400000000001</v>
      </c>
      <c r="C46" s="12"/>
      <c r="D46" s="285" t="s">
        <v>183</v>
      </c>
      <c r="E46" s="286">
        <f>AH42*(1-$AG$40)+AJ42*0.5+AL42+AM42*(1-$AG$40)+AN42*(1-$AG$40)+AP42*0.5+AQ42*0.5</f>
        <v>503.94236639192525</v>
      </c>
      <c r="F46" s="23"/>
      <c r="G46" s="285" t="s">
        <v>183</v>
      </c>
      <c r="H46" s="286">
        <f>AH42*AG40+AJ42*0.5+AK42+AM42*AG40+AN42*AG40+AP42*0.5+AQ42*0.5</f>
        <v>1001.3976336080749</v>
      </c>
      <c r="I46" s="12"/>
      <c r="J46" s="724" t="s">
        <v>198</v>
      </c>
      <c r="K46" s="725"/>
      <c r="L46" s="12"/>
      <c r="M46" s="12"/>
      <c r="N46" s="12"/>
      <c r="O46" s="12"/>
      <c r="P46" s="12"/>
      <c r="Q46" s="12"/>
      <c r="R46" s="297" t="s">
        <v>144</v>
      </c>
      <c r="S46" s="298"/>
      <c r="T46" s="253">
        <f>$M$39+$N$39+$F$39</f>
        <v>0</v>
      </c>
      <c r="U46" s="256">
        <f>(((T46*8.34)*0.005)/(8.34*1.055))/400</f>
        <v>0</v>
      </c>
    </row>
    <row r="47" spans="1:43" ht="24.75" thickTop="1" thickBot="1">
      <c r="A47" s="285" t="s">
        <v>184</v>
      </c>
      <c r="B47" s="286">
        <f>K44</f>
        <v>136302.31</v>
      </c>
      <c r="C47" s="12"/>
      <c r="D47" s="285" t="s">
        <v>186</v>
      </c>
      <c r="E47" s="286">
        <f>K44*0.5</f>
        <v>68151.154999999999</v>
      </c>
      <c r="F47" s="24"/>
      <c r="G47" s="285" t="s">
        <v>184</v>
      </c>
      <c r="H47" s="286">
        <f>K44*0.5</f>
        <v>68151.154999999999</v>
      </c>
      <c r="I47" s="12"/>
      <c r="J47" s="281" t="s">
        <v>197</v>
      </c>
      <c r="K47" s="282">
        <v>36286.9</v>
      </c>
      <c r="L47" s="12"/>
      <c r="M47" s="12"/>
      <c r="N47" s="12"/>
      <c r="O47" s="12"/>
      <c r="P47" s="12"/>
      <c r="Q47" s="12"/>
      <c r="R47" s="297" t="s">
        <v>147</v>
      </c>
      <c r="S47" s="298"/>
      <c r="T47" s="253">
        <f>$G$39</f>
        <v>116144.54864323931</v>
      </c>
      <c r="U47" s="255">
        <f>T47/40000</f>
        <v>2.9036137160809825</v>
      </c>
    </row>
    <row r="48" spans="1:43" ht="24" thickBot="1">
      <c r="A48" s="285" t="s">
        <v>185</v>
      </c>
      <c r="B48" s="286">
        <f>K47</f>
        <v>36286.9</v>
      </c>
      <c r="C48" s="12"/>
      <c r="D48" s="285" t="s">
        <v>185</v>
      </c>
      <c r="E48" s="286">
        <f>K47*0.5</f>
        <v>18143.45</v>
      </c>
      <c r="F48" s="23"/>
      <c r="G48" s="285" t="s">
        <v>185</v>
      </c>
      <c r="H48" s="286">
        <f>K47*0.5</f>
        <v>18143.45</v>
      </c>
      <c r="I48" s="12"/>
      <c r="J48" s="12"/>
      <c r="K48" s="86"/>
      <c r="L48" s="12"/>
      <c r="M48" s="12"/>
      <c r="N48" s="12"/>
      <c r="O48" s="12"/>
      <c r="P48" s="12"/>
      <c r="Q48" s="12"/>
      <c r="R48" s="297" t="s">
        <v>149</v>
      </c>
      <c r="S48" s="298"/>
      <c r="T48" s="253">
        <f>$L$39</f>
        <v>0</v>
      </c>
      <c r="U48" s="255">
        <f>T48*9.34*0.107</f>
        <v>0</v>
      </c>
    </row>
    <row r="49" spans="1:21" ht="46.5" customHeight="1" thickTop="1" thickBot="1">
      <c r="A49" s="290" t="s">
        <v>193</v>
      </c>
      <c r="B49" s="291">
        <f>AD40</f>
        <v>624.66999315222097</v>
      </c>
      <c r="C49" s="12"/>
      <c r="D49" s="290" t="s">
        <v>194</v>
      </c>
      <c r="E49" s="291">
        <f>AF40</f>
        <v>112.04271093719788</v>
      </c>
      <c r="F49" s="23"/>
      <c r="G49" s="290" t="s">
        <v>195</v>
      </c>
      <c r="H49" s="291">
        <f>AE40</f>
        <v>502.29999602619239</v>
      </c>
      <c r="I49" s="12"/>
      <c r="J49" s="12"/>
      <c r="K49" s="86"/>
      <c r="L49" s="12"/>
      <c r="M49" s="12"/>
      <c r="N49" s="12"/>
      <c r="O49" s="12"/>
      <c r="P49" s="12"/>
      <c r="Q49" s="12"/>
      <c r="R49" s="297" t="s">
        <v>151</v>
      </c>
      <c r="S49" s="298"/>
      <c r="T49" s="253">
        <f>$E$39+$K$39</f>
        <v>1124.6018948853016</v>
      </c>
      <c r="U49" s="255">
        <f>(T49*8.34*1.04)/45000</f>
        <v>0.21676326656615894</v>
      </c>
    </row>
    <row r="50" spans="1:21" ht="48" customHeight="1" thickTop="1" thickBot="1">
      <c r="A50" s="290" t="s">
        <v>189</v>
      </c>
      <c r="B50" s="292">
        <f>(SUM(B44:B48)/AD40)</f>
        <v>670.6607277595815</v>
      </c>
      <c r="C50" s="12"/>
      <c r="D50" s="290" t="s">
        <v>187</v>
      </c>
      <c r="E50" s="292">
        <f>SUM(E44:E48)/AF40</f>
        <v>1864.9964405175956</v>
      </c>
      <c r="F50" s="23"/>
      <c r="G50" s="290" t="s">
        <v>188</v>
      </c>
      <c r="H50" s="292">
        <f>SUM(H44:H48)/AE40</f>
        <v>418.04176148605018</v>
      </c>
      <c r="I50" s="12"/>
      <c r="J50" s="12"/>
      <c r="K50" s="86"/>
      <c r="L50" s="12"/>
      <c r="M50" s="12"/>
      <c r="N50" s="12"/>
      <c r="O50" s="12"/>
      <c r="P50" s="12"/>
      <c r="Q50" s="12"/>
      <c r="R50" s="297" t="s">
        <v>152</v>
      </c>
      <c r="S50" s="298"/>
      <c r="T50" s="253">
        <f>$U$39+$V$39+$AB$39</f>
        <v>16811.189360194738</v>
      </c>
      <c r="U50" s="255">
        <f>T50/2000/8</f>
        <v>1.0506993350121712</v>
      </c>
    </row>
    <row r="51" spans="1:21" ht="48" customHeight="1" thickTop="1" thickBot="1">
      <c r="A51" s="280" t="s">
        <v>190</v>
      </c>
      <c r="B51" s="293">
        <f>B50/1000</f>
        <v>0.67066072775958152</v>
      </c>
      <c r="C51" s="12"/>
      <c r="D51" s="280" t="s">
        <v>191</v>
      </c>
      <c r="E51" s="293">
        <f>E50/1000</f>
        <v>1.8649964405175956</v>
      </c>
      <c r="F51" s="12"/>
      <c r="G51" s="280" t="s">
        <v>192</v>
      </c>
      <c r="H51" s="293">
        <f>H50/1000</f>
        <v>0.41804176148605016</v>
      </c>
      <c r="I51" s="12"/>
      <c r="J51" s="12"/>
      <c r="K51" s="86"/>
      <c r="L51" s="12"/>
      <c r="M51" s="12"/>
      <c r="N51" s="12"/>
      <c r="O51" s="12"/>
      <c r="P51" s="12"/>
      <c r="Q51" s="12"/>
      <c r="R51" s="297" t="s">
        <v>153</v>
      </c>
      <c r="S51" s="298"/>
      <c r="T51" s="253">
        <f>$C$39+$J$39+$S$39+$T$39</f>
        <v>45194.822471249077</v>
      </c>
      <c r="U51" s="255">
        <f>(T51*8.34*1.4)/45000</f>
        <v>11.726549937206761</v>
      </c>
    </row>
    <row r="52" spans="1:21" ht="48" customHeight="1" thickTop="1" thickBot="1">
      <c r="A52" s="301"/>
      <c r="B52" s="12"/>
      <c r="C52" s="12"/>
      <c r="D52" s="12"/>
      <c r="E52" s="12"/>
      <c r="F52" s="12"/>
      <c r="G52" s="12"/>
      <c r="H52" s="12"/>
      <c r="I52" s="12"/>
      <c r="J52" s="12"/>
      <c r="K52" s="86"/>
      <c r="L52" s="12"/>
      <c r="M52" s="12"/>
      <c r="N52" s="12"/>
      <c r="O52" s="12"/>
      <c r="P52" s="12"/>
      <c r="Q52" s="12"/>
      <c r="R52" s="297" t="s">
        <v>154</v>
      </c>
      <c r="S52" s="298"/>
      <c r="T52" s="253">
        <f>$H$39</f>
        <v>873.87474720776208</v>
      </c>
      <c r="U52" s="255">
        <f>(T52*8.34*1.135)/45000</f>
        <v>0.18382246599097679</v>
      </c>
    </row>
    <row r="53" spans="1:21" ht="47.25" customHeight="1" thickTop="1" thickBot="1">
      <c r="A53" s="732" t="s">
        <v>51</v>
      </c>
      <c r="B53" s="733"/>
      <c r="C53" s="733"/>
      <c r="D53" s="733"/>
      <c r="E53" s="734"/>
      <c r="F53" s="12"/>
      <c r="G53" s="12"/>
      <c r="H53" s="12"/>
      <c r="I53" s="12"/>
      <c r="J53" s="12"/>
      <c r="K53" s="86"/>
      <c r="L53" s="12"/>
      <c r="M53" s="12"/>
      <c r="N53" s="12"/>
      <c r="O53" s="12"/>
      <c r="P53" s="12"/>
      <c r="Q53" s="12"/>
      <c r="R53" s="297" t="s">
        <v>155</v>
      </c>
      <c r="S53" s="298"/>
      <c r="T53" s="253">
        <f>$B$39+$I$39+$AC$39</f>
        <v>18126.959832251079</v>
      </c>
      <c r="U53" s="255">
        <f>(T53*8.34*1.029*0.03)/3300</f>
        <v>1.4142093773272928</v>
      </c>
    </row>
    <row r="54" spans="1:21" ht="78.75" customHeight="1" thickBot="1">
      <c r="A54" s="735" t="s">
        <v>199</v>
      </c>
      <c r="B54" s="736"/>
      <c r="C54" s="736"/>
      <c r="D54" s="736"/>
      <c r="E54" s="737"/>
      <c r="F54" s="87"/>
      <c r="G54" s="87"/>
      <c r="H54" s="87"/>
      <c r="I54" s="87"/>
      <c r="J54" s="87"/>
      <c r="K54" s="88"/>
      <c r="L54" s="12"/>
      <c r="M54" s="12"/>
      <c r="N54" s="12"/>
      <c r="O54" s="12"/>
      <c r="P54" s="12"/>
      <c r="Q54" s="12"/>
      <c r="R54" s="738" t="s">
        <v>157</v>
      </c>
      <c r="S54" s="739"/>
      <c r="T54" s="257">
        <f>$D$39+$Y$39+$Z$39</f>
        <v>54905.218386836867</v>
      </c>
      <c r="U54" s="258">
        <f>(T54*1.54*8.34)/45000</f>
        <v>15.670681397181735</v>
      </c>
    </row>
    <row r="55" spans="1:21" ht="71.25" customHeight="1" thickTop="1">
      <c r="A55" s="302"/>
      <c r="B55" s="302"/>
      <c r="C55" s="302"/>
      <c r="D55" s="302"/>
      <c r="E55" s="30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</row>
    <row r="56" spans="1:21" ht="94.5" customHeight="1"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</row>
    <row r="57" spans="1:21" ht="46.5" customHeight="1">
      <c r="A57" s="765"/>
      <c r="B57" s="766"/>
      <c r="C57" s="766"/>
      <c r="D57" s="766"/>
      <c r="E57" s="766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</row>
    <row r="58" spans="1:21" ht="18.75">
      <c r="A58" s="765"/>
      <c r="B58" s="766"/>
      <c r="C58" s="766"/>
      <c r="D58" s="766"/>
      <c r="E58" s="766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</row>
    <row r="59" spans="1:21" ht="15" customHeight="1">
      <c r="A59" s="278"/>
      <c r="B59" s="279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</row>
    <row r="60" spans="1:21">
      <c r="A60" s="279"/>
      <c r="B60" s="279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</row>
    <row r="61" spans="1:21" ht="15" customHeight="1">
      <c r="A61" s="278"/>
      <c r="B61" s="279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</row>
    <row r="62" spans="1:21">
      <c r="A62" s="279"/>
      <c r="B62" s="279"/>
      <c r="C62" s="12"/>
      <c r="D62" s="12"/>
      <c r="E62" s="12"/>
      <c r="F62" s="12"/>
      <c r="G62" s="12"/>
      <c r="H62" s="12"/>
      <c r="I62" s="12"/>
      <c r="J62" s="12"/>
      <c r="K62" s="12"/>
    </row>
    <row r="63" spans="1:21">
      <c r="A63" s="12"/>
      <c r="B63" s="12"/>
      <c r="C63" s="12"/>
      <c r="D63" s="12"/>
      <c r="E63" s="12"/>
      <c r="F63" s="12"/>
      <c r="G63" s="12"/>
    </row>
    <row r="64" spans="1:21">
      <c r="A64" s="12"/>
      <c r="B64" s="12"/>
      <c r="C64" s="12"/>
      <c r="D64" s="12"/>
      <c r="E64" s="12"/>
      <c r="F64" s="12"/>
      <c r="G64" s="12"/>
    </row>
    <row r="65" spans="1:25">
      <c r="A65" s="12"/>
      <c r="B65" s="12"/>
      <c r="C65" s="12"/>
      <c r="D65" s="12"/>
      <c r="E65" s="12"/>
      <c r="F65" s="12"/>
      <c r="G65" s="12"/>
    </row>
    <row r="67" spans="1:25">
      <c r="A67" s="45"/>
      <c r="B67" s="45"/>
      <c r="C67" s="45"/>
      <c r="D67" s="45"/>
      <c r="E67" s="45"/>
      <c r="F67" s="45"/>
      <c r="G67" s="45"/>
      <c r="H67" s="45"/>
    </row>
    <row r="68" spans="1:25">
      <c r="A68" s="12"/>
      <c r="B68" s="12"/>
      <c r="S68" s="12"/>
      <c r="T68" s="12"/>
      <c r="U68" s="12"/>
      <c r="V68" s="12"/>
      <c r="W68" s="12"/>
      <c r="X68" s="12"/>
      <c r="Y68" s="12"/>
    </row>
    <row r="69" spans="1:25">
      <c r="A69" s="12"/>
      <c r="B69" s="12"/>
      <c r="S69" s="12"/>
      <c r="T69" s="12"/>
      <c r="U69" s="12"/>
      <c r="V69" s="12"/>
      <c r="W69" s="12"/>
      <c r="X69" s="12"/>
      <c r="Y69" s="12"/>
    </row>
    <row r="70" spans="1:25" ht="93" customHeight="1">
      <c r="A70" s="12"/>
      <c r="B70" s="12"/>
      <c r="S70" s="12"/>
      <c r="T70" s="12"/>
      <c r="U70" s="12"/>
      <c r="V70" s="12"/>
      <c r="W70" s="12"/>
      <c r="X70" s="12"/>
      <c r="Y70" s="12"/>
    </row>
    <row r="71" spans="1:25" ht="75" customHeight="1">
      <c r="A71" s="12"/>
      <c r="B71" s="12"/>
    </row>
    <row r="72" spans="1:25" ht="51.75" customHeight="1">
      <c r="A72" s="12"/>
      <c r="B72" s="12"/>
    </row>
    <row r="73" spans="1:25">
      <c r="A73" s="12"/>
      <c r="B73" s="12"/>
      <c r="C73" s="12"/>
      <c r="D73" s="12"/>
    </row>
    <row r="74" spans="1:25">
      <c r="A74" s="12"/>
      <c r="B74" s="12"/>
      <c r="C74" s="12"/>
      <c r="D74" s="12"/>
      <c r="E74" s="12"/>
    </row>
    <row r="75" spans="1:25">
      <c r="A75" s="12"/>
      <c r="B75" s="12"/>
      <c r="C75" s="12"/>
      <c r="D75" s="12"/>
      <c r="E75" s="12"/>
    </row>
  </sheetData>
  <sheetProtection password="A25B" sheet="1" objects="1" scenarios="1" selectLockedCells="1" selectUnlockedCells="1"/>
  <customSheetViews>
    <customSheetView guid="{322E6371-A03C-4BCA-B267-212DFC76880A}" scale="75" fitToPage="1" topLeftCell="A4">
      <selection activeCell="A42" sqref="A42:K42"/>
      <pageMargins left="0.33" right="0.19" top="0.75" bottom="0.75" header="0.3" footer="0.3"/>
      <printOptions horizontalCentered="1"/>
      <pageSetup paperSize="17" scale="68" orientation="landscape" r:id="rId1"/>
    </customSheetView>
  </customSheetViews>
  <mergeCells count="32">
    <mergeCell ref="R54:S54"/>
    <mergeCell ref="A54:E54"/>
    <mergeCell ref="A57:E57"/>
    <mergeCell ref="A58:E58"/>
    <mergeCell ref="J46:K46"/>
    <mergeCell ref="A53:E53"/>
    <mergeCell ref="B4:H5"/>
    <mergeCell ref="I4:N5"/>
    <mergeCell ref="J43:K43"/>
    <mergeCell ref="A42:K42"/>
    <mergeCell ref="AD4:AD5"/>
    <mergeCell ref="R43:U43"/>
    <mergeCell ref="A43:B43"/>
    <mergeCell ref="D43:E43"/>
    <mergeCell ref="G43:H43"/>
    <mergeCell ref="AE4:AE5"/>
    <mergeCell ref="AF4:AF5"/>
    <mergeCell ref="AG4:AG5"/>
    <mergeCell ref="O4:T5"/>
    <mergeCell ref="U4:AA5"/>
    <mergeCell ref="AB4:AB5"/>
    <mergeCell ref="AC4:AC5"/>
    <mergeCell ref="AH4:AH5"/>
    <mergeCell ref="AI4:AI5"/>
    <mergeCell ref="AJ4:AJ5"/>
    <mergeCell ref="AK4:AK5"/>
    <mergeCell ref="AL4:AL5"/>
    <mergeCell ref="AM4:AM5"/>
    <mergeCell ref="AN4:AN5"/>
    <mergeCell ref="AO4:AO5"/>
    <mergeCell ref="AP4:AP5"/>
    <mergeCell ref="AQ4:AQ5"/>
  </mergeCells>
  <printOptions horizontalCentered="1"/>
  <pageMargins left="0.33" right="0.19" top="0.75" bottom="0.75" header="0.3" footer="0.3"/>
  <pageSetup paperSize="17" scale="67" orientation="landscape"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BA66"/>
  <sheetViews>
    <sheetView topLeftCell="A33" zoomScale="75" zoomScaleNormal="75" workbookViewId="0">
      <selection activeCell="I49" sqref="I49"/>
    </sheetView>
  </sheetViews>
  <sheetFormatPr defaultRowHeight="15"/>
  <cols>
    <col min="1" max="1" width="26.28515625" customWidth="1"/>
    <col min="2" max="2" width="19.28515625" bestFit="1" customWidth="1"/>
    <col min="3" max="3" width="27.85546875" bestFit="1" customWidth="1"/>
    <col min="4" max="4" width="29.5703125" customWidth="1"/>
    <col min="5" max="5" width="22.42578125" bestFit="1" customWidth="1"/>
    <col min="6" max="6" width="15.140625" bestFit="1" customWidth="1"/>
    <col min="7" max="7" width="35.5703125" customWidth="1"/>
    <col min="8" max="8" width="22.5703125" bestFit="1" customWidth="1"/>
    <col min="9" max="9" width="23.140625" bestFit="1" customWidth="1"/>
    <col min="10" max="10" width="25.42578125" bestFit="1" customWidth="1"/>
    <col min="11" max="11" width="19.28515625" bestFit="1" customWidth="1"/>
    <col min="12" max="12" width="17.140625" bestFit="1" customWidth="1"/>
    <col min="13" max="13" width="16.140625" bestFit="1" customWidth="1"/>
    <col min="14" max="14" width="20.28515625" bestFit="1" customWidth="1"/>
    <col min="15" max="16" width="16.28515625" bestFit="1" customWidth="1"/>
    <col min="17" max="17" width="24" bestFit="1" customWidth="1"/>
    <col min="18" max="18" width="24.42578125" bestFit="1" customWidth="1"/>
    <col min="19" max="19" width="26" bestFit="1" customWidth="1"/>
    <col min="20" max="20" width="25.85546875" bestFit="1" customWidth="1"/>
    <col min="21" max="21" width="14.140625" bestFit="1" customWidth="1"/>
    <col min="22" max="22" width="12.42578125" bestFit="1" customWidth="1"/>
    <col min="23" max="23" width="20.28515625" bestFit="1" customWidth="1"/>
    <col min="24" max="24" width="20" bestFit="1" customWidth="1"/>
    <col min="25" max="25" width="22.5703125" bestFit="1" customWidth="1"/>
    <col min="26" max="26" width="22.28515625" bestFit="1" customWidth="1"/>
    <col min="27" max="27" width="21.28515625" bestFit="1" customWidth="1"/>
    <col min="28" max="28" width="32.85546875" bestFit="1" customWidth="1"/>
    <col min="29" max="29" width="36.7109375" customWidth="1"/>
    <col min="30" max="30" width="33.28515625" bestFit="1" customWidth="1"/>
    <col min="31" max="31" width="26.85546875" customWidth="1"/>
    <col min="32" max="32" width="23" customWidth="1"/>
    <col min="33" max="33" width="22.28515625" customWidth="1"/>
    <col min="34" max="34" width="23" bestFit="1" customWidth="1"/>
    <col min="35" max="35" width="17" bestFit="1" customWidth="1"/>
    <col min="36" max="36" width="17.5703125" bestFit="1" customWidth="1"/>
    <col min="37" max="38" width="15.85546875" bestFit="1" customWidth="1"/>
    <col min="39" max="39" width="21.85546875" bestFit="1" customWidth="1"/>
    <col min="40" max="40" width="18.7109375" bestFit="1" customWidth="1"/>
    <col min="41" max="43" width="15.85546875" bestFit="1" customWidth="1"/>
  </cols>
  <sheetData>
    <row r="1" spans="1:53" ht="15" customHeight="1">
      <c r="A1" s="1" t="s">
        <v>0</v>
      </c>
      <c r="B1" s="2"/>
      <c r="C1" t="s">
        <v>1</v>
      </c>
      <c r="O1" s="3"/>
      <c r="P1" s="4"/>
      <c r="Q1" s="4"/>
      <c r="R1" s="4"/>
    </row>
    <row r="2" spans="1:53" ht="15" customHeight="1">
      <c r="A2" s="1" t="s">
        <v>2</v>
      </c>
      <c r="B2" s="5"/>
      <c r="O2" s="4"/>
      <c r="P2" s="4"/>
      <c r="Q2" s="4"/>
      <c r="R2" s="4"/>
    </row>
    <row r="3" spans="1:53" ht="15.75" thickBot="1">
      <c r="A3" s="6"/>
      <c r="AZ3" t="s">
        <v>168</v>
      </c>
      <c r="BA3" s="259" t="s">
        <v>205</v>
      </c>
    </row>
    <row r="4" spans="1:53" ht="30" customHeight="1" thickTop="1">
      <c r="A4" s="13"/>
      <c r="B4" s="744" t="s">
        <v>3</v>
      </c>
      <c r="C4" s="745"/>
      <c r="D4" s="745"/>
      <c r="E4" s="745"/>
      <c r="F4" s="745"/>
      <c r="G4" s="745"/>
      <c r="H4" s="746"/>
      <c r="I4" s="744" t="s">
        <v>4</v>
      </c>
      <c r="J4" s="745"/>
      <c r="K4" s="745"/>
      <c r="L4" s="745"/>
      <c r="M4" s="745"/>
      <c r="N4" s="746"/>
      <c r="O4" s="750" t="s">
        <v>5</v>
      </c>
      <c r="P4" s="751"/>
      <c r="Q4" s="752"/>
      <c r="R4" s="752"/>
      <c r="S4" s="752"/>
      <c r="T4" s="753"/>
      <c r="U4" s="744" t="s">
        <v>6</v>
      </c>
      <c r="V4" s="757"/>
      <c r="W4" s="757"/>
      <c r="X4" s="757"/>
      <c r="Y4" s="757"/>
      <c r="Z4" s="757"/>
      <c r="AA4" s="758"/>
      <c r="AB4" s="727" t="s">
        <v>7</v>
      </c>
      <c r="AC4" s="763" t="s">
        <v>8</v>
      </c>
      <c r="AD4" s="742" t="s">
        <v>27</v>
      </c>
      <c r="AE4" s="742" t="s">
        <v>31</v>
      </c>
      <c r="AF4" s="742" t="s">
        <v>32</v>
      </c>
      <c r="AG4" s="742" t="s">
        <v>33</v>
      </c>
      <c r="AH4" s="727" t="s">
        <v>172</v>
      </c>
      <c r="AI4" s="727" t="s">
        <v>173</v>
      </c>
      <c r="AJ4" s="727" t="s">
        <v>174</v>
      </c>
      <c r="AK4" s="727" t="s">
        <v>175</v>
      </c>
      <c r="AL4" s="727" t="s">
        <v>176</v>
      </c>
      <c r="AM4" s="727" t="s">
        <v>177</v>
      </c>
      <c r="AN4" s="727" t="s">
        <v>178</v>
      </c>
      <c r="AO4" s="727" t="s">
        <v>181</v>
      </c>
      <c r="AP4" s="727" t="s">
        <v>179</v>
      </c>
      <c r="AQ4" s="727" t="s">
        <v>180</v>
      </c>
    </row>
    <row r="5" spans="1:53" ht="30" customHeight="1" thickBot="1">
      <c r="A5" s="13"/>
      <c r="B5" s="747"/>
      <c r="C5" s="748"/>
      <c r="D5" s="748"/>
      <c r="E5" s="748"/>
      <c r="F5" s="748"/>
      <c r="G5" s="748"/>
      <c r="H5" s="749"/>
      <c r="I5" s="747"/>
      <c r="J5" s="748"/>
      <c r="K5" s="748"/>
      <c r="L5" s="748"/>
      <c r="M5" s="748"/>
      <c r="N5" s="749"/>
      <c r="O5" s="754"/>
      <c r="P5" s="755"/>
      <c r="Q5" s="755"/>
      <c r="R5" s="755"/>
      <c r="S5" s="755"/>
      <c r="T5" s="756"/>
      <c r="U5" s="759"/>
      <c r="V5" s="760"/>
      <c r="W5" s="760"/>
      <c r="X5" s="760"/>
      <c r="Y5" s="760"/>
      <c r="Z5" s="760"/>
      <c r="AA5" s="761"/>
      <c r="AB5" s="762"/>
      <c r="AC5" s="764"/>
      <c r="AD5" s="743"/>
      <c r="AE5" s="743"/>
      <c r="AF5" s="743"/>
      <c r="AG5" s="743"/>
      <c r="AH5" s="728"/>
      <c r="AI5" s="728"/>
      <c r="AJ5" s="728"/>
      <c r="AK5" s="728"/>
      <c r="AL5" s="728"/>
      <c r="AM5" s="728"/>
      <c r="AN5" s="728"/>
      <c r="AO5" s="728"/>
      <c r="AP5" s="728"/>
      <c r="AQ5" s="728"/>
    </row>
    <row r="6" spans="1:53" ht="18">
      <c r="A6" s="7"/>
      <c r="B6" s="14" t="s">
        <v>9</v>
      </c>
      <c r="C6" s="8" t="s">
        <v>10</v>
      </c>
      <c r="D6" s="8" t="s">
        <v>11</v>
      </c>
      <c r="E6" s="8" t="s">
        <v>12</v>
      </c>
      <c r="F6" s="8" t="s">
        <v>13</v>
      </c>
      <c r="G6" s="8" t="s">
        <v>14</v>
      </c>
      <c r="H6" s="15" t="s">
        <v>15</v>
      </c>
      <c r="I6" s="16" t="s">
        <v>9</v>
      </c>
      <c r="J6" s="8" t="s">
        <v>16</v>
      </c>
      <c r="K6" s="8" t="s">
        <v>17</v>
      </c>
      <c r="L6" s="9" t="s">
        <v>18</v>
      </c>
      <c r="M6" s="8" t="s">
        <v>19</v>
      </c>
      <c r="N6" s="15" t="s">
        <v>13</v>
      </c>
      <c r="O6" s="14" t="s">
        <v>35</v>
      </c>
      <c r="P6" s="9" t="s">
        <v>36</v>
      </c>
      <c r="Q6" s="9" t="s">
        <v>37</v>
      </c>
      <c r="R6" s="9" t="s">
        <v>38</v>
      </c>
      <c r="S6" s="8" t="s">
        <v>39</v>
      </c>
      <c r="T6" s="39" t="s">
        <v>40</v>
      </c>
      <c r="U6" s="17" t="s">
        <v>41</v>
      </c>
      <c r="V6" s="8" t="s">
        <v>42</v>
      </c>
      <c r="W6" s="8" t="s">
        <v>43</v>
      </c>
      <c r="X6" s="8" t="s">
        <v>44</v>
      </c>
      <c r="Y6" s="8" t="s">
        <v>45</v>
      </c>
      <c r="Z6" s="8" t="s">
        <v>46</v>
      </c>
      <c r="AA6" s="18" t="s">
        <v>20</v>
      </c>
      <c r="AB6" s="19" t="s">
        <v>21</v>
      </c>
      <c r="AC6" s="19" t="s">
        <v>22</v>
      </c>
      <c r="AD6" s="42" t="s">
        <v>30</v>
      </c>
      <c r="AE6" s="42"/>
      <c r="AF6" s="42"/>
      <c r="AG6" s="42"/>
      <c r="AH6" s="42"/>
      <c r="AI6" s="42"/>
      <c r="AJ6" s="42"/>
      <c r="AK6" s="42"/>
      <c r="AL6" s="42"/>
      <c r="AM6" s="42"/>
      <c r="AN6" s="42"/>
      <c r="AO6" s="42"/>
      <c r="AP6" s="42"/>
      <c r="AQ6" s="42"/>
    </row>
    <row r="7" spans="1:53" ht="15.75" thickBot="1">
      <c r="A7" s="7"/>
      <c r="B7" s="20" t="s">
        <v>23</v>
      </c>
      <c r="C7" s="10" t="s">
        <v>23</v>
      </c>
      <c r="D7" s="10" t="s">
        <v>23</v>
      </c>
      <c r="E7" s="10" t="s">
        <v>23</v>
      </c>
      <c r="F7" s="10" t="s">
        <v>23</v>
      </c>
      <c r="G7" s="10" t="s">
        <v>24</v>
      </c>
      <c r="H7" s="21" t="s">
        <v>23</v>
      </c>
      <c r="I7" s="20" t="s">
        <v>23</v>
      </c>
      <c r="J7" s="10" t="s">
        <v>23</v>
      </c>
      <c r="K7" s="10" t="s">
        <v>23</v>
      </c>
      <c r="L7" s="10" t="s">
        <v>23</v>
      </c>
      <c r="M7" s="10" t="s">
        <v>23</v>
      </c>
      <c r="N7" s="21" t="s">
        <v>23</v>
      </c>
      <c r="O7" s="20" t="s">
        <v>23</v>
      </c>
      <c r="P7" s="10" t="s">
        <v>23</v>
      </c>
      <c r="Q7" s="10" t="s">
        <v>23</v>
      </c>
      <c r="R7" s="10" t="s">
        <v>23</v>
      </c>
      <c r="S7" s="10" t="s">
        <v>23</v>
      </c>
      <c r="T7" s="40" t="s">
        <v>23</v>
      </c>
      <c r="U7" s="20" t="s">
        <v>25</v>
      </c>
      <c r="V7" s="10" t="s">
        <v>25</v>
      </c>
      <c r="W7" s="10" t="s">
        <v>23</v>
      </c>
      <c r="X7" s="10" t="s">
        <v>23</v>
      </c>
      <c r="Y7" s="10" t="s">
        <v>23</v>
      </c>
      <c r="Z7" s="10" t="s">
        <v>23</v>
      </c>
      <c r="AA7" s="21" t="s">
        <v>23</v>
      </c>
      <c r="AB7" s="22" t="s">
        <v>25</v>
      </c>
      <c r="AC7" s="305" t="s">
        <v>23</v>
      </c>
      <c r="AD7" s="22" t="s">
        <v>28</v>
      </c>
      <c r="AE7" s="22" t="s">
        <v>28</v>
      </c>
      <c r="AF7" s="22" t="s">
        <v>28</v>
      </c>
      <c r="AG7" s="22" t="s">
        <v>34</v>
      </c>
      <c r="AH7" s="22" t="s">
        <v>169</v>
      </c>
      <c r="AI7" s="22" t="s">
        <v>169</v>
      </c>
      <c r="AJ7" s="22" t="s">
        <v>169</v>
      </c>
      <c r="AK7" s="22" t="s">
        <v>169</v>
      </c>
      <c r="AL7" s="22" t="s">
        <v>169</v>
      </c>
      <c r="AM7" s="22" t="s">
        <v>169</v>
      </c>
      <c r="AN7" s="22" t="s">
        <v>169</v>
      </c>
      <c r="AO7" s="22" t="s">
        <v>169</v>
      </c>
      <c r="AP7" s="22" t="s">
        <v>169</v>
      </c>
      <c r="AQ7" s="22" t="s">
        <v>169</v>
      </c>
    </row>
    <row r="8" spans="1:53">
      <c r="A8" s="11">
        <v>41183</v>
      </c>
      <c r="B8" s="49"/>
      <c r="C8" s="50">
        <v>0</v>
      </c>
      <c r="D8" s="50">
        <v>0</v>
      </c>
      <c r="E8" s="50">
        <v>0.5610405032833411</v>
      </c>
      <c r="F8" s="50">
        <v>0</v>
      </c>
      <c r="G8" s="50">
        <v>0</v>
      </c>
      <c r="H8" s="51">
        <v>0</v>
      </c>
      <c r="I8" s="49">
        <v>516.1873570760099</v>
      </c>
      <c r="J8" s="50">
        <v>1378.8689152399706</v>
      </c>
      <c r="K8" s="50">
        <v>25.315907589594563</v>
      </c>
      <c r="L8" s="50">
        <v>0</v>
      </c>
      <c r="M8" s="50">
        <v>0</v>
      </c>
      <c r="N8" s="51">
        <v>0</v>
      </c>
      <c r="O8" s="49">
        <v>0</v>
      </c>
      <c r="P8" s="50">
        <v>0</v>
      </c>
      <c r="Q8" s="50">
        <v>0</v>
      </c>
      <c r="R8" s="50">
        <v>0</v>
      </c>
      <c r="S8" s="50">
        <v>0</v>
      </c>
      <c r="T8" s="52">
        <v>0</v>
      </c>
      <c r="U8" s="53">
        <v>477.52502488030183</v>
      </c>
      <c r="V8" s="54">
        <v>0</v>
      </c>
      <c r="W8" s="54">
        <v>42.004013927777592</v>
      </c>
      <c r="X8" s="54">
        <v>0</v>
      </c>
      <c r="Y8" s="54">
        <v>463.75706710815416</v>
      </c>
      <c r="Z8" s="54">
        <v>0</v>
      </c>
      <c r="AA8" s="55">
        <v>0</v>
      </c>
      <c r="AB8" s="56">
        <v>0</v>
      </c>
      <c r="AC8" s="57">
        <v>0</v>
      </c>
      <c r="AD8" s="57">
        <v>17.191780759228596</v>
      </c>
      <c r="AE8" s="58">
        <v>16.99792164069693</v>
      </c>
      <c r="AF8" s="58">
        <v>0</v>
      </c>
      <c r="AG8" s="58">
        <v>1</v>
      </c>
      <c r="AH8" s="57">
        <v>214.65838731129966</v>
      </c>
      <c r="AI8" s="57">
        <v>873.65650049845385</v>
      </c>
      <c r="AJ8" s="57">
        <v>1052.0781065622966</v>
      </c>
      <c r="AK8" s="57">
        <v>796.99615163803105</v>
      </c>
      <c r="AL8" s="57">
        <v>1059.1219347953797</v>
      </c>
      <c r="AM8" s="57">
        <v>2378.4076896667484</v>
      </c>
      <c r="AN8" s="57">
        <v>483.68624439239511</v>
      </c>
      <c r="AO8" s="57">
        <v>1920.0589748382565</v>
      </c>
      <c r="AP8" s="57">
        <v>211.79831155141196</v>
      </c>
      <c r="AQ8" s="57">
        <v>729.27341238657641</v>
      </c>
    </row>
    <row r="9" spans="1:53">
      <c r="A9" s="11">
        <v>41184</v>
      </c>
      <c r="B9" s="59"/>
      <c r="C9" s="60">
        <v>0</v>
      </c>
      <c r="D9" s="60">
        <v>0</v>
      </c>
      <c r="E9" s="60">
        <v>0.55776588618755296</v>
      </c>
      <c r="F9" s="60">
        <v>0</v>
      </c>
      <c r="G9" s="60">
        <v>0</v>
      </c>
      <c r="H9" s="61">
        <v>0</v>
      </c>
      <c r="I9" s="59">
        <v>514.71798048019423</v>
      </c>
      <c r="J9" s="60">
        <v>1378.3277272542316</v>
      </c>
      <c r="K9" s="60">
        <v>25.271291981140777</v>
      </c>
      <c r="L9" s="50">
        <v>0</v>
      </c>
      <c r="M9" s="60">
        <v>0</v>
      </c>
      <c r="N9" s="61">
        <v>0</v>
      </c>
      <c r="O9" s="59">
        <v>0</v>
      </c>
      <c r="P9" s="60">
        <v>0</v>
      </c>
      <c r="Q9" s="62">
        <v>0</v>
      </c>
      <c r="R9" s="63">
        <v>0</v>
      </c>
      <c r="S9" s="60">
        <v>0</v>
      </c>
      <c r="T9" s="64">
        <v>0</v>
      </c>
      <c r="U9" s="65">
        <v>478.73308457702461</v>
      </c>
      <c r="V9" s="62">
        <v>-4.495833354213976E-2</v>
      </c>
      <c r="W9" s="62">
        <v>39.724145278600062</v>
      </c>
      <c r="X9" s="62">
        <v>-3.7305367659927727E-3</v>
      </c>
      <c r="Y9" s="66">
        <v>461.28954140040707</v>
      </c>
      <c r="Z9" s="66">
        <v>-4.3320191835297041E-2</v>
      </c>
      <c r="AA9" s="67">
        <v>0</v>
      </c>
      <c r="AB9" s="68">
        <v>0</v>
      </c>
      <c r="AC9" s="69">
        <v>0</v>
      </c>
      <c r="AD9" s="69">
        <v>17.170034573144388</v>
      </c>
      <c r="AE9" s="68">
        <v>16.917282590474635</v>
      </c>
      <c r="AF9" s="68">
        <v>-1.5887200150394441E-3</v>
      </c>
      <c r="AG9" s="68">
        <v>1.0000939198845289</v>
      </c>
      <c r="AH9" s="69">
        <v>219.35232965946199</v>
      </c>
      <c r="AI9" s="69">
        <v>869.0256912867228</v>
      </c>
      <c r="AJ9" s="69">
        <v>1109.1803155899051</v>
      </c>
      <c r="AK9" s="69">
        <v>801.10832986831667</v>
      </c>
      <c r="AL9" s="69">
        <v>1072.1256549835202</v>
      </c>
      <c r="AM9" s="69">
        <v>2059.7480547587079</v>
      </c>
      <c r="AN9" s="69">
        <v>520.03925698598221</v>
      </c>
      <c r="AO9" s="69">
        <v>1947.2243089040119</v>
      </c>
      <c r="AP9" s="69">
        <v>398.06515763600675</v>
      </c>
      <c r="AQ9" s="69">
        <v>851.53218673070273</v>
      </c>
    </row>
    <row r="10" spans="1:53">
      <c r="A10" s="11">
        <v>41185</v>
      </c>
      <c r="B10" s="59"/>
      <c r="C10" s="60">
        <v>0</v>
      </c>
      <c r="D10" s="60">
        <v>0</v>
      </c>
      <c r="E10" s="60">
        <v>0.56104191144307425</v>
      </c>
      <c r="F10" s="60">
        <v>0</v>
      </c>
      <c r="G10" s="60">
        <v>0</v>
      </c>
      <c r="H10" s="61">
        <v>0</v>
      </c>
      <c r="I10" s="59">
        <v>526.40266669591244</v>
      </c>
      <c r="J10" s="60">
        <v>1378.6247088114415</v>
      </c>
      <c r="K10" s="60">
        <v>25.266356786092093</v>
      </c>
      <c r="L10" s="50">
        <v>0</v>
      </c>
      <c r="M10" s="60">
        <v>0</v>
      </c>
      <c r="N10" s="61">
        <v>0</v>
      </c>
      <c r="O10" s="59">
        <v>0</v>
      </c>
      <c r="P10" s="60">
        <v>0</v>
      </c>
      <c r="Q10" s="60">
        <v>0</v>
      </c>
      <c r="R10" s="63">
        <v>0</v>
      </c>
      <c r="S10" s="60">
        <v>0</v>
      </c>
      <c r="T10" s="64">
        <v>0</v>
      </c>
      <c r="U10" s="65">
        <v>491.51393121083026</v>
      </c>
      <c r="V10" s="62">
        <v>0</v>
      </c>
      <c r="W10" s="62">
        <v>40.717669498920415</v>
      </c>
      <c r="X10" s="62">
        <v>0</v>
      </c>
      <c r="Y10" s="66">
        <v>465.34499985376885</v>
      </c>
      <c r="Z10" s="66">
        <v>0</v>
      </c>
      <c r="AA10" s="67">
        <v>0</v>
      </c>
      <c r="AB10" s="68">
        <v>0</v>
      </c>
      <c r="AC10" s="69">
        <v>0</v>
      </c>
      <c r="AD10" s="69">
        <v>17.265153655740942</v>
      </c>
      <c r="AE10" s="68">
        <v>16.999653441905032</v>
      </c>
      <c r="AF10" s="68">
        <v>0</v>
      </c>
      <c r="AG10" s="68">
        <v>1</v>
      </c>
      <c r="AH10" s="69">
        <v>207.54441954294842</v>
      </c>
      <c r="AI10" s="69">
        <v>866.24247159957883</v>
      </c>
      <c r="AJ10" s="69">
        <v>1119.931533432007</v>
      </c>
      <c r="AK10" s="69">
        <v>813.71539907455451</v>
      </c>
      <c r="AL10" s="69">
        <v>1094.4015717188518</v>
      </c>
      <c r="AM10" s="69">
        <v>1910.7985312779747</v>
      </c>
      <c r="AN10" s="69">
        <v>489.26669654846182</v>
      </c>
      <c r="AO10" s="69">
        <v>1928.0121242523194</v>
      </c>
      <c r="AP10" s="69">
        <v>463.29171466827393</v>
      </c>
      <c r="AQ10" s="69">
        <v>835.08427158991503</v>
      </c>
    </row>
    <row r="11" spans="1:53">
      <c r="A11" s="11">
        <v>41186</v>
      </c>
      <c r="B11" s="59"/>
      <c r="C11" s="60">
        <v>85.742736649513375</v>
      </c>
      <c r="D11" s="60">
        <v>922.9491649170709</v>
      </c>
      <c r="E11" s="60">
        <v>8.5802320023377714</v>
      </c>
      <c r="F11" s="60">
        <v>0</v>
      </c>
      <c r="G11" s="60">
        <v>2599.0015068054181</v>
      </c>
      <c r="H11" s="61">
        <v>15.0836443185806</v>
      </c>
      <c r="I11" s="59">
        <v>507.98273731867448</v>
      </c>
      <c r="J11" s="60">
        <v>1285.5842866897583</v>
      </c>
      <c r="K11" s="60">
        <v>23.31446076631547</v>
      </c>
      <c r="L11" s="50">
        <v>0</v>
      </c>
      <c r="M11" s="60">
        <v>0</v>
      </c>
      <c r="N11" s="61">
        <v>0</v>
      </c>
      <c r="O11" s="59">
        <v>0</v>
      </c>
      <c r="P11" s="60">
        <v>0</v>
      </c>
      <c r="Q11" s="60">
        <v>0</v>
      </c>
      <c r="R11" s="63">
        <v>0</v>
      </c>
      <c r="S11" s="60">
        <v>0</v>
      </c>
      <c r="T11" s="64">
        <v>0</v>
      </c>
      <c r="U11" s="65">
        <v>439.25037307905677</v>
      </c>
      <c r="V11" s="62">
        <v>34.549261419963003</v>
      </c>
      <c r="W11" s="62">
        <v>36.955336279561514</v>
      </c>
      <c r="X11" s="62">
        <v>2.90672393750117</v>
      </c>
      <c r="Y11" s="66">
        <v>411.56815647518022</v>
      </c>
      <c r="Z11" s="66">
        <v>32.371915202981562</v>
      </c>
      <c r="AA11" s="67">
        <v>0</v>
      </c>
      <c r="AB11" s="68">
        <v>0</v>
      </c>
      <c r="AC11" s="69">
        <v>0</v>
      </c>
      <c r="AD11" s="69">
        <v>16.380921378069456</v>
      </c>
      <c r="AE11" s="68">
        <v>15.054153310350708</v>
      </c>
      <c r="AF11" s="68">
        <v>1.1840852280435008</v>
      </c>
      <c r="AG11" s="68">
        <v>0.92708043885155322</v>
      </c>
      <c r="AH11" s="69">
        <v>257.80265768369037</v>
      </c>
      <c r="AI11" s="69">
        <v>930.92985324859626</v>
      </c>
      <c r="AJ11" s="69">
        <v>2000.8029687245685</v>
      </c>
      <c r="AK11" s="69">
        <v>803.99268401463837</v>
      </c>
      <c r="AL11" s="69">
        <v>1943.653566169739</v>
      </c>
      <c r="AM11" s="69">
        <v>2145.1853366851806</v>
      </c>
      <c r="AN11" s="69">
        <v>458.53021833101906</v>
      </c>
      <c r="AO11" s="69">
        <v>1874.5541669845582</v>
      </c>
      <c r="AP11" s="69">
        <v>536.34701910813646</v>
      </c>
      <c r="AQ11" s="69">
        <v>610.35722223917651</v>
      </c>
    </row>
    <row r="12" spans="1:53">
      <c r="A12" s="11">
        <v>41187</v>
      </c>
      <c r="B12" s="59"/>
      <c r="C12" s="60">
        <v>140.33283132712032</v>
      </c>
      <c r="D12" s="60">
        <v>1560.6777279535929</v>
      </c>
      <c r="E12" s="60">
        <v>13.775120910008747</v>
      </c>
      <c r="F12" s="60">
        <v>0</v>
      </c>
      <c r="G12" s="60">
        <v>5040.91211446127</v>
      </c>
      <c r="H12" s="61">
        <v>32.903538458546095</v>
      </c>
      <c r="I12" s="59">
        <v>348.10657126108845</v>
      </c>
      <c r="J12" s="60">
        <v>760.43471606572268</v>
      </c>
      <c r="K12" s="60">
        <v>14.286557951072856</v>
      </c>
      <c r="L12" s="50">
        <v>0</v>
      </c>
      <c r="M12" s="60">
        <v>0</v>
      </c>
      <c r="N12" s="61">
        <v>0</v>
      </c>
      <c r="O12" s="59">
        <v>0</v>
      </c>
      <c r="P12" s="60">
        <v>0</v>
      </c>
      <c r="Q12" s="60">
        <v>0</v>
      </c>
      <c r="R12" s="63">
        <v>0</v>
      </c>
      <c r="S12" s="60">
        <v>0</v>
      </c>
      <c r="T12" s="64">
        <v>0</v>
      </c>
      <c r="U12" s="65">
        <v>277.32636100596261</v>
      </c>
      <c r="V12" s="62">
        <v>124.56591253665444</v>
      </c>
      <c r="W12" s="62">
        <v>22.471819988962672</v>
      </c>
      <c r="X12" s="62">
        <v>10.093605069243246</v>
      </c>
      <c r="Y12" s="66">
        <v>215.45969830777182</v>
      </c>
      <c r="Z12" s="66">
        <v>96.777435211082619</v>
      </c>
      <c r="AA12" s="67">
        <v>0</v>
      </c>
      <c r="AB12" s="68">
        <v>0</v>
      </c>
      <c r="AC12" s="69">
        <v>0</v>
      </c>
      <c r="AD12" s="69">
        <v>13.824054361051964</v>
      </c>
      <c r="AE12" s="68">
        <v>9.3973956801661771</v>
      </c>
      <c r="AF12" s="68">
        <v>4.2210021583297879</v>
      </c>
      <c r="AG12" s="68">
        <v>0.69005148708477138</v>
      </c>
      <c r="AH12" s="69">
        <v>285.50416550636299</v>
      </c>
      <c r="AI12" s="69">
        <v>976.66040592193599</v>
      </c>
      <c r="AJ12" s="69">
        <v>2916.4200255076084</v>
      </c>
      <c r="AK12" s="69">
        <v>773.15098365147912</v>
      </c>
      <c r="AL12" s="69">
        <v>3104.5630480448403</v>
      </c>
      <c r="AM12" s="69">
        <v>2763.9597808837889</v>
      </c>
      <c r="AN12" s="69">
        <v>482.43688135147102</v>
      </c>
      <c r="AO12" s="69">
        <v>1670.7478865941362</v>
      </c>
      <c r="AP12" s="69">
        <v>417.34479722976681</v>
      </c>
      <c r="AQ12" s="69">
        <v>612.06342525482182</v>
      </c>
    </row>
    <row r="13" spans="1:53">
      <c r="A13" s="11">
        <v>41188</v>
      </c>
      <c r="B13" s="59"/>
      <c r="C13" s="60">
        <v>109.92395379543271</v>
      </c>
      <c r="D13" s="60">
        <v>1195.0444536844857</v>
      </c>
      <c r="E13" s="60">
        <v>11.272158414125453</v>
      </c>
      <c r="F13" s="60">
        <v>0</v>
      </c>
      <c r="G13" s="60">
        <v>3487.8015396118253</v>
      </c>
      <c r="H13" s="61">
        <v>26.006412249803549</v>
      </c>
      <c r="I13" s="59">
        <v>269.88765438397712</v>
      </c>
      <c r="J13" s="60">
        <v>552.91472088495857</v>
      </c>
      <c r="K13" s="60">
        <v>10.509465662141654</v>
      </c>
      <c r="L13" s="50">
        <v>0</v>
      </c>
      <c r="M13" s="60">
        <v>0</v>
      </c>
      <c r="N13" s="61">
        <v>0</v>
      </c>
      <c r="O13" s="59">
        <v>0</v>
      </c>
      <c r="P13" s="60">
        <v>0</v>
      </c>
      <c r="Q13" s="60">
        <v>0</v>
      </c>
      <c r="R13" s="63">
        <v>0</v>
      </c>
      <c r="S13" s="60">
        <v>0</v>
      </c>
      <c r="T13" s="64">
        <v>0</v>
      </c>
      <c r="U13" s="65">
        <v>208.44933737254735</v>
      </c>
      <c r="V13" s="62">
        <v>99.454435384244491</v>
      </c>
      <c r="W13" s="62">
        <v>19.361887421866648</v>
      </c>
      <c r="X13" s="62">
        <v>9.2378589722907716</v>
      </c>
      <c r="Y13" s="66">
        <v>132.88737732402359</v>
      </c>
      <c r="Z13" s="66">
        <v>63.402643769662518</v>
      </c>
      <c r="AA13" s="67">
        <v>0</v>
      </c>
      <c r="AB13" s="68">
        <v>0</v>
      </c>
      <c r="AC13" s="69">
        <v>0</v>
      </c>
      <c r="AD13" s="69">
        <v>10.477453669574537</v>
      </c>
      <c r="AE13" s="68">
        <v>6.9991602893980955</v>
      </c>
      <c r="AF13" s="68">
        <v>3.3394087192602835</v>
      </c>
      <c r="AG13" s="68">
        <v>0.67699507383820878</v>
      </c>
      <c r="AH13" s="69">
        <v>308.13384655316668</v>
      </c>
      <c r="AI13" s="69">
        <v>998.94034131367994</v>
      </c>
      <c r="AJ13" s="69">
        <v>2999.850201161702</v>
      </c>
      <c r="AK13" s="69">
        <v>777.335777759552</v>
      </c>
      <c r="AL13" s="69">
        <v>2983.8099544525153</v>
      </c>
      <c r="AM13" s="69">
        <v>2758.8089846293128</v>
      </c>
      <c r="AN13" s="69">
        <v>504.87966882387786</v>
      </c>
      <c r="AO13" s="69">
        <v>1486.6559019088747</v>
      </c>
      <c r="AP13" s="69">
        <v>437.76631180445349</v>
      </c>
      <c r="AQ13" s="69">
        <v>604.40711867014568</v>
      </c>
    </row>
    <row r="14" spans="1:53">
      <c r="A14" s="11">
        <v>41189</v>
      </c>
      <c r="B14" s="59"/>
      <c r="C14" s="60">
        <v>109.47310636043558</v>
      </c>
      <c r="D14" s="60">
        <v>1151.2528034845986</v>
      </c>
      <c r="E14" s="60">
        <v>11.153236232697951</v>
      </c>
      <c r="F14" s="60">
        <v>0</v>
      </c>
      <c r="G14" s="60">
        <v>3178.9050431569317</v>
      </c>
      <c r="H14" s="61">
        <v>25.729800941546745</v>
      </c>
      <c r="I14" s="59">
        <v>285.80043295224539</v>
      </c>
      <c r="J14" s="60">
        <v>584.58074534734112</v>
      </c>
      <c r="K14" s="60">
        <v>10.901599643131096</v>
      </c>
      <c r="L14" s="50">
        <v>0</v>
      </c>
      <c r="M14" s="60">
        <v>0</v>
      </c>
      <c r="N14" s="61">
        <v>0</v>
      </c>
      <c r="O14" s="59">
        <v>0</v>
      </c>
      <c r="P14" s="60">
        <v>0</v>
      </c>
      <c r="Q14" s="60">
        <v>0</v>
      </c>
      <c r="R14" s="63">
        <v>0</v>
      </c>
      <c r="S14" s="60">
        <v>0</v>
      </c>
      <c r="T14" s="64">
        <v>0</v>
      </c>
      <c r="U14" s="65">
        <v>215.3762703146667</v>
      </c>
      <c r="V14" s="62">
        <v>96.966598575038986</v>
      </c>
      <c r="W14" s="62">
        <v>20.324670950806709</v>
      </c>
      <c r="X14" s="62">
        <v>9.150563366972845</v>
      </c>
      <c r="Y14" s="66">
        <v>136.14787781526704</v>
      </c>
      <c r="Z14" s="66">
        <v>61.296430640518146</v>
      </c>
      <c r="AA14" s="67">
        <v>0</v>
      </c>
      <c r="AB14" s="68">
        <v>0</v>
      </c>
      <c r="AC14" s="69">
        <v>0</v>
      </c>
      <c r="AD14" s="69">
        <v>10.906980939043898</v>
      </c>
      <c r="AE14" s="68">
        <v>7.4188197453603006</v>
      </c>
      <c r="AF14" s="68">
        <v>3.3400973797991198</v>
      </c>
      <c r="AG14" s="68">
        <v>0.68955078462418884</v>
      </c>
      <c r="AH14" s="69">
        <v>291.54028657277422</v>
      </c>
      <c r="AI14" s="69">
        <v>982.94560394287123</v>
      </c>
      <c r="AJ14" s="69">
        <v>2994.5676900227859</v>
      </c>
      <c r="AK14" s="69">
        <v>775.17489201227806</v>
      </c>
      <c r="AL14" s="69">
        <v>2968.882480367025</v>
      </c>
      <c r="AM14" s="69">
        <v>2643.37841796875</v>
      </c>
      <c r="AN14" s="69">
        <v>499.33610486984264</v>
      </c>
      <c r="AO14" s="69">
        <v>1460.4067668279013</v>
      </c>
      <c r="AP14" s="69">
        <v>413.64247412681578</v>
      </c>
      <c r="AQ14" s="69">
        <v>538.5390176137289</v>
      </c>
    </row>
    <row r="15" spans="1:53">
      <c r="A15" s="11">
        <v>41190</v>
      </c>
      <c r="B15" s="59"/>
      <c r="C15" s="60">
        <v>127.60999553998343</v>
      </c>
      <c r="D15" s="60">
        <v>1308.8468930562342</v>
      </c>
      <c r="E15" s="60">
        <v>12.636583971480528</v>
      </c>
      <c r="F15" s="60">
        <v>0</v>
      </c>
      <c r="G15" s="60">
        <v>3651.0302068074457</v>
      </c>
      <c r="H15" s="61">
        <v>30.611458430687666</v>
      </c>
      <c r="I15" s="59">
        <v>331.68427987098727</v>
      </c>
      <c r="J15" s="60">
        <v>679.16356732050406</v>
      </c>
      <c r="K15" s="60">
        <v>12.725135221083976</v>
      </c>
      <c r="L15" s="50">
        <v>0</v>
      </c>
      <c r="M15" s="60">
        <v>0</v>
      </c>
      <c r="N15" s="61">
        <v>0</v>
      </c>
      <c r="O15" s="59">
        <v>0</v>
      </c>
      <c r="P15" s="60">
        <v>0</v>
      </c>
      <c r="Q15" s="60">
        <v>0</v>
      </c>
      <c r="R15" s="63">
        <v>0</v>
      </c>
      <c r="S15" s="60">
        <v>0</v>
      </c>
      <c r="T15" s="64">
        <v>0</v>
      </c>
      <c r="U15" s="65">
        <v>249.37714395048079</v>
      </c>
      <c r="V15" s="62">
        <v>113.11576387032541</v>
      </c>
      <c r="W15" s="62">
        <v>22.124533565812794</v>
      </c>
      <c r="X15" s="62">
        <v>10.035536837604173</v>
      </c>
      <c r="Y15" s="66">
        <v>152.26306376398765</v>
      </c>
      <c r="Z15" s="66">
        <v>69.065482481905377</v>
      </c>
      <c r="AA15" s="67">
        <v>0</v>
      </c>
      <c r="AB15" s="68">
        <v>0</v>
      </c>
      <c r="AC15" s="69">
        <v>0</v>
      </c>
      <c r="AD15" s="69">
        <v>12.704920974042663</v>
      </c>
      <c r="AE15" s="68">
        <v>8.6372499849245337</v>
      </c>
      <c r="AF15" s="68">
        <v>3.9177974144162206</v>
      </c>
      <c r="AG15" s="68">
        <v>0.68795040832566368</v>
      </c>
      <c r="AH15" s="69">
        <v>251.00491150220233</v>
      </c>
      <c r="AI15" s="69">
        <v>937.342514737447</v>
      </c>
      <c r="AJ15" s="69">
        <v>2957.6485632578538</v>
      </c>
      <c r="AK15" s="69">
        <v>774.67227153778072</v>
      </c>
      <c r="AL15" s="69">
        <v>3086.3116203308105</v>
      </c>
      <c r="AM15" s="69">
        <v>2658.0554087320961</v>
      </c>
      <c r="AN15" s="69">
        <v>461.98912995656326</v>
      </c>
      <c r="AO15" s="69">
        <v>1560.1732444763184</v>
      </c>
      <c r="AP15" s="69">
        <v>422.72983981768289</v>
      </c>
      <c r="AQ15" s="69">
        <v>723.67468490600561</v>
      </c>
    </row>
    <row r="16" spans="1:53">
      <c r="A16" s="11">
        <v>41191</v>
      </c>
      <c r="B16" s="59"/>
      <c r="C16" s="60">
        <v>141.32395367622414</v>
      </c>
      <c r="D16" s="60">
        <v>1449.4638558705628</v>
      </c>
      <c r="E16" s="60">
        <v>13.76565909882388</v>
      </c>
      <c r="F16" s="60">
        <v>0</v>
      </c>
      <c r="G16" s="60">
        <v>3995.1526123046888</v>
      </c>
      <c r="H16" s="61">
        <v>33.474364405870531</v>
      </c>
      <c r="I16" s="59">
        <v>358.52340841293369</v>
      </c>
      <c r="J16" s="60">
        <v>758.12220681508313</v>
      </c>
      <c r="K16" s="60">
        <v>15.0270002971093</v>
      </c>
      <c r="L16" s="50">
        <v>0</v>
      </c>
      <c r="M16" s="60">
        <v>0</v>
      </c>
      <c r="N16" s="61">
        <v>0</v>
      </c>
      <c r="O16" s="59">
        <v>0</v>
      </c>
      <c r="P16" s="60">
        <v>0</v>
      </c>
      <c r="Q16" s="60">
        <v>0</v>
      </c>
      <c r="R16" s="63">
        <v>0</v>
      </c>
      <c r="S16" s="60">
        <v>0</v>
      </c>
      <c r="T16" s="64">
        <v>0</v>
      </c>
      <c r="U16" s="65">
        <v>288.71848313577374</v>
      </c>
      <c r="V16" s="62">
        <v>125.57539662751398</v>
      </c>
      <c r="W16" s="62">
        <v>26.200500341368102</v>
      </c>
      <c r="X16" s="62">
        <v>11.395661914237001</v>
      </c>
      <c r="Y16" s="66">
        <v>174.06868345224751</v>
      </c>
      <c r="Z16" s="66">
        <v>75.709541445137731</v>
      </c>
      <c r="AA16" s="67">
        <v>0</v>
      </c>
      <c r="AB16" s="68">
        <v>0</v>
      </c>
      <c r="AC16" s="69">
        <v>0</v>
      </c>
      <c r="AD16" s="69">
        <v>14.521483635240125</v>
      </c>
      <c r="AE16" s="68">
        <v>10.000900434729658</v>
      </c>
      <c r="AF16" s="68">
        <v>4.3497978552792045</v>
      </c>
      <c r="AG16" s="68">
        <v>0.6968929478290552</v>
      </c>
      <c r="AH16" s="69">
        <v>260.48852074940999</v>
      </c>
      <c r="AI16" s="69">
        <v>950.64677778879809</v>
      </c>
      <c r="AJ16" s="69">
        <v>3052.6102728525802</v>
      </c>
      <c r="AK16" s="69">
        <v>781.61893933614101</v>
      </c>
      <c r="AL16" s="69">
        <v>3148.5645908355718</v>
      </c>
      <c r="AM16" s="69">
        <v>2691.5445611317959</v>
      </c>
      <c r="AN16" s="69">
        <v>451.21764947573348</v>
      </c>
      <c r="AO16" s="69">
        <v>1684.1616990407306</v>
      </c>
      <c r="AP16" s="69">
        <v>444.00138470331825</v>
      </c>
      <c r="AQ16" s="69">
        <v>605.07621641159051</v>
      </c>
    </row>
    <row r="17" spans="1:43">
      <c r="A17" s="11">
        <v>41192</v>
      </c>
      <c r="B17" s="49"/>
      <c r="C17" s="50">
        <v>141.28714016278582</v>
      </c>
      <c r="D17" s="50">
        <v>1449.1932811101283</v>
      </c>
      <c r="E17" s="50">
        <v>13.764435626069726</v>
      </c>
      <c r="F17" s="50">
        <v>0</v>
      </c>
      <c r="G17" s="50">
        <v>3885.2437474568715</v>
      </c>
      <c r="H17" s="51">
        <v>34.433328819275012</v>
      </c>
      <c r="I17" s="49">
        <v>332.78236039479623</v>
      </c>
      <c r="J17" s="50">
        <v>735.0162983576455</v>
      </c>
      <c r="K17" s="50">
        <v>15.015571276346842</v>
      </c>
      <c r="L17" s="50">
        <v>0</v>
      </c>
      <c r="M17" s="50">
        <v>0</v>
      </c>
      <c r="N17" s="51">
        <v>0</v>
      </c>
      <c r="O17" s="49">
        <v>0</v>
      </c>
      <c r="P17" s="50">
        <v>0</v>
      </c>
      <c r="Q17" s="50">
        <v>0</v>
      </c>
      <c r="R17" s="70">
        <v>0</v>
      </c>
      <c r="S17" s="50">
        <v>0</v>
      </c>
      <c r="T17" s="52">
        <v>0</v>
      </c>
      <c r="U17" s="71">
        <v>288.85435676787301</v>
      </c>
      <c r="V17" s="66">
        <v>125.66962208005046</v>
      </c>
      <c r="W17" s="62">
        <v>26.040007702259189</v>
      </c>
      <c r="X17" s="62">
        <v>11.329023953529244</v>
      </c>
      <c r="Y17" s="66">
        <v>175.84304622800869</v>
      </c>
      <c r="Z17" s="66">
        <v>76.502668722552897</v>
      </c>
      <c r="AA17" s="67">
        <v>0</v>
      </c>
      <c r="AB17" s="68">
        <v>0</v>
      </c>
      <c r="AC17" s="69">
        <v>0</v>
      </c>
      <c r="AD17" s="69">
        <v>14.515908516777895</v>
      </c>
      <c r="AE17" s="68">
        <v>9.9980454415120672</v>
      </c>
      <c r="AF17" s="68">
        <v>4.3497719966318265</v>
      </c>
      <c r="AG17" s="68">
        <v>0.69683389021469633</v>
      </c>
      <c r="AH17" s="69">
        <v>261.7391279856364</v>
      </c>
      <c r="AI17" s="69">
        <v>946.02286567687986</v>
      </c>
      <c r="AJ17" s="69">
        <v>3061.9839928944903</v>
      </c>
      <c r="AK17" s="69">
        <v>778.59211816787717</v>
      </c>
      <c r="AL17" s="69">
        <v>3307.7741119384773</v>
      </c>
      <c r="AM17" s="69">
        <v>2657.8555355072026</v>
      </c>
      <c r="AN17" s="69">
        <v>456.38450417518607</v>
      </c>
      <c r="AO17" s="69">
        <v>1709.7422321319582</v>
      </c>
      <c r="AP17" s="69">
        <v>447.49568185806277</v>
      </c>
      <c r="AQ17" s="69">
        <v>701.89255272547393</v>
      </c>
    </row>
    <row r="18" spans="1:43">
      <c r="A18" s="11">
        <v>41193</v>
      </c>
      <c r="B18" s="59"/>
      <c r="C18" s="60">
        <v>141.85791304906238</v>
      </c>
      <c r="D18" s="60">
        <v>1451.5124682108546</v>
      </c>
      <c r="E18" s="60">
        <v>13.787746666371836</v>
      </c>
      <c r="F18" s="60">
        <v>0</v>
      </c>
      <c r="G18" s="60">
        <v>3889.9559504191106</v>
      </c>
      <c r="H18" s="61">
        <v>33.24569498499239</v>
      </c>
      <c r="I18" s="59">
        <v>294.55116140047693</v>
      </c>
      <c r="J18" s="60">
        <v>645.4387807210278</v>
      </c>
      <c r="K18" s="60">
        <v>13.300495331486038</v>
      </c>
      <c r="L18" s="50">
        <v>0</v>
      </c>
      <c r="M18" s="60">
        <v>0</v>
      </c>
      <c r="N18" s="61">
        <v>0</v>
      </c>
      <c r="O18" s="59">
        <v>0</v>
      </c>
      <c r="P18" s="60">
        <v>0</v>
      </c>
      <c r="Q18" s="60">
        <v>0</v>
      </c>
      <c r="R18" s="63">
        <v>0</v>
      </c>
      <c r="S18" s="60">
        <v>0</v>
      </c>
      <c r="T18" s="64">
        <v>0</v>
      </c>
      <c r="U18" s="65">
        <v>218.65908898755907</v>
      </c>
      <c r="V18" s="62">
        <v>106.06827362399707</v>
      </c>
      <c r="W18" s="62">
        <v>19.273745313005403</v>
      </c>
      <c r="X18" s="62">
        <v>9.3494073403708526</v>
      </c>
      <c r="Y18" s="66">
        <v>133.46061824846254</v>
      </c>
      <c r="Z18" s="66">
        <v>64.739761973540297</v>
      </c>
      <c r="AA18" s="67">
        <v>0</v>
      </c>
      <c r="AB18" s="68">
        <v>30.172602107789846</v>
      </c>
      <c r="AC18" s="69">
        <v>0</v>
      </c>
      <c r="AD18" s="69">
        <v>11.426889385779702</v>
      </c>
      <c r="AE18" s="68">
        <v>7.5967131530923497</v>
      </c>
      <c r="AF18" s="68">
        <v>3.6850526227659453</v>
      </c>
      <c r="AG18" s="68">
        <v>0.67336206973454971</v>
      </c>
      <c r="AH18" s="69">
        <v>242.69167233308156</v>
      </c>
      <c r="AI18" s="69">
        <v>929.14513689676903</v>
      </c>
      <c r="AJ18" s="69">
        <v>3083.3860146840411</v>
      </c>
      <c r="AK18" s="69">
        <v>895.09405082066849</v>
      </c>
      <c r="AL18" s="69">
        <v>3269.1149082183833</v>
      </c>
      <c r="AM18" s="69">
        <v>2437.5771553039554</v>
      </c>
      <c r="AN18" s="69">
        <v>462.18070654869069</v>
      </c>
      <c r="AO18" s="69">
        <v>1456.7627542177834</v>
      </c>
      <c r="AP18" s="69">
        <v>438.27766517003374</v>
      </c>
      <c r="AQ18" s="69">
        <v>724.02993701299022</v>
      </c>
    </row>
    <row r="19" spans="1:43">
      <c r="A19" s="11">
        <v>41194</v>
      </c>
      <c r="B19" s="59"/>
      <c r="C19" s="60">
        <v>142.14674233992932</v>
      </c>
      <c r="D19" s="60">
        <v>1458.1623116811127</v>
      </c>
      <c r="E19" s="60">
        <v>13.832101774215705</v>
      </c>
      <c r="F19" s="60">
        <v>0</v>
      </c>
      <c r="G19" s="60">
        <v>3901.5222501119069</v>
      </c>
      <c r="H19" s="61">
        <v>33.389110692342193</v>
      </c>
      <c r="I19" s="59">
        <v>295.74119178454083</v>
      </c>
      <c r="J19" s="60">
        <v>585.27916167577052</v>
      </c>
      <c r="K19" s="60">
        <v>12.04252995053924</v>
      </c>
      <c r="L19" s="50">
        <v>0</v>
      </c>
      <c r="M19" s="60">
        <v>0</v>
      </c>
      <c r="N19" s="61">
        <v>0</v>
      </c>
      <c r="O19" s="59">
        <v>0</v>
      </c>
      <c r="P19" s="60">
        <v>0</v>
      </c>
      <c r="Q19" s="60">
        <v>0</v>
      </c>
      <c r="R19" s="63">
        <v>0</v>
      </c>
      <c r="S19" s="60">
        <v>0</v>
      </c>
      <c r="T19" s="64">
        <v>0</v>
      </c>
      <c r="U19" s="65">
        <v>231.0154509379291</v>
      </c>
      <c r="V19" s="62">
        <v>125.62352039080398</v>
      </c>
      <c r="W19" s="62">
        <v>20.01658923773196</v>
      </c>
      <c r="X19" s="62">
        <v>10.884788857418012</v>
      </c>
      <c r="Y19" s="66">
        <v>131.82875182013876</v>
      </c>
      <c r="Z19" s="66">
        <v>71.686944856433485</v>
      </c>
      <c r="AA19" s="67">
        <v>0</v>
      </c>
      <c r="AB19" s="68">
        <v>0</v>
      </c>
      <c r="AC19" s="69">
        <v>0</v>
      </c>
      <c r="AD19" s="69">
        <v>12.503670842117719</v>
      </c>
      <c r="AE19" s="68">
        <v>7.9987514526708434</v>
      </c>
      <c r="AF19" s="68">
        <v>4.3496281834653283</v>
      </c>
      <c r="AG19" s="68">
        <v>0.64775717044391623</v>
      </c>
      <c r="AH19" s="69">
        <v>252.2301167567571</v>
      </c>
      <c r="AI19" s="69">
        <v>942.29381084442161</v>
      </c>
      <c r="AJ19" s="69">
        <v>3010.5779145558672</v>
      </c>
      <c r="AK19" s="69">
        <v>894.48818683624268</v>
      </c>
      <c r="AL19" s="69">
        <v>3514.3307060241705</v>
      </c>
      <c r="AM19" s="69">
        <v>2505.9626809438068</v>
      </c>
      <c r="AN19" s="69">
        <v>468.43956820170092</v>
      </c>
      <c r="AO19" s="69">
        <v>1551.6031169891357</v>
      </c>
      <c r="AP19" s="69">
        <v>453.72874736785883</v>
      </c>
      <c r="AQ19" s="69">
        <v>669.15249217351277</v>
      </c>
    </row>
    <row r="20" spans="1:43">
      <c r="A20" s="11">
        <v>41195</v>
      </c>
      <c r="B20" s="59"/>
      <c r="C20" s="60">
        <v>141.77522787253076</v>
      </c>
      <c r="D20" s="60">
        <v>1451.2723111470536</v>
      </c>
      <c r="E20" s="60">
        <v>13.818329251309267</v>
      </c>
      <c r="F20" s="60">
        <v>0</v>
      </c>
      <c r="G20" s="60">
        <v>3933.9929489135825</v>
      </c>
      <c r="H20" s="61">
        <v>33.342614058653645</v>
      </c>
      <c r="I20" s="59">
        <v>307.24340171813935</v>
      </c>
      <c r="J20" s="60">
        <v>585.08974463144898</v>
      </c>
      <c r="K20" s="60">
        <v>12.025775334238995</v>
      </c>
      <c r="L20" s="50">
        <v>0</v>
      </c>
      <c r="M20" s="60">
        <v>0</v>
      </c>
      <c r="N20" s="61">
        <v>0</v>
      </c>
      <c r="O20" s="59">
        <v>0</v>
      </c>
      <c r="P20" s="60">
        <v>0</v>
      </c>
      <c r="Q20" s="60">
        <v>0</v>
      </c>
      <c r="R20" s="63">
        <v>0</v>
      </c>
      <c r="S20" s="60">
        <v>0</v>
      </c>
      <c r="T20" s="64">
        <v>0</v>
      </c>
      <c r="U20" s="65">
        <v>231.0541380943292</v>
      </c>
      <c r="V20" s="62">
        <v>125.62593210458439</v>
      </c>
      <c r="W20" s="62">
        <v>20.309860244573542</v>
      </c>
      <c r="X20" s="62">
        <v>11.042628992417141</v>
      </c>
      <c r="Y20" s="66">
        <v>114.56067294952308</v>
      </c>
      <c r="Z20" s="66">
        <v>62.287528977025943</v>
      </c>
      <c r="AA20" s="67">
        <v>0</v>
      </c>
      <c r="AB20" s="68">
        <v>0</v>
      </c>
      <c r="AC20" s="69">
        <v>0</v>
      </c>
      <c r="AD20" s="69">
        <v>12.507030618190765</v>
      </c>
      <c r="AE20" s="68">
        <v>8.0002933205891509</v>
      </c>
      <c r="AF20" s="68">
        <v>4.3498217075808325</v>
      </c>
      <c r="AG20" s="68">
        <v>0.64779099646771621</v>
      </c>
      <c r="AH20" s="69">
        <v>257.44352122147876</v>
      </c>
      <c r="AI20" s="69">
        <v>958.32932449976613</v>
      </c>
      <c r="AJ20" s="69">
        <v>3002.7247567494715</v>
      </c>
      <c r="AK20" s="69">
        <v>791.0526028951009</v>
      </c>
      <c r="AL20" s="69">
        <v>4061.7212081909179</v>
      </c>
      <c r="AM20" s="69">
        <v>2589.2575630187989</v>
      </c>
      <c r="AN20" s="69">
        <v>496.89636929829902</v>
      </c>
      <c r="AO20" s="69">
        <v>1497.074773089091</v>
      </c>
      <c r="AP20" s="69">
        <v>460.6420795122782</v>
      </c>
      <c r="AQ20" s="69">
        <v>575.59258124033602</v>
      </c>
    </row>
    <row r="21" spans="1:43">
      <c r="A21" s="11">
        <v>41196</v>
      </c>
      <c r="B21" s="59"/>
      <c r="C21" s="60">
        <v>141.82053030331929</v>
      </c>
      <c r="D21" s="60">
        <v>1455.4384642283133</v>
      </c>
      <c r="E21" s="60">
        <v>13.818726962804824</v>
      </c>
      <c r="F21" s="60">
        <v>0</v>
      </c>
      <c r="G21" s="60">
        <v>3955.8296109517592</v>
      </c>
      <c r="H21" s="61">
        <v>33.788394301136407</v>
      </c>
      <c r="I21" s="59">
        <v>322.01755971908619</v>
      </c>
      <c r="J21" s="60">
        <v>613.17515176137215</v>
      </c>
      <c r="K21" s="60">
        <v>12.402827402949333</v>
      </c>
      <c r="L21" s="50">
        <v>0</v>
      </c>
      <c r="M21" s="60">
        <v>0</v>
      </c>
      <c r="N21" s="61">
        <v>0</v>
      </c>
      <c r="O21" s="59">
        <v>0</v>
      </c>
      <c r="P21" s="60">
        <v>0</v>
      </c>
      <c r="Q21" s="60">
        <v>0</v>
      </c>
      <c r="R21" s="63">
        <v>0</v>
      </c>
      <c r="S21" s="60">
        <v>0</v>
      </c>
      <c r="T21" s="64">
        <v>0</v>
      </c>
      <c r="U21" s="65">
        <v>245.7270109088432</v>
      </c>
      <c r="V21" s="62">
        <v>131.89656788330709</v>
      </c>
      <c r="W21" s="62">
        <v>19.640204743525253</v>
      </c>
      <c r="X21" s="62">
        <v>10.542087288716546</v>
      </c>
      <c r="Y21" s="66">
        <v>116.12142900312757</v>
      </c>
      <c r="Z21" s="66">
        <v>62.329403212817276</v>
      </c>
      <c r="AA21" s="67">
        <v>0</v>
      </c>
      <c r="AB21" s="68">
        <v>0</v>
      </c>
      <c r="AC21" s="69">
        <v>0</v>
      </c>
      <c r="AD21" s="69">
        <v>12.530982240372236</v>
      </c>
      <c r="AE21" s="68">
        <v>8.0002530752571044</v>
      </c>
      <c r="AF21" s="68">
        <v>4.2942203175854043</v>
      </c>
      <c r="AG21" s="68">
        <v>0.65071945903064243</v>
      </c>
      <c r="AH21" s="69">
        <v>234.13094845612849</v>
      </c>
      <c r="AI21" s="69">
        <v>934.67192052205405</v>
      </c>
      <c r="AJ21" s="69">
        <v>3001.7280715942388</v>
      </c>
      <c r="AK21" s="69">
        <v>907.88468968073539</v>
      </c>
      <c r="AL21" s="69">
        <v>3837.5507906595867</v>
      </c>
      <c r="AM21" s="69">
        <v>2605.622127532959</v>
      </c>
      <c r="AN21" s="69">
        <v>480.95936404863994</v>
      </c>
      <c r="AO21" s="69">
        <v>1699.3925598144531</v>
      </c>
      <c r="AP21" s="69">
        <v>466.34173107147222</v>
      </c>
      <c r="AQ21" s="69">
        <v>667.68769006729121</v>
      </c>
    </row>
    <row r="22" spans="1:43">
      <c r="A22" s="11">
        <v>41197</v>
      </c>
      <c r="B22" s="59"/>
      <c r="C22" s="60">
        <v>141.87895886898065</v>
      </c>
      <c r="D22" s="60">
        <v>1454.9081105550135</v>
      </c>
      <c r="E22" s="60">
        <v>13.810551131268369</v>
      </c>
      <c r="F22" s="60">
        <v>0</v>
      </c>
      <c r="G22" s="60">
        <v>3958.7989189148066</v>
      </c>
      <c r="H22" s="61">
        <v>33.32499159773193</v>
      </c>
      <c r="I22" s="59">
        <v>301.67199177742003</v>
      </c>
      <c r="J22" s="60">
        <v>574.51576735178605</v>
      </c>
      <c r="K22" s="60">
        <v>11.820101102689877</v>
      </c>
      <c r="L22" s="50">
        <v>0</v>
      </c>
      <c r="M22" s="60">
        <v>0</v>
      </c>
      <c r="N22" s="61">
        <v>0</v>
      </c>
      <c r="O22" s="59">
        <v>0</v>
      </c>
      <c r="P22" s="60">
        <v>0</v>
      </c>
      <c r="Q22" s="60">
        <v>0</v>
      </c>
      <c r="R22" s="63">
        <v>0</v>
      </c>
      <c r="S22" s="60">
        <v>0</v>
      </c>
      <c r="T22" s="64">
        <v>0</v>
      </c>
      <c r="U22" s="65">
        <v>253.06214783964106</v>
      </c>
      <c r="V22" s="62">
        <v>132.68601133580717</v>
      </c>
      <c r="W22" s="62">
        <v>20.49284278572393</v>
      </c>
      <c r="X22" s="62">
        <v>10.744845064274534</v>
      </c>
      <c r="Y22" s="66">
        <v>123.87182400059785</v>
      </c>
      <c r="Z22" s="66">
        <v>64.948702853599201</v>
      </c>
      <c r="AA22" s="67">
        <v>0</v>
      </c>
      <c r="AB22" s="68">
        <v>0</v>
      </c>
      <c r="AC22" s="69">
        <v>0</v>
      </c>
      <c r="AD22" s="69">
        <v>12.334323690334942</v>
      </c>
      <c r="AE22" s="68">
        <v>7.8976700269678721</v>
      </c>
      <c r="AF22" s="68">
        <v>4.1409208910562061</v>
      </c>
      <c r="AG22" s="68">
        <v>0.65602943739400155</v>
      </c>
      <c r="AH22" s="69">
        <v>208.11456665992739</v>
      </c>
      <c r="AI22" s="69">
        <v>907.51567831039438</v>
      </c>
      <c r="AJ22" s="69">
        <v>3007.6753381093345</v>
      </c>
      <c r="AK22" s="69">
        <v>1004.0310178438822</v>
      </c>
      <c r="AL22" s="69">
        <v>3829.6682530721027</v>
      </c>
      <c r="AM22" s="69">
        <v>2621.3709588368729</v>
      </c>
      <c r="AN22" s="69">
        <v>475.05908557573957</v>
      </c>
      <c r="AO22" s="69">
        <v>1652.9295427958168</v>
      </c>
      <c r="AP22" s="69">
        <v>475.42300898234049</v>
      </c>
      <c r="AQ22" s="69">
        <v>804.94056453704832</v>
      </c>
    </row>
    <row r="23" spans="1:43">
      <c r="A23" s="11">
        <v>41198</v>
      </c>
      <c r="B23" s="59"/>
      <c r="C23" s="60">
        <v>145.44884785811101</v>
      </c>
      <c r="D23" s="60">
        <v>1491.4170779546084</v>
      </c>
      <c r="E23" s="60">
        <v>13.89794706652564</v>
      </c>
      <c r="F23" s="60">
        <v>0</v>
      </c>
      <c r="G23" s="60">
        <v>3949.9567494710345</v>
      </c>
      <c r="H23" s="61">
        <v>34.316147994995212</v>
      </c>
      <c r="I23" s="59">
        <v>428.460273170471</v>
      </c>
      <c r="J23" s="60">
        <v>811.19732780456559</v>
      </c>
      <c r="K23" s="60">
        <v>17.49510658929746</v>
      </c>
      <c r="L23" s="50">
        <v>0</v>
      </c>
      <c r="M23" s="60">
        <v>0</v>
      </c>
      <c r="N23" s="61">
        <v>0</v>
      </c>
      <c r="O23" s="59">
        <v>0</v>
      </c>
      <c r="P23" s="60">
        <v>0</v>
      </c>
      <c r="Q23" s="60">
        <v>0</v>
      </c>
      <c r="R23" s="63">
        <v>0</v>
      </c>
      <c r="S23" s="60">
        <v>0</v>
      </c>
      <c r="T23" s="64">
        <v>0</v>
      </c>
      <c r="U23" s="65">
        <v>352.05872156760034</v>
      </c>
      <c r="V23" s="62">
        <v>133.91269683433316</v>
      </c>
      <c r="W23" s="62">
        <v>31.033451047559609</v>
      </c>
      <c r="X23" s="62">
        <v>11.804204433143125</v>
      </c>
      <c r="Y23" s="66">
        <v>168.4182255940562</v>
      </c>
      <c r="Z23" s="66">
        <v>64.061298311062046</v>
      </c>
      <c r="AA23" s="67">
        <v>0</v>
      </c>
      <c r="AB23" s="68">
        <v>0</v>
      </c>
      <c r="AC23" s="69">
        <v>0</v>
      </c>
      <c r="AD23" s="69">
        <v>16.113021893633732</v>
      </c>
      <c r="AE23" s="68">
        <v>11.438450887835362</v>
      </c>
      <c r="AF23" s="68">
        <v>4.3508474926475769</v>
      </c>
      <c r="AG23" s="68">
        <v>0.72444326607788756</v>
      </c>
      <c r="AH23" s="69">
        <v>198.95385830402375</v>
      </c>
      <c r="AI23" s="69">
        <v>913.63842029571538</v>
      </c>
      <c r="AJ23" s="69">
        <v>3053.2772240956629</v>
      </c>
      <c r="AK23" s="69">
        <v>892.36889737447109</v>
      </c>
      <c r="AL23" s="69">
        <v>3331.3011722564688</v>
      </c>
      <c r="AM23" s="69">
        <v>2663.5308027903238</v>
      </c>
      <c r="AN23" s="69">
        <v>491.85260704358404</v>
      </c>
      <c r="AO23" s="69">
        <v>1839.7904207865395</v>
      </c>
      <c r="AP23" s="69">
        <v>404.27182820638018</v>
      </c>
      <c r="AQ23" s="69">
        <v>823.88782510757437</v>
      </c>
    </row>
    <row r="24" spans="1:43">
      <c r="A24" s="11">
        <v>41199</v>
      </c>
      <c r="B24" s="59"/>
      <c r="C24" s="60">
        <v>138.6881807327274</v>
      </c>
      <c r="D24" s="60">
        <v>1413.0771898984915</v>
      </c>
      <c r="E24" s="60">
        <v>13.145962364474929</v>
      </c>
      <c r="F24" s="60">
        <v>0</v>
      </c>
      <c r="G24" s="60">
        <v>3750.1644134521621</v>
      </c>
      <c r="H24" s="61">
        <v>32.988089249531491</v>
      </c>
      <c r="I24" s="59">
        <v>316.11920797030109</v>
      </c>
      <c r="J24" s="60">
        <v>614.83834603627474</v>
      </c>
      <c r="K24" s="60">
        <v>12.929694541792133</v>
      </c>
      <c r="L24" s="50">
        <v>0</v>
      </c>
      <c r="M24" s="60">
        <v>0</v>
      </c>
      <c r="N24" s="61">
        <v>0</v>
      </c>
      <c r="O24" s="59">
        <v>0</v>
      </c>
      <c r="P24" s="60">
        <v>0</v>
      </c>
      <c r="Q24" s="60">
        <v>0</v>
      </c>
      <c r="R24" s="63">
        <v>0</v>
      </c>
      <c r="S24" s="60">
        <v>0</v>
      </c>
      <c r="T24" s="64">
        <v>0</v>
      </c>
      <c r="U24" s="65">
        <v>256.47517043071048</v>
      </c>
      <c r="V24" s="62">
        <v>114.82206999609382</v>
      </c>
      <c r="W24" s="62">
        <v>22.311686241559219</v>
      </c>
      <c r="X24" s="62">
        <v>9.9887797912637062</v>
      </c>
      <c r="Y24" s="66">
        <v>129.2774349347828</v>
      </c>
      <c r="Z24" s="66">
        <v>57.876568160843988</v>
      </c>
      <c r="AA24" s="67">
        <v>0</v>
      </c>
      <c r="AB24" s="68">
        <v>0</v>
      </c>
      <c r="AC24" s="69">
        <v>0</v>
      </c>
      <c r="AD24" s="69">
        <v>12.954953269826021</v>
      </c>
      <c r="AE24" s="68">
        <v>8.7166228927425689</v>
      </c>
      <c r="AF24" s="68">
        <v>3.9023687253594574</v>
      </c>
      <c r="AG24" s="68">
        <v>0.69075431354106909</v>
      </c>
      <c r="AH24" s="69">
        <v>244.92344356377922</v>
      </c>
      <c r="AI24" s="69">
        <v>958.61724376678455</v>
      </c>
      <c r="AJ24" s="69">
        <v>3024.3929313659664</v>
      </c>
      <c r="AK24" s="69">
        <v>804.88888212839765</v>
      </c>
      <c r="AL24" s="69">
        <v>3059.9890538533527</v>
      </c>
      <c r="AM24" s="69">
        <v>2724.2537675221761</v>
      </c>
      <c r="AN24" s="69">
        <v>521.02145684560151</v>
      </c>
      <c r="AO24" s="69">
        <v>1694.354602241516</v>
      </c>
      <c r="AP24" s="69">
        <v>387.61893558502197</v>
      </c>
      <c r="AQ24" s="69">
        <v>666.40292027791338</v>
      </c>
    </row>
    <row r="25" spans="1:43">
      <c r="A25" s="11">
        <v>41200</v>
      </c>
      <c r="B25" s="59"/>
      <c r="C25" s="60">
        <v>141.71205375194566</v>
      </c>
      <c r="D25" s="60">
        <v>1454.3278607050572</v>
      </c>
      <c r="E25" s="60">
        <v>13.315865452090897</v>
      </c>
      <c r="F25" s="60">
        <v>0</v>
      </c>
      <c r="G25" s="60">
        <v>3935.885414377859</v>
      </c>
      <c r="H25" s="61">
        <v>33.552662503719446</v>
      </c>
      <c r="I25" s="59">
        <v>296.01904226938859</v>
      </c>
      <c r="J25" s="60">
        <v>565.5896678924571</v>
      </c>
      <c r="K25" s="60">
        <v>11.638842336336779</v>
      </c>
      <c r="L25" s="50">
        <v>0</v>
      </c>
      <c r="M25" s="60">
        <v>0</v>
      </c>
      <c r="N25" s="61">
        <v>0</v>
      </c>
      <c r="O25" s="59">
        <v>0</v>
      </c>
      <c r="P25" s="60">
        <v>0</v>
      </c>
      <c r="Q25" s="60">
        <v>0</v>
      </c>
      <c r="R25" s="63">
        <v>0</v>
      </c>
      <c r="S25" s="60">
        <v>0</v>
      </c>
      <c r="T25" s="64">
        <v>0</v>
      </c>
      <c r="U25" s="65">
        <v>231.94540377360937</v>
      </c>
      <c r="V25" s="62">
        <v>126.06880463856226</v>
      </c>
      <c r="W25" s="62">
        <v>20.4604638248342</v>
      </c>
      <c r="X25" s="62">
        <v>11.120833501253793</v>
      </c>
      <c r="Y25" s="66">
        <v>108.94664014568909</v>
      </c>
      <c r="Z25" s="66">
        <v>59.215541541665836</v>
      </c>
      <c r="AA25" s="67">
        <v>0</v>
      </c>
      <c r="AB25" s="68">
        <v>0</v>
      </c>
      <c r="AC25" s="69">
        <v>0</v>
      </c>
      <c r="AD25" s="69">
        <v>12.666803550057946</v>
      </c>
      <c r="AE25" s="68">
        <v>8.0015578743742726</v>
      </c>
      <c r="AF25" s="68">
        <v>4.3490701693456639</v>
      </c>
      <c r="AG25" s="68">
        <v>0.64786647659127872</v>
      </c>
      <c r="AH25" s="69">
        <v>245.98061886628466</v>
      </c>
      <c r="AI25" s="69">
        <v>969.26765308380129</v>
      </c>
      <c r="AJ25" s="69">
        <v>3085.6426458994551</v>
      </c>
      <c r="AK25" s="69">
        <v>783.44137620925892</v>
      </c>
      <c r="AL25" s="69">
        <v>3458.289469401042</v>
      </c>
      <c r="AM25" s="69">
        <v>2755.0978953043618</v>
      </c>
      <c r="AN25" s="69">
        <v>514.60582707722972</v>
      </c>
      <c r="AO25" s="69">
        <v>1603.1674980799355</v>
      </c>
      <c r="AP25" s="69">
        <v>437.11232824325572</v>
      </c>
      <c r="AQ25" s="69">
        <v>626.46720949808753</v>
      </c>
    </row>
    <row r="26" spans="1:43">
      <c r="A26" s="11">
        <v>41201</v>
      </c>
      <c r="B26" s="59"/>
      <c r="C26" s="60">
        <v>141.73688185215022</v>
      </c>
      <c r="D26" s="60">
        <v>1454.9558995564762</v>
      </c>
      <c r="E26" s="60">
        <v>13.333013607064904</v>
      </c>
      <c r="F26" s="60">
        <v>0</v>
      </c>
      <c r="G26" s="60">
        <v>3821.5021741231349</v>
      </c>
      <c r="H26" s="61">
        <v>33.541890017191612</v>
      </c>
      <c r="I26" s="59">
        <v>301.97612191836038</v>
      </c>
      <c r="J26" s="60">
        <v>568.23798780441302</v>
      </c>
      <c r="K26" s="60">
        <v>11.644128806889055</v>
      </c>
      <c r="L26" s="50">
        <v>0</v>
      </c>
      <c r="M26" s="60">
        <v>0</v>
      </c>
      <c r="N26" s="61">
        <v>0</v>
      </c>
      <c r="O26" s="59">
        <v>0</v>
      </c>
      <c r="P26" s="60">
        <v>0</v>
      </c>
      <c r="Q26" s="60">
        <v>0</v>
      </c>
      <c r="R26" s="63">
        <v>0</v>
      </c>
      <c r="S26" s="60">
        <v>0</v>
      </c>
      <c r="T26" s="64">
        <v>0</v>
      </c>
      <c r="U26" s="65">
        <v>227.96550793572277</v>
      </c>
      <c r="V26" s="62">
        <v>119.33085453850747</v>
      </c>
      <c r="W26" s="62">
        <v>19.627556989557441</v>
      </c>
      <c r="X26" s="62">
        <v>10.274243543578287</v>
      </c>
      <c r="Y26" s="66">
        <v>101.45858373242751</v>
      </c>
      <c r="Z26" s="66">
        <v>53.109523483135973</v>
      </c>
      <c r="AA26" s="67">
        <v>0</v>
      </c>
      <c r="AB26" s="68">
        <v>0</v>
      </c>
      <c r="AC26" s="69">
        <v>0</v>
      </c>
      <c r="AD26" s="69">
        <v>12.34594886137381</v>
      </c>
      <c r="AE26" s="68">
        <v>7.8916550122945575</v>
      </c>
      <c r="AF26" s="68">
        <v>4.1309667627689182</v>
      </c>
      <c r="AG26" s="68">
        <v>0.6564005056420309</v>
      </c>
      <c r="AH26" s="69">
        <v>362.52467392285661</v>
      </c>
      <c r="AI26" s="69">
        <v>1088.0038633346553</v>
      </c>
      <c r="AJ26" s="69">
        <v>3066.9041072845457</v>
      </c>
      <c r="AK26" s="69">
        <v>773.01161683400471</v>
      </c>
      <c r="AL26" s="69">
        <v>3333.3453313191726</v>
      </c>
      <c r="AM26" s="69">
        <v>2711.5843133290614</v>
      </c>
      <c r="AN26" s="69">
        <v>491.44648346900931</v>
      </c>
      <c r="AO26" s="69">
        <v>1589.0713361740113</v>
      </c>
      <c r="AP26" s="69">
        <v>366.22415382067362</v>
      </c>
      <c r="AQ26" s="69">
        <v>768.78469174702968</v>
      </c>
    </row>
    <row r="27" spans="1:43">
      <c r="A27" s="11">
        <v>41202</v>
      </c>
      <c r="B27" s="59"/>
      <c r="C27" s="60">
        <v>141.44826690355973</v>
      </c>
      <c r="D27" s="60">
        <v>1451.4225786209108</v>
      </c>
      <c r="E27" s="60">
        <v>13.349133308728552</v>
      </c>
      <c r="F27" s="60">
        <v>0</v>
      </c>
      <c r="G27" s="60">
        <v>3822.6441780090436</v>
      </c>
      <c r="H27" s="61">
        <v>33.363035281499236</v>
      </c>
      <c r="I27" s="59">
        <v>297.07727330525699</v>
      </c>
      <c r="J27" s="60">
        <v>565.11315701802653</v>
      </c>
      <c r="K27" s="60">
        <v>12.047502623995147</v>
      </c>
      <c r="L27" s="50">
        <v>0</v>
      </c>
      <c r="M27" s="60">
        <v>0</v>
      </c>
      <c r="N27" s="61">
        <v>0</v>
      </c>
      <c r="O27" s="59">
        <v>0</v>
      </c>
      <c r="P27" s="60">
        <v>0</v>
      </c>
      <c r="Q27" s="60">
        <v>0</v>
      </c>
      <c r="R27" s="63">
        <v>0</v>
      </c>
      <c r="S27" s="60">
        <v>0</v>
      </c>
      <c r="T27" s="64">
        <v>0</v>
      </c>
      <c r="U27" s="65">
        <v>234.61546807756091</v>
      </c>
      <c r="V27" s="62">
        <v>127.55993454254057</v>
      </c>
      <c r="W27" s="62">
        <v>20.203423495779461</v>
      </c>
      <c r="X27" s="62">
        <v>10.984558689902245</v>
      </c>
      <c r="Y27" s="62">
        <v>102.13335395252543</v>
      </c>
      <c r="Z27" s="62">
        <v>55.529688863000878</v>
      </c>
      <c r="AA27" s="72">
        <v>0</v>
      </c>
      <c r="AB27" s="69">
        <v>0</v>
      </c>
      <c r="AC27" s="69">
        <v>0</v>
      </c>
      <c r="AD27" s="69">
        <v>12.666376839081448</v>
      </c>
      <c r="AE27" s="69">
        <v>8.0008538149084387</v>
      </c>
      <c r="AF27" s="69">
        <v>4.3500473232939738</v>
      </c>
      <c r="AG27" s="69">
        <v>0.64779514671695504</v>
      </c>
      <c r="AH27" s="69">
        <v>222.5277754863103</v>
      </c>
      <c r="AI27" s="69">
        <v>948.57669318517048</v>
      </c>
      <c r="AJ27" s="69">
        <v>3039.9893149058025</v>
      </c>
      <c r="AK27" s="69">
        <v>775.68616854349762</v>
      </c>
      <c r="AL27" s="69">
        <v>3149.1059986114501</v>
      </c>
      <c r="AM27" s="69">
        <v>2639.7321553548177</v>
      </c>
      <c r="AN27" s="69">
        <v>486.21698156992602</v>
      </c>
      <c r="AO27" s="69">
        <v>1570.1228055318195</v>
      </c>
      <c r="AP27" s="69">
        <v>368.84136708577483</v>
      </c>
      <c r="AQ27" s="69">
        <v>719.69542566935218</v>
      </c>
    </row>
    <row r="28" spans="1:43">
      <c r="A28" s="11">
        <v>41203</v>
      </c>
      <c r="B28" s="59"/>
      <c r="C28" s="60">
        <v>141.65444498856897</v>
      </c>
      <c r="D28" s="60">
        <v>1453.8902389526343</v>
      </c>
      <c r="E28" s="60">
        <v>13.350132120649018</v>
      </c>
      <c r="F28" s="60">
        <v>0</v>
      </c>
      <c r="G28" s="60">
        <v>3821.5126808166547</v>
      </c>
      <c r="H28" s="61">
        <v>34.291321535905269</v>
      </c>
      <c r="I28" s="59">
        <v>293.48569736480732</v>
      </c>
      <c r="J28" s="60">
        <v>565.5712619463601</v>
      </c>
      <c r="K28" s="60">
        <v>12.22991025249163</v>
      </c>
      <c r="L28" s="50">
        <v>0</v>
      </c>
      <c r="M28" s="60">
        <v>0</v>
      </c>
      <c r="N28" s="61">
        <v>0</v>
      </c>
      <c r="O28" s="59">
        <v>0</v>
      </c>
      <c r="P28" s="60">
        <v>0</v>
      </c>
      <c r="Q28" s="60">
        <v>0</v>
      </c>
      <c r="R28" s="63">
        <v>0</v>
      </c>
      <c r="S28" s="60">
        <v>0</v>
      </c>
      <c r="T28" s="64">
        <v>0</v>
      </c>
      <c r="U28" s="65">
        <v>233.68176619238326</v>
      </c>
      <c r="V28" s="62">
        <v>127.08459546804286</v>
      </c>
      <c r="W28" s="62">
        <v>20.085027430922093</v>
      </c>
      <c r="X28" s="62">
        <v>10.922964284350209</v>
      </c>
      <c r="Y28" s="66">
        <v>101.92884509837421</v>
      </c>
      <c r="Z28" s="66">
        <v>55.432592182598398</v>
      </c>
      <c r="AA28" s="67">
        <v>0</v>
      </c>
      <c r="AB28" s="68">
        <v>0</v>
      </c>
      <c r="AC28" s="69">
        <v>0</v>
      </c>
      <c r="AD28" s="69">
        <v>12.665581458806988</v>
      </c>
      <c r="AE28" s="68">
        <v>7.9990388319772947</v>
      </c>
      <c r="AF28" s="68">
        <v>4.3501665990409437</v>
      </c>
      <c r="AG28" s="68">
        <v>0.64773712581423504</v>
      </c>
      <c r="AH28" s="69">
        <v>202.4813488562902</v>
      </c>
      <c r="AI28" s="69">
        <v>932.15073884328206</v>
      </c>
      <c r="AJ28" s="69">
        <v>3061.58449567159</v>
      </c>
      <c r="AK28" s="69">
        <v>782.0638344764709</v>
      </c>
      <c r="AL28" s="69">
        <v>3102.7652000427242</v>
      </c>
      <c r="AM28" s="69">
        <v>2640.183397928874</v>
      </c>
      <c r="AN28" s="69">
        <v>486.5066962401072</v>
      </c>
      <c r="AO28" s="69">
        <v>1517.0085747400917</v>
      </c>
      <c r="AP28" s="69">
        <v>366.94349387486773</v>
      </c>
      <c r="AQ28" s="69">
        <v>699.97899945576989</v>
      </c>
    </row>
    <row r="29" spans="1:43">
      <c r="A29" s="11">
        <v>41204</v>
      </c>
      <c r="B29" s="59"/>
      <c r="C29" s="60">
        <v>148.68442982832585</v>
      </c>
      <c r="D29" s="60">
        <v>1443.4365354895572</v>
      </c>
      <c r="E29" s="60">
        <v>13.360064689318353</v>
      </c>
      <c r="F29" s="60">
        <v>0</v>
      </c>
      <c r="G29" s="60">
        <v>3796.8004597981821</v>
      </c>
      <c r="H29" s="61">
        <v>33.565822313229262</v>
      </c>
      <c r="I29" s="59">
        <v>294.18860290845254</v>
      </c>
      <c r="J29" s="60">
        <v>565.61171302795378</v>
      </c>
      <c r="K29" s="60">
        <v>12.244207648436218</v>
      </c>
      <c r="L29" s="50">
        <v>0</v>
      </c>
      <c r="M29" s="60">
        <v>0</v>
      </c>
      <c r="N29" s="61">
        <v>0</v>
      </c>
      <c r="O29" s="59">
        <v>0</v>
      </c>
      <c r="P29" s="60">
        <v>0</v>
      </c>
      <c r="Q29" s="60">
        <v>0</v>
      </c>
      <c r="R29" s="63">
        <v>0</v>
      </c>
      <c r="S29" s="60">
        <v>0</v>
      </c>
      <c r="T29" s="64">
        <v>0</v>
      </c>
      <c r="U29" s="65">
        <v>232.92381465407206</v>
      </c>
      <c r="V29" s="62">
        <v>115.885065230013</v>
      </c>
      <c r="W29" s="62">
        <v>19.763943780295037</v>
      </c>
      <c r="X29" s="62">
        <v>9.8330259513537452</v>
      </c>
      <c r="Y29" s="66">
        <v>102.21790388810179</v>
      </c>
      <c r="Z29" s="66">
        <v>50.85580655348754</v>
      </c>
      <c r="AA29" s="67">
        <v>0</v>
      </c>
      <c r="AB29" s="68">
        <v>0</v>
      </c>
      <c r="AC29" s="69">
        <v>0</v>
      </c>
      <c r="AD29" s="69">
        <v>12.138217018047973</v>
      </c>
      <c r="AE29" s="68">
        <v>7.8994189081806176</v>
      </c>
      <c r="AF29" s="68">
        <v>3.9301463305212314</v>
      </c>
      <c r="AG29" s="68">
        <v>0.66776916554267907</v>
      </c>
      <c r="AH29" s="69">
        <v>221.89413734277088</v>
      </c>
      <c r="AI29" s="69">
        <v>954.7509152730305</v>
      </c>
      <c r="AJ29" s="69">
        <v>3054.1978965759272</v>
      </c>
      <c r="AK29" s="69">
        <v>777.15667969385788</v>
      </c>
      <c r="AL29" s="69">
        <v>3138.4129522959388</v>
      </c>
      <c r="AM29" s="69">
        <v>2672.422139104207</v>
      </c>
      <c r="AN29" s="69">
        <v>505.64082450866692</v>
      </c>
      <c r="AO29" s="69">
        <v>1515.3937842051191</v>
      </c>
      <c r="AP29" s="69">
        <v>390.32496922810873</v>
      </c>
      <c r="AQ29" s="69">
        <v>699.72523597081477</v>
      </c>
    </row>
    <row r="30" spans="1:43">
      <c r="A30" s="11">
        <v>41205</v>
      </c>
      <c r="B30" s="59"/>
      <c r="C30" s="60">
        <v>163.19642167091348</v>
      </c>
      <c r="D30" s="60">
        <v>1437.4496021906534</v>
      </c>
      <c r="E30" s="60">
        <v>13.599291303257132</v>
      </c>
      <c r="F30" s="60">
        <v>5.4733580827713029</v>
      </c>
      <c r="G30" s="60">
        <v>3705.5013727823921</v>
      </c>
      <c r="H30" s="61">
        <v>33.024909180402823</v>
      </c>
      <c r="I30" s="59">
        <v>301.27801289558414</v>
      </c>
      <c r="J30" s="60">
        <v>565.57421550750837</v>
      </c>
      <c r="K30" s="60">
        <v>12.492574738462761</v>
      </c>
      <c r="L30" s="50">
        <v>0</v>
      </c>
      <c r="M30" s="60">
        <v>96.360344653328269</v>
      </c>
      <c r="N30" s="61">
        <v>3.6298819864789649</v>
      </c>
      <c r="O30" s="59">
        <v>0</v>
      </c>
      <c r="P30" s="60">
        <v>0</v>
      </c>
      <c r="Q30" s="60">
        <v>0</v>
      </c>
      <c r="R30" s="63">
        <v>0</v>
      </c>
      <c r="S30" s="60">
        <v>0</v>
      </c>
      <c r="T30" s="64">
        <v>0</v>
      </c>
      <c r="U30" s="65">
        <v>236.69647679497169</v>
      </c>
      <c r="V30" s="62">
        <v>128.71133032206629</v>
      </c>
      <c r="W30" s="62">
        <v>20.036627856344765</v>
      </c>
      <c r="X30" s="62">
        <v>10.895561528751459</v>
      </c>
      <c r="Y30" s="66">
        <v>107.28914759632647</v>
      </c>
      <c r="Z30" s="66">
        <v>58.341928461425503</v>
      </c>
      <c r="AA30" s="67">
        <v>0</v>
      </c>
      <c r="AB30" s="68">
        <v>0</v>
      </c>
      <c r="AC30" s="69">
        <v>0</v>
      </c>
      <c r="AD30" s="69">
        <v>12.665103195773241</v>
      </c>
      <c r="AE30" s="68">
        <v>7.9999495516759938</v>
      </c>
      <c r="AF30" s="68">
        <v>4.3502301481130834</v>
      </c>
      <c r="AG30" s="68">
        <v>0.64775976918073674</v>
      </c>
      <c r="AH30" s="69">
        <v>222.51538100242615</v>
      </c>
      <c r="AI30" s="69">
        <v>952.29026184082034</v>
      </c>
      <c r="AJ30" s="69">
        <v>3049.5586558024092</v>
      </c>
      <c r="AK30" s="69">
        <v>782.09092496236156</v>
      </c>
      <c r="AL30" s="69">
        <v>3137.3752721150713</v>
      </c>
      <c r="AM30" s="69">
        <v>2735.3499258677166</v>
      </c>
      <c r="AN30" s="69">
        <v>501.39916216532384</v>
      </c>
      <c r="AO30" s="69">
        <v>1540.6162309646604</v>
      </c>
      <c r="AP30" s="69">
        <v>389.02092750867212</v>
      </c>
      <c r="AQ30" s="69">
        <v>793.8226198514302</v>
      </c>
    </row>
    <row r="31" spans="1:43">
      <c r="A31" s="11">
        <v>41206</v>
      </c>
      <c r="B31" s="59"/>
      <c r="C31" s="60">
        <v>166.21283747355113</v>
      </c>
      <c r="D31" s="60">
        <v>1461.7462720235201</v>
      </c>
      <c r="E31" s="60">
        <v>13.446247757474595</v>
      </c>
      <c r="F31" s="60">
        <v>0</v>
      </c>
      <c r="G31" s="60">
        <v>3705.58023173013</v>
      </c>
      <c r="H31" s="61">
        <v>33.61885048747066</v>
      </c>
      <c r="I31" s="59">
        <v>296.55213928222656</v>
      </c>
      <c r="J31" s="60">
        <v>574.64576702117961</v>
      </c>
      <c r="K31" s="60">
        <v>12.394293735921378</v>
      </c>
      <c r="L31" s="50">
        <v>0</v>
      </c>
      <c r="M31" s="60">
        <v>0</v>
      </c>
      <c r="N31" s="61">
        <v>0</v>
      </c>
      <c r="O31" s="59">
        <v>0</v>
      </c>
      <c r="P31" s="60">
        <v>0</v>
      </c>
      <c r="Q31" s="60">
        <v>0</v>
      </c>
      <c r="R31" s="63">
        <v>0</v>
      </c>
      <c r="S31" s="60">
        <v>0</v>
      </c>
      <c r="T31" s="64">
        <v>0</v>
      </c>
      <c r="U31" s="65">
        <v>240.97581523851349</v>
      </c>
      <c r="V31" s="62">
        <v>129.87281371690577</v>
      </c>
      <c r="W31" s="62">
        <v>19.628514910592962</v>
      </c>
      <c r="X31" s="62">
        <v>10.578698356097624</v>
      </c>
      <c r="Y31" s="66">
        <v>107.47381240216043</v>
      </c>
      <c r="Z31" s="66">
        <v>57.922519750524167</v>
      </c>
      <c r="AA31" s="67">
        <v>0</v>
      </c>
      <c r="AB31" s="68">
        <v>0</v>
      </c>
      <c r="AC31" s="69">
        <v>0</v>
      </c>
      <c r="AD31" s="69">
        <v>12.451645897494398</v>
      </c>
      <c r="AE31" s="68">
        <v>7.969798467771068</v>
      </c>
      <c r="AF31" s="68">
        <v>4.2952864408473079</v>
      </c>
      <c r="AG31" s="68">
        <v>0.64979562124114487</v>
      </c>
      <c r="AH31" s="69">
        <v>244.90425206820169</v>
      </c>
      <c r="AI31" s="69">
        <v>986.50578861236568</v>
      </c>
      <c r="AJ31" s="69">
        <v>2953.1177193959556</v>
      </c>
      <c r="AK31" s="69">
        <v>787.66486514409394</v>
      </c>
      <c r="AL31" s="69">
        <v>3218.403420384725</v>
      </c>
      <c r="AM31" s="69">
        <v>2821.8610802968342</v>
      </c>
      <c r="AN31" s="69">
        <v>528.10212901433306</v>
      </c>
      <c r="AO31" s="69">
        <v>1521.0066518783569</v>
      </c>
      <c r="AP31" s="69">
        <v>394.37114864985148</v>
      </c>
      <c r="AQ31" s="69">
        <v>593.93697109222398</v>
      </c>
    </row>
    <row r="32" spans="1:43">
      <c r="A32" s="11">
        <v>41207</v>
      </c>
      <c r="B32" s="59"/>
      <c r="C32" s="60">
        <v>138.65254484017709</v>
      </c>
      <c r="D32" s="60">
        <v>1218.7596726735424</v>
      </c>
      <c r="E32" s="60">
        <v>11.33094426691533</v>
      </c>
      <c r="F32" s="60">
        <v>0</v>
      </c>
      <c r="G32" s="60">
        <v>3200.7242827097753</v>
      </c>
      <c r="H32" s="61">
        <v>28.097521456082596</v>
      </c>
      <c r="I32" s="59">
        <v>244.39038408597355</v>
      </c>
      <c r="J32" s="60">
        <v>475.80946971575429</v>
      </c>
      <c r="K32" s="60">
        <v>10.684730087717364</v>
      </c>
      <c r="L32" s="50">
        <v>0</v>
      </c>
      <c r="M32" s="60">
        <v>0</v>
      </c>
      <c r="N32" s="61">
        <v>0</v>
      </c>
      <c r="O32" s="59">
        <v>0</v>
      </c>
      <c r="P32" s="60">
        <v>0</v>
      </c>
      <c r="Q32" s="60">
        <v>0</v>
      </c>
      <c r="R32" s="63">
        <v>0</v>
      </c>
      <c r="S32" s="60">
        <v>0</v>
      </c>
      <c r="T32" s="64">
        <v>0</v>
      </c>
      <c r="U32" s="65">
        <v>200.35293874014374</v>
      </c>
      <c r="V32" s="62">
        <v>107.30610842901567</v>
      </c>
      <c r="W32" s="62">
        <v>17.112895770374234</v>
      </c>
      <c r="X32" s="62">
        <v>9.165417091545196</v>
      </c>
      <c r="Y32" s="66">
        <v>91.060044074505839</v>
      </c>
      <c r="Z32" s="66">
        <v>48.770429944544865</v>
      </c>
      <c r="AA32" s="67">
        <v>0</v>
      </c>
      <c r="AB32" s="68">
        <v>0</v>
      </c>
      <c r="AC32" s="69">
        <v>0</v>
      </c>
      <c r="AD32" s="69">
        <v>10.626602917247329</v>
      </c>
      <c r="AE32" s="68">
        <v>6.8218139650261129</v>
      </c>
      <c r="AF32" s="68">
        <v>3.6536639473159558</v>
      </c>
      <c r="AG32" s="68">
        <v>0.6512174453624443</v>
      </c>
      <c r="AH32" s="69">
        <v>294.83686083952574</v>
      </c>
      <c r="AI32" s="69">
        <v>1058.138639386495</v>
      </c>
      <c r="AJ32" s="69">
        <v>2918.9786762237545</v>
      </c>
      <c r="AK32" s="69">
        <v>782.08825861612956</v>
      </c>
      <c r="AL32" s="69">
        <v>3154.8749904632568</v>
      </c>
      <c r="AM32" s="69">
        <v>2772.6440409342445</v>
      </c>
      <c r="AN32" s="69">
        <v>532.36326735814418</v>
      </c>
      <c r="AO32" s="69">
        <v>1514.8443261464436</v>
      </c>
      <c r="AP32" s="69">
        <v>414.32283773422245</v>
      </c>
      <c r="AQ32" s="69">
        <v>651.19718866348273</v>
      </c>
    </row>
    <row r="33" spans="1:43">
      <c r="A33" s="11">
        <v>41208</v>
      </c>
      <c r="B33" s="59"/>
      <c r="C33" s="60">
        <v>119.63709448774657</v>
      </c>
      <c r="D33" s="60">
        <v>1117.1689439773559</v>
      </c>
      <c r="E33" s="60">
        <v>10.434303686022739</v>
      </c>
      <c r="F33" s="60">
        <v>0</v>
      </c>
      <c r="G33" s="60">
        <v>2817.3069048563734</v>
      </c>
      <c r="H33" s="61">
        <v>25.612960616747582</v>
      </c>
      <c r="I33" s="59">
        <v>221.0033298174539</v>
      </c>
      <c r="J33" s="60">
        <v>420.46141894658416</v>
      </c>
      <c r="K33" s="60">
        <v>9.3532507742444775</v>
      </c>
      <c r="L33" s="50">
        <v>0</v>
      </c>
      <c r="M33" s="60">
        <v>0</v>
      </c>
      <c r="N33" s="61">
        <v>0</v>
      </c>
      <c r="O33" s="59">
        <v>0</v>
      </c>
      <c r="P33" s="60">
        <v>0</v>
      </c>
      <c r="Q33" s="60">
        <v>0</v>
      </c>
      <c r="R33" s="63">
        <v>0</v>
      </c>
      <c r="S33" s="60">
        <v>0</v>
      </c>
      <c r="T33" s="64">
        <v>0</v>
      </c>
      <c r="U33" s="65">
        <v>174.51563957205852</v>
      </c>
      <c r="V33" s="62">
        <v>97.469082713743973</v>
      </c>
      <c r="W33" s="62">
        <v>15.243675982750213</v>
      </c>
      <c r="X33" s="62">
        <v>8.513776294592228</v>
      </c>
      <c r="Y33" s="66">
        <v>76.226686706353021</v>
      </c>
      <c r="Z33" s="66">
        <v>42.57352091649291</v>
      </c>
      <c r="AA33" s="67">
        <v>0</v>
      </c>
      <c r="AB33" s="68">
        <v>0</v>
      </c>
      <c r="AC33" s="69">
        <v>0</v>
      </c>
      <c r="AD33" s="69">
        <v>9.4937892913818267</v>
      </c>
      <c r="AE33" s="68">
        <v>5.99849006345673</v>
      </c>
      <c r="AF33" s="68">
        <v>3.350228813797647</v>
      </c>
      <c r="AG33" s="68">
        <v>0.64163765562051267</v>
      </c>
      <c r="AH33" s="69">
        <v>298.6525475502014</v>
      </c>
      <c r="AI33" s="69">
        <v>1090.6281564076742</v>
      </c>
      <c r="AJ33" s="69">
        <v>2946.1833978017166</v>
      </c>
      <c r="AK33" s="69">
        <v>777.87538595199578</v>
      </c>
      <c r="AL33" s="69">
        <v>3136.9334369659423</v>
      </c>
      <c r="AM33" s="69">
        <v>2803.7311670939125</v>
      </c>
      <c r="AN33" s="69">
        <v>557.64770158131921</v>
      </c>
      <c r="AO33" s="69">
        <v>1480.1329067230224</v>
      </c>
      <c r="AP33" s="69">
        <v>419.52164929707845</v>
      </c>
      <c r="AQ33" s="69">
        <v>684.14791707992549</v>
      </c>
    </row>
    <row r="34" spans="1:43">
      <c r="A34" s="11">
        <v>41209</v>
      </c>
      <c r="B34" s="59"/>
      <c r="C34" s="60">
        <v>126.8883314410847</v>
      </c>
      <c r="D34" s="60">
        <v>1115.8307638804131</v>
      </c>
      <c r="E34" s="60">
        <v>10.387380177776022</v>
      </c>
      <c r="F34" s="60">
        <v>0</v>
      </c>
      <c r="G34" s="60">
        <v>2851.3298910776616</v>
      </c>
      <c r="H34" s="61">
        <v>25.641747442881275</v>
      </c>
      <c r="I34" s="59">
        <v>221.88837374051417</v>
      </c>
      <c r="J34" s="60">
        <v>419.83072481155432</v>
      </c>
      <c r="K34" s="60">
        <v>9.660977962116414</v>
      </c>
      <c r="L34" s="50">
        <v>0</v>
      </c>
      <c r="M34" s="60">
        <v>0</v>
      </c>
      <c r="N34" s="61">
        <v>0</v>
      </c>
      <c r="O34" s="59">
        <v>0</v>
      </c>
      <c r="P34" s="60">
        <v>0</v>
      </c>
      <c r="Q34" s="60">
        <v>0</v>
      </c>
      <c r="R34" s="63">
        <v>0</v>
      </c>
      <c r="S34" s="60">
        <v>0</v>
      </c>
      <c r="T34" s="64">
        <v>0</v>
      </c>
      <c r="U34" s="65">
        <v>172.61594956121954</v>
      </c>
      <c r="V34" s="62">
        <v>96.377152364098848</v>
      </c>
      <c r="W34" s="62">
        <v>14.958139767688609</v>
      </c>
      <c r="X34" s="62">
        <v>8.3516205723662207</v>
      </c>
      <c r="Y34" s="66">
        <v>72.076970579348625</v>
      </c>
      <c r="Z34" s="66">
        <v>40.242939271407813</v>
      </c>
      <c r="AA34" s="67">
        <v>0</v>
      </c>
      <c r="AB34" s="68">
        <v>0</v>
      </c>
      <c r="AC34" s="69">
        <v>0</v>
      </c>
      <c r="AD34" s="69">
        <v>9.4948846677939009</v>
      </c>
      <c r="AE34" s="68">
        <v>5.9999048656819811</v>
      </c>
      <c r="AF34" s="68">
        <v>3.349943889193439</v>
      </c>
      <c r="AG34" s="68">
        <v>0.64171143544470366</v>
      </c>
      <c r="AH34" s="69">
        <v>283.70340457757322</v>
      </c>
      <c r="AI34" s="69">
        <v>1050.6245766321817</v>
      </c>
      <c r="AJ34" s="69">
        <v>2995.9993640899656</v>
      </c>
      <c r="AK34" s="69">
        <v>777.54089864095033</v>
      </c>
      <c r="AL34" s="69">
        <v>3107.726579030355</v>
      </c>
      <c r="AM34" s="69">
        <v>2738.3964235941567</v>
      </c>
      <c r="AN34" s="69">
        <v>546.63115037282307</v>
      </c>
      <c r="AO34" s="69">
        <v>1425.8594832102458</v>
      </c>
      <c r="AP34" s="69">
        <v>394.53955516815182</v>
      </c>
      <c r="AQ34" s="69">
        <v>634.67720486323037</v>
      </c>
    </row>
    <row r="35" spans="1:43">
      <c r="A35" s="11">
        <v>41210</v>
      </c>
      <c r="B35" s="59"/>
      <c r="C35" s="60">
        <v>126.30960487922039</v>
      </c>
      <c r="D35" s="60">
        <v>1110.7451746622728</v>
      </c>
      <c r="E35" s="60">
        <v>10.280664774278797</v>
      </c>
      <c r="F35" s="60">
        <v>0</v>
      </c>
      <c r="G35" s="60">
        <v>2874.6592376708973</v>
      </c>
      <c r="H35" s="61">
        <v>25.540084633231146</v>
      </c>
      <c r="I35" s="59">
        <v>225.50036916732751</v>
      </c>
      <c r="J35" s="60">
        <v>419.79750744501746</v>
      </c>
      <c r="K35" s="60">
        <v>9.2544901197155411</v>
      </c>
      <c r="L35" s="50">
        <v>0</v>
      </c>
      <c r="M35" s="60">
        <v>0</v>
      </c>
      <c r="N35" s="61">
        <v>0</v>
      </c>
      <c r="O35" s="59">
        <v>0</v>
      </c>
      <c r="P35" s="60">
        <v>0</v>
      </c>
      <c r="Q35" s="60">
        <v>0</v>
      </c>
      <c r="R35" s="63">
        <v>0</v>
      </c>
      <c r="S35" s="60">
        <v>0</v>
      </c>
      <c r="T35" s="64">
        <v>0</v>
      </c>
      <c r="U35" s="65">
        <v>173.0216364991054</v>
      </c>
      <c r="V35" s="62">
        <v>96.623644550832168</v>
      </c>
      <c r="W35" s="62">
        <v>14.900292497945264</v>
      </c>
      <c r="X35" s="62">
        <v>8.3210435131466252</v>
      </c>
      <c r="Y35" s="66">
        <v>72.069087198144189</v>
      </c>
      <c r="Z35" s="66">
        <v>40.246861637864683</v>
      </c>
      <c r="AA35" s="67">
        <v>0</v>
      </c>
      <c r="AB35" s="68">
        <v>0</v>
      </c>
      <c r="AC35" s="69">
        <v>0</v>
      </c>
      <c r="AD35" s="69">
        <v>9.4846075329515624</v>
      </c>
      <c r="AE35" s="68">
        <v>5.9988755344926981</v>
      </c>
      <c r="AF35" s="68">
        <v>3.3500620447114016</v>
      </c>
      <c r="AG35" s="68">
        <v>0.64166387717003015</v>
      </c>
      <c r="AH35" s="69">
        <v>259.84040606816615</v>
      </c>
      <c r="AI35" s="69">
        <v>1009.6200841267904</v>
      </c>
      <c r="AJ35" s="69">
        <v>2969.2869878133129</v>
      </c>
      <c r="AK35" s="69">
        <v>773.65013202031446</v>
      </c>
      <c r="AL35" s="69">
        <v>3102.7003009796149</v>
      </c>
      <c r="AM35" s="69">
        <v>2693.2028992970786</v>
      </c>
      <c r="AN35" s="69">
        <v>525.85065609614048</v>
      </c>
      <c r="AO35" s="69">
        <v>1422.9372547785442</v>
      </c>
      <c r="AP35" s="69">
        <v>377.01107870737712</v>
      </c>
      <c r="AQ35" s="69">
        <v>724.08767172495538</v>
      </c>
    </row>
    <row r="36" spans="1:43">
      <c r="A36" s="11">
        <v>41211</v>
      </c>
      <c r="B36" s="59"/>
      <c r="C36" s="60">
        <v>130.56559235254898</v>
      </c>
      <c r="D36" s="60">
        <v>1119.312097676597</v>
      </c>
      <c r="E36" s="60">
        <v>10.291396359602626</v>
      </c>
      <c r="F36" s="60">
        <v>0</v>
      </c>
      <c r="G36" s="60">
        <v>2845.3968405405749</v>
      </c>
      <c r="H36" s="61">
        <v>25.587562549114242</v>
      </c>
      <c r="I36" s="59">
        <v>231.78302828470839</v>
      </c>
      <c r="J36" s="60">
        <v>419.24377888043693</v>
      </c>
      <c r="K36" s="60">
        <v>9.1524927640954452</v>
      </c>
      <c r="L36" s="50">
        <v>0</v>
      </c>
      <c r="M36" s="60">
        <v>576.193776986996</v>
      </c>
      <c r="N36" s="61">
        <v>0</v>
      </c>
      <c r="O36" s="59">
        <v>0</v>
      </c>
      <c r="P36" s="60">
        <v>0</v>
      </c>
      <c r="Q36" s="60">
        <v>0</v>
      </c>
      <c r="R36" s="63">
        <v>0</v>
      </c>
      <c r="S36" s="60">
        <v>0</v>
      </c>
      <c r="T36" s="64">
        <v>0</v>
      </c>
      <c r="U36" s="65">
        <v>176.30959055031698</v>
      </c>
      <c r="V36" s="62">
        <v>98.466675886791094</v>
      </c>
      <c r="W36" s="62">
        <v>15.046115073830723</v>
      </c>
      <c r="X36" s="62">
        <v>8.4030649252028908</v>
      </c>
      <c r="Y36" s="66">
        <v>71.920464266955832</v>
      </c>
      <c r="Z36" s="66">
        <v>40.166669450581111</v>
      </c>
      <c r="AA36" s="67">
        <v>0</v>
      </c>
      <c r="AB36" s="68">
        <v>0</v>
      </c>
      <c r="AC36" s="69">
        <v>0</v>
      </c>
      <c r="AD36" s="69">
        <v>9.4917922066317537</v>
      </c>
      <c r="AE36" s="68">
        <v>5.9979842053853902</v>
      </c>
      <c r="AF36" s="68">
        <v>3.3497983001510265</v>
      </c>
      <c r="AG36" s="68">
        <v>0.64164781346088873</v>
      </c>
      <c r="AH36" s="69">
        <v>238.33257977167767</v>
      </c>
      <c r="AI36" s="69">
        <v>979.05954093933121</v>
      </c>
      <c r="AJ36" s="69">
        <v>2956.8954385121665</v>
      </c>
      <c r="AK36" s="69">
        <v>773.41417020161941</v>
      </c>
      <c r="AL36" s="69">
        <v>3096.0223522186279</v>
      </c>
      <c r="AM36" s="69">
        <v>2743.3375890096031</v>
      </c>
      <c r="AN36" s="69">
        <v>501.66018873850498</v>
      </c>
      <c r="AO36" s="69">
        <v>1371.2356643040973</v>
      </c>
      <c r="AP36" s="69">
        <v>368.36870881716413</v>
      </c>
      <c r="AQ36" s="69">
        <v>799.74153966903691</v>
      </c>
    </row>
    <row r="37" spans="1:43">
      <c r="A37" s="11">
        <v>41212</v>
      </c>
      <c r="B37" s="59"/>
      <c r="C37" s="60">
        <v>141.52510198156006</v>
      </c>
      <c r="D37" s="60">
        <v>1226.1022800445555</v>
      </c>
      <c r="E37" s="60">
        <v>11.333171876768301</v>
      </c>
      <c r="F37" s="60">
        <v>0</v>
      </c>
      <c r="G37" s="60">
        <v>3078.8153578440142</v>
      </c>
      <c r="H37" s="61">
        <v>28.205837144454428</v>
      </c>
      <c r="I37" s="59">
        <v>218.97928225994121</v>
      </c>
      <c r="J37" s="60">
        <v>397.30718202590987</v>
      </c>
      <c r="K37" s="60">
        <v>8.4154204130172747</v>
      </c>
      <c r="L37" s="50">
        <v>0</v>
      </c>
      <c r="M37" s="60">
        <v>0</v>
      </c>
      <c r="N37" s="61">
        <v>0</v>
      </c>
      <c r="O37" s="59">
        <v>0</v>
      </c>
      <c r="P37" s="60">
        <v>0</v>
      </c>
      <c r="Q37" s="60">
        <v>0</v>
      </c>
      <c r="R37" s="63">
        <v>0</v>
      </c>
      <c r="S37" s="60">
        <v>0</v>
      </c>
      <c r="T37" s="64">
        <v>0</v>
      </c>
      <c r="U37" s="65">
        <v>165.81995668149887</v>
      </c>
      <c r="V37" s="62">
        <v>108.22482749352633</v>
      </c>
      <c r="W37" s="62">
        <v>13.945351771931083</v>
      </c>
      <c r="X37" s="62">
        <v>9.1016384279527074</v>
      </c>
      <c r="Y37" s="66">
        <v>67.944698468988122</v>
      </c>
      <c r="Z37" s="66">
        <v>44.345104280963405</v>
      </c>
      <c r="AA37" s="67">
        <v>0</v>
      </c>
      <c r="AB37" s="68">
        <v>0</v>
      </c>
      <c r="AC37" s="69">
        <v>0</v>
      </c>
      <c r="AD37" s="69">
        <v>9.5001474797725542</v>
      </c>
      <c r="AE37" s="68">
        <v>5.6564349742021038</v>
      </c>
      <c r="AF37" s="68">
        <v>3.6917552721787268</v>
      </c>
      <c r="AG37" s="68">
        <v>0.6050834252535674</v>
      </c>
      <c r="AH37" s="69">
        <v>225.33261090119677</v>
      </c>
      <c r="AI37" s="69">
        <v>917.32731189727804</v>
      </c>
      <c r="AJ37" s="69">
        <v>2987.3852375030519</v>
      </c>
      <c r="AK37" s="69">
        <v>777.73164806365992</v>
      </c>
      <c r="AL37" s="69">
        <v>4182.0627888997396</v>
      </c>
      <c r="AM37" s="69">
        <v>2762.4941516876215</v>
      </c>
      <c r="AN37" s="69">
        <v>499.66050481796265</v>
      </c>
      <c r="AO37" s="69">
        <v>1412.0950251261393</v>
      </c>
      <c r="AP37" s="69">
        <v>385.7183120568593</v>
      </c>
      <c r="AQ37" s="69">
        <v>766.33438701629632</v>
      </c>
    </row>
    <row r="38" spans="1:43" ht="15.75" thickBot="1">
      <c r="A38" s="11">
        <v>41213</v>
      </c>
      <c r="B38" s="73"/>
      <c r="C38" s="74">
        <v>159.88268502553279</v>
      </c>
      <c r="D38" s="74">
        <v>1450.5188812891654</v>
      </c>
      <c r="E38" s="74">
        <v>13.331060562531167</v>
      </c>
      <c r="F38" s="74">
        <v>0</v>
      </c>
      <c r="G38" s="74">
        <v>3700.8661582946856</v>
      </c>
      <c r="H38" s="75">
        <v>33.581484770774885</v>
      </c>
      <c r="I38" s="76">
        <v>194.21757997671787</v>
      </c>
      <c r="J38" s="74">
        <v>351.4074149608611</v>
      </c>
      <c r="K38" s="74">
        <v>7.56745994091035</v>
      </c>
      <c r="L38" s="74">
        <v>0</v>
      </c>
      <c r="M38" s="74">
        <v>0</v>
      </c>
      <c r="N38" s="75">
        <v>0</v>
      </c>
      <c r="O38" s="76">
        <v>0</v>
      </c>
      <c r="P38" s="74">
        <v>0</v>
      </c>
      <c r="Q38" s="74">
        <v>0</v>
      </c>
      <c r="R38" s="77">
        <v>0</v>
      </c>
      <c r="S38" s="74">
        <v>0</v>
      </c>
      <c r="T38" s="78">
        <v>0</v>
      </c>
      <c r="U38" s="79">
        <v>151.30398036403281</v>
      </c>
      <c r="V38" s="80">
        <v>131.63770658410729</v>
      </c>
      <c r="W38" s="81">
        <v>12.375102422350018</v>
      </c>
      <c r="X38" s="81">
        <v>10.766604405926333</v>
      </c>
      <c r="Y38" s="80">
        <v>57.596156760074678</v>
      </c>
      <c r="Z38" s="80">
        <v>50.109891132495747</v>
      </c>
      <c r="AA38" s="82">
        <v>0</v>
      </c>
      <c r="AB38" s="83">
        <v>0</v>
      </c>
      <c r="AC38" s="84">
        <v>0</v>
      </c>
      <c r="AD38" s="85">
        <v>9.494724448190798</v>
      </c>
      <c r="AE38" s="83">
        <v>4.9998502219756995</v>
      </c>
      <c r="AF38" s="83">
        <v>4.3499768803265209</v>
      </c>
      <c r="AG38" s="83">
        <v>0.53475322776231649</v>
      </c>
      <c r="AH38" s="84">
        <v>214.28182147343952</v>
      </c>
      <c r="AI38" s="84">
        <v>859.57804829279576</v>
      </c>
      <c r="AJ38" s="84">
        <v>3036.3513306935629</v>
      </c>
      <c r="AK38" s="84">
        <v>781.95346558888752</v>
      </c>
      <c r="AL38" s="84">
        <v>4602.0711558024086</v>
      </c>
      <c r="AM38" s="84">
        <v>2774.8179501851396</v>
      </c>
      <c r="AN38" s="84">
        <v>529.45268999735515</v>
      </c>
      <c r="AO38" s="84">
        <v>1512.2077639897661</v>
      </c>
      <c r="AP38" s="84">
        <v>394.93641862869265</v>
      </c>
      <c r="AQ38" s="84">
        <v>794.98389962514239</v>
      </c>
    </row>
    <row r="39" spans="1:43" ht="15.75" thickTop="1">
      <c r="A39" s="46" t="s">
        <v>170</v>
      </c>
      <c r="B39" s="29">
        <f>SUM(B8:B38)</f>
        <v>0</v>
      </c>
      <c r="C39" s="30">
        <f t="shared" ref="C39:AC39" si="0">SUM(C8:C38)</f>
        <v>3837.4164100130424</v>
      </c>
      <c r="D39" s="30">
        <f t="shared" si="0"/>
        <v>37728.882915494833</v>
      </c>
      <c r="E39" s="30">
        <f t="shared" si="0"/>
        <v>353.88130971590704</v>
      </c>
      <c r="F39" s="30">
        <f t="shared" si="0"/>
        <v>5.4733580827713029</v>
      </c>
      <c r="G39" s="30">
        <f t="shared" si="0"/>
        <v>101156.7927974702</v>
      </c>
      <c r="H39" s="31">
        <f t="shared" si="0"/>
        <v>859.86328043639787</v>
      </c>
      <c r="I39" s="29">
        <f t="shared" si="0"/>
        <v>9896.2194736639667</v>
      </c>
      <c r="J39" s="30">
        <f t="shared" si="0"/>
        <v>20795.373439772917</v>
      </c>
      <c r="K39" s="30">
        <f t="shared" si="0"/>
        <v>418.43015963137145</v>
      </c>
      <c r="L39" s="30">
        <f t="shared" si="0"/>
        <v>0</v>
      </c>
      <c r="M39" s="30">
        <f t="shared" si="0"/>
        <v>672.5541216403243</v>
      </c>
      <c r="N39" s="31">
        <f t="shared" si="0"/>
        <v>3.6298819864789649</v>
      </c>
      <c r="O39" s="260">
        <f t="shared" si="0"/>
        <v>0</v>
      </c>
      <c r="P39" s="261">
        <f t="shared" si="0"/>
        <v>0</v>
      </c>
      <c r="Q39" s="261">
        <f t="shared" si="0"/>
        <v>0</v>
      </c>
      <c r="R39" s="261">
        <f t="shared" si="0"/>
        <v>0</v>
      </c>
      <c r="S39" s="261">
        <f t="shared" si="0"/>
        <v>0</v>
      </c>
      <c r="T39" s="262">
        <f t="shared" si="0"/>
        <v>0</v>
      </c>
      <c r="U39" s="260">
        <f t="shared" si="0"/>
        <v>8055.9200396963424</v>
      </c>
      <c r="V39" s="261">
        <f t="shared" si="0"/>
        <v>3201.1057008079292</v>
      </c>
      <c r="W39" s="261">
        <f t="shared" si="0"/>
        <v>692.39009614481085</v>
      </c>
      <c r="X39" s="261">
        <f t="shared" si="0"/>
        <v>275.73503636823597</v>
      </c>
      <c r="Y39" s="261">
        <f t="shared" si="0"/>
        <v>4946.5108631494795</v>
      </c>
      <c r="Z39" s="261">
        <f t="shared" si="0"/>
        <v>1619.876023097517</v>
      </c>
      <c r="AA39" s="269">
        <f t="shared" si="0"/>
        <v>0</v>
      </c>
      <c r="AB39" s="272">
        <f t="shared" si="0"/>
        <v>30.172602107789846</v>
      </c>
      <c r="AC39" s="272">
        <f t="shared" si="0"/>
        <v>0</v>
      </c>
      <c r="AD39" s="275" t="s">
        <v>29</v>
      </c>
      <c r="AE39" s="275" t="s">
        <v>29</v>
      </c>
      <c r="AF39" s="275" t="s">
        <v>29</v>
      </c>
      <c r="AG39" s="275" t="s">
        <v>158</v>
      </c>
      <c r="AH39" s="272">
        <f t="shared" ref="AH39:AQ39" si="1">SUM(AH8:AH38)</f>
        <v>7734.0651990890501</v>
      </c>
      <c r="AI39" s="272">
        <f t="shared" si="1"/>
        <v>29673.14683300654</v>
      </c>
      <c r="AJ39" s="272">
        <f t="shared" si="1"/>
        <v>86570.911189333565</v>
      </c>
      <c r="AK39" s="272">
        <f t="shared" si="1"/>
        <v>24971.535299587249</v>
      </c>
      <c r="AL39" s="272">
        <f t="shared" si="1"/>
        <v>95592.973874441785</v>
      </c>
      <c r="AM39" s="272">
        <f t="shared" si="1"/>
        <v>81080.172486178082</v>
      </c>
      <c r="AN39" s="272">
        <f t="shared" si="1"/>
        <v>15411.359775479634</v>
      </c>
      <c r="AO39" s="272">
        <f t="shared" si="1"/>
        <v>49629.344381745665</v>
      </c>
      <c r="AP39" s="272">
        <f t="shared" si="1"/>
        <v>12746.043637220064</v>
      </c>
      <c r="AQ39" s="272">
        <f t="shared" si="1"/>
        <v>21701.175080871581</v>
      </c>
    </row>
    <row r="40" spans="1:43" ht="15.75" thickBot="1">
      <c r="A40" s="47" t="s">
        <v>171</v>
      </c>
      <c r="B40" s="32">
        <f>Projection!$AD$30</f>
        <v>0.91139353199999984</v>
      </c>
      <c r="C40" s="33">
        <f>Projection!$AD$28</f>
        <v>1.4375491199999999</v>
      </c>
      <c r="D40" s="33">
        <f>Projection!$AD$31</f>
        <v>2.1834120000000001</v>
      </c>
      <c r="E40" s="33">
        <f>Projection!$AD$26</f>
        <v>4.7363493840000004</v>
      </c>
      <c r="F40" s="33">
        <f>Projection!$AD$23</f>
        <v>5.8379999999999994E-2</v>
      </c>
      <c r="G40" s="33">
        <f>Projection!$AD$24</f>
        <v>5.3200000000000004E-2</v>
      </c>
      <c r="H40" s="34">
        <f>Projection!$AD$29</f>
        <v>3.6371774160000006</v>
      </c>
      <c r="I40" s="32">
        <f>Projection!$AD$30</f>
        <v>0.91139353199999984</v>
      </c>
      <c r="J40" s="33">
        <f>Projection!$AD$28</f>
        <v>1.4375491199999999</v>
      </c>
      <c r="K40" s="33">
        <f>Projection!$AD$26</f>
        <v>4.7363493840000004</v>
      </c>
      <c r="L40" s="33">
        <f>Projection!$AD$25</f>
        <v>0.37613399999999997</v>
      </c>
      <c r="M40" s="33">
        <f>Projection!$AD$23</f>
        <v>5.8379999999999994E-2</v>
      </c>
      <c r="N40" s="34">
        <f>Projection!$AD$23</f>
        <v>5.8379999999999994E-2</v>
      </c>
      <c r="O40" s="263">
        <v>15.77</v>
      </c>
      <c r="P40" s="264">
        <v>15.77</v>
      </c>
      <c r="Q40" s="264">
        <v>15.77</v>
      </c>
      <c r="R40" s="264">
        <v>15.77</v>
      </c>
      <c r="S40" s="264">
        <f>Projection!$AD$28</f>
        <v>1.4375491199999999</v>
      </c>
      <c r="T40" s="265">
        <f>Projection!$AD$28</f>
        <v>1.4375491199999999</v>
      </c>
      <c r="U40" s="263">
        <f>Projection!$AD$27</f>
        <v>0.26250000000000001</v>
      </c>
      <c r="V40" s="264">
        <f>Projection!$AD$27</f>
        <v>0.26250000000000001</v>
      </c>
      <c r="W40" s="264">
        <f>Projection!$AD$22</f>
        <v>1.1499999999999999</v>
      </c>
      <c r="X40" s="264">
        <f>Projection!$AD$22</f>
        <v>1.1499999999999999</v>
      </c>
      <c r="Y40" s="264">
        <f>Projection!$AD$31</f>
        <v>2.1834120000000001</v>
      </c>
      <c r="Z40" s="264">
        <f>Projection!$AD$31</f>
        <v>2.1834120000000001</v>
      </c>
      <c r="AA40" s="270">
        <v>0</v>
      </c>
      <c r="AB40" s="273">
        <f>Projection!$AD$27</f>
        <v>0.26250000000000001</v>
      </c>
      <c r="AC40" s="273">
        <f>Projection!$AD$30</f>
        <v>0.91139353199999984</v>
      </c>
      <c r="AD40" s="276">
        <f>SUM(AD8:AD38)</f>
        <v>390.51578976677513</v>
      </c>
      <c r="AE40" s="276">
        <f>SUM(AE8:AE38)</f>
        <v>275.30496366007628</v>
      </c>
      <c r="AF40" s="276">
        <f>SUM(AF8:AF38)</f>
        <v>108.6245748938115</v>
      </c>
      <c r="AG40" s="276">
        <f>IF(SUM(AE40:AF40)&gt;0, AE40/(AE40+AF40), "")</f>
        <v>0.71707158739867294</v>
      </c>
      <c r="AH40" s="303">
        <v>7.4999999999999997E-2</v>
      </c>
      <c r="AI40" s="303">
        <f t="shared" ref="AI40:AQ40" si="2">$AH$40</f>
        <v>7.4999999999999997E-2</v>
      </c>
      <c r="AJ40" s="303">
        <f t="shared" si="2"/>
        <v>7.4999999999999997E-2</v>
      </c>
      <c r="AK40" s="303">
        <f t="shared" si="2"/>
        <v>7.4999999999999997E-2</v>
      </c>
      <c r="AL40" s="303">
        <f t="shared" si="2"/>
        <v>7.4999999999999997E-2</v>
      </c>
      <c r="AM40" s="303">
        <f t="shared" si="2"/>
        <v>7.4999999999999997E-2</v>
      </c>
      <c r="AN40" s="303">
        <f t="shared" si="2"/>
        <v>7.4999999999999997E-2</v>
      </c>
      <c r="AO40" s="303">
        <f t="shared" si="2"/>
        <v>7.4999999999999997E-2</v>
      </c>
      <c r="AP40" s="303">
        <f t="shared" si="2"/>
        <v>7.4999999999999997E-2</v>
      </c>
      <c r="AQ40" s="303">
        <f t="shared" si="2"/>
        <v>7.4999999999999997E-2</v>
      </c>
    </row>
    <row r="41" spans="1:43" ht="16.5" thickTop="1" thickBot="1">
      <c r="A41" s="48" t="s">
        <v>26</v>
      </c>
      <c r="B41" s="35">
        <f t="shared" ref="B41:AC41" si="3">B40*B39</f>
        <v>0</v>
      </c>
      <c r="C41" s="36">
        <f t="shared" si="3"/>
        <v>5516.4745832878079</v>
      </c>
      <c r="D41" s="36">
        <f t="shared" si="3"/>
        <v>82377.695704286409</v>
      </c>
      <c r="E41" s="36">
        <f t="shared" si="3"/>
        <v>1676.1055232820497</v>
      </c>
      <c r="F41" s="36">
        <f t="shared" si="3"/>
        <v>0.31953464487218863</v>
      </c>
      <c r="G41" s="36">
        <f t="shared" si="3"/>
        <v>5381.5413768254157</v>
      </c>
      <c r="H41" s="37">
        <f t="shared" si="3"/>
        <v>3127.4753044509416</v>
      </c>
      <c r="I41" s="35">
        <f t="shared" si="3"/>
        <v>9019.3504195497826</v>
      </c>
      <c r="J41" s="36">
        <f t="shared" si="3"/>
        <v>29894.370788416927</v>
      </c>
      <c r="K41" s="36">
        <f t="shared" si="3"/>
        <v>1981.8314288170679</v>
      </c>
      <c r="L41" s="36">
        <f t="shared" si="3"/>
        <v>0</v>
      </c>
      <c r="M41" s="36">
        <f t="shared" si="3"/>
        <v>39.263709621362132</v>
      </c>
      <c r="N41" s="37">
        <f t="shared" si="3"/>
        <v>0.21191251037064196</v>
      </c>
      <c r="O41" s="266">
        <f t="shared" si="3"/>
        <v>0</v>
      </c>
      <c r="P41" s="267">
        <f t="shared" si="3"/>
        <v>0</v>
      </c>
      <c r="Q41" s="267">
        <f t="shared" si="3"/>
        <v>0</v>
      </c>
      <c r="R41" s="267">
        <f t="shared" si="3"/>
        <v>0</v>
      </c>
      <c r="S41" s="267">
        <f t="shared" si="3"/>
        <v>0</v>
      </c>
      <c r="T41" s="268">
        <f t="shared" si="3"/>
        <v>0</v>
      </c>
      <c r="U41" s="266">
        <f t="shared" si="3"/>
        <v>2114.6790104202901</v>
      </c>
      <c r="V41" s="267">
        <f t="shared" si="3"/>
        <v>840.29024646208143</v>
      </c>
      <c r="W41" s="267">
        <f t="shared" si="3"/>
        <v>796.24861056653242</v>
      </c>
      <c r="X41" s="267">
        <f t="shared" si="3"/>
        <v>317.09529182347131</v>
      </c>
      <c r="Y41" s="267">
        <f t="shared" si="3"/>
        <v>10800.271176730932</v>
      </c>
      <c r="Z41" s="267">
        <f t="shared" si="3"/>
        <v>3536.8567473433959</v>
      </c>
      <c r="AA41" s="271">
        <f t="shared" si="3"/>
        <v>0</v>
      </c>
      <c r="AB41" s="274">
        <f t="shared" si="3"/>
        <v>7.9203080532948347</v>
      </c>
      <c r="AC41" s="274">
        <f t="shared" si="3"/>
        <v>0</v>
      </c>
      <c r="AH41" s="277">
        <f t="shared" ref="AH41:AQ41" si="4">AH40*AH39</f>
        <v>580.05488993167876</v>
      </c>
      <c r="AI41" s="277">
        <f t="shared" si="4"/>
        <v>2225.4860124754905</v>
      </c>
      <c r="AJ41" s="277">
        <f t="shared" si="4"/>
        <v>6492.8183392000174</v>
      </c>
      <c r="AK41" s="277">
        <f t="shared" si="4"/>
        <v>1872.8651474690437</v>
      </c>
      <c r="AL41" s="277">
        <f t="shared" si="4"/>
        <v>7169.4730405831333</v>
      </c>
      <c r="AM41" s="277">
        <f t="shared" si="4"/>
        <v>6081.0129364633558</v>
      </c>
      <c r="AN41" s="277">
        <f t="shared" si="4"/>
        <v>1155.8519831609724</v>
      </c>
      <c r="AO41" s="277">
        <f t="shared" si="4"/>
        <v>3722.2008286309247</v>
      </c>
      <c r="AP41" s="277">
        <f t="shared" si="4"/>
        <v>955.95327279150479</v>
      </c>
      <c r="AQ41" s="277">
        <f t="shared" si="4"/>
        <v>1627.5881310653685</v>
      </c>
    </row>
    <row r="42" spans="1:43" ht="49.5" customHeight="1" thickTop="1" thickBot="1">
      <c r="A42" s="740" t="s">
        <v>216</v>
      </c>
      <c r="B42" s="741"/>
      <c r="C42" s="741"/>
      <c r="D42" s="741"/>
      <c r="E42" s="741"/>
      <c r="F42" s="741"/>
      <c r="G42" s="741"/>
      <c r="H42" s="741"/>
      <c r="I42" s="741"/>
      <c r="J42" s="741"/>
      <c r="K42" s="723"/>
      <c r="L42" s="44"/>
      <c r="M42" s="44"/>
      <c r="N42" s="44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  <c r="AA42" s="45"/>
      <c r="AB42" s="45"/>
      <c r="AC42" s="45"/>
      <c r="AG42" s="295" t="s">
        <v>183</v>
      </c>
      <c r="AH42" s="294">
        <v>1793.65</v>
      </c>
      <c r="AI42" s="277" t="s">
        <v>196</v>
      </c>
      <c r="AJ42" s="277">
        <v>1855.17</v>
      </c>
      <c r="AK42" s="277">
        <v>1462.56</v>
      </c>
      <c r="AL42" s="277">
        <v>2689.41</v>
      </c>
      <c r="AM42" s="277">
        <v>5414.65</v>
      </c>
      <c r="AN42" s="277">
        <v>2038.51</v>
      </c>
      <c r="AO42" s="277" t="s">
        <v>196</v>
      </c>
      <c r="AP42" s="277">
        <v>47.18</v>
      </c>
      <c r="AQ42" s="277">
        <v>783.4</v>
      </c>
    </row>
    <row r="43" spans="1:43" ht="38.25" customHeight="1" thickTop="1" thickBot="1">
      <c r="A43" s="726" t="s">
        <v>49</v>
      </c>
      <c r="B43" s="722"/>
      <c r="C43" s="288"/>
      <c r="D43" s="722" t="s">
        <v>47</v>
      </c>
      <c r="E43" s="722"/>
      <c r="F43" s="288"/>
      <c r="G43" s="722" t="s">
        <v>48</v>
      </c>
      <c r="H43" s="722"/>
      <c r="I43" s="289"/>
      <c r="J43" s="722" t="s">
        <v>50</v>
      </c>
      <c r="K43" s="723"/>
      <c r="L43" s="44"/>
      <c r="M43" s="44"/>
      <c r="N43" s="44"/>
      <c r="O43" s="45"/>
      <c r="P43" s="45"/>
      <c r="Q43" s="45"/>
      <c r="R43" s="729" t="s">
        <v>165</v>
      </c>
      <c r="S43" s="730"/>
      <c r="T43" s="730"/>
      <c r="U43" s="731"/>
      <c r="AC43" s="45"/>
    </row>
    <row r="44" spans="1:43" ht="24.75" thickTop="1" thickBot="1">
      <c r="A44" s="281" t="s">
        <v>135</v>
      </c>
      <c r="B44" s="282">
        <f>SUM(B41:AC41)</f>
        <v>157428.00167709298</v>
      </c>
      <c r="C44" s="12"/>
      <c r="D44" s="281" t="s">
        <v>135</v>
      </c>
      <c r="E44" s="282">
        <f>SUM(B41:H41)+P41+R41+T41+V41+X41+Z41</f>
        <v>102773.85431240646</v>
      </c>
      <c r="F44" s="12"/>
      <c r="G44" s="281" t="s">
        <v>135</v>
      </c>
      <c r="H44" s="282">
        <f>SUM(I41:N41)+O41+Q41+S41+U41+W41+Y41</f>
        <v>54646.227056633259</v>
      </c>
      <c r="I44" s="12"/>
      <c r="J44" s="281" t="s">
        <v>197</v>
      </c>
      <c r="K44" s="282">
        <v>137059.96</v>
      </c>
      <c r="L44" s="12"/>
      <c r="M44" s="12"/>
      <c r="N44" s="12"/>
      <c r="O44" s="12"/>
      <c r="P44" s="12"/>
      <c r="Q44" s="12"/>
      <c r="R44" s="308" t="s">
        <v>135</v>
      </c>
      <c r="S44" s="309"/>
      <c r="T44" s="304" t="s">
        <v>166</v>
      </c>
      <c r="U44" s="254" t="s">
        <v>167</v>
      </c>
    </row>
    <row r="45" spans="1:43" ht="24" thickBot="1">
      <c r="A45" s="283" t="s">
        <v>182</v>
      </c>
      <c r="B45" s="284">
        <f>SUM(AH41:AQ41)</f>
        <v>31883.304581771485</v>
      </c>
      <c r="C45" s="12"/>
      <c r="D45" s="283" t="s">
        <v>182</v>
      </c>
      <c r="E45" s="284">
        <f>AH41*(1-$AG$40)+AI41+AJ41*0.5+AL41+AM41*(1-$AG$40)+AN41*(1-$AG$40)+AO41*(1-$AG$40)+AP41*0.5+AQ41*0.5</f>
        <v>17197.88400956451</v>
      </c>
      <c r="F45" s="24"/>
      <c r="G45" s="283" t="s">
        <v>182</v>
      </c>
      <c r="H45" s="284">
        <f>AH41*AG40+AJ41*0.5+AK41+AM41*AG40+AN41*AG40+AO41*AG40+AP41*0.5+AQ41*0.5</f>
        <v>14685.42057220698</v>
      </c>
      <c r="I45" s="12"/>
      <c r="J45" s="12"/>
      <c r="K45" s="287"/>
      <c r="L45" s="12"/>
      <c r="M45" s="12"/>
      <c r="N45" s="12"/>
      <c r="O45" s="12"/>
      <c r="P45" s="12"/>
      <c r="Q45" s="12"/>
      <c r="R45" s="306" t="s">
        <v>140</v>
      </c>
      <c r="S45" s="307"/>
      <c r="T45" s="253">
        <f>$W$39+$X$39</f>
        <v>968.12513251304676</v>
      </c>
      <c r="U45" s="255">
        <f>(T45*8.34*0.895)/27000</f>
        <v>0.26764357135619021</v>
      </c>
    </row>
    <row r="46" spans="1:43" ht="32.25" thickBot="1">
      <c r="A46" s="285" t="s">
        <v>183</v>
      </c>
      <c r="B46" s="286">
        <f>SUM(AH42:AQ42)</f>
        <v>16084.529999999999</v>
      </c>
      <c r="C46" s="12"/>
      <c r="D46" s="285" t="s">
        <v>183</v>
      </c>
      <c r="E46" s="286">
        <f>AH42*(1-$AG$40)+AJ42*0.5+AL42+AM42*(1-$AG$40)+AN42*(1-$AG$40)+AP42*0.5+AQ42*0.5</f>
        <v>6648.4702749260769</v>
      </c>
      <c r="F46" s="23"/>
      <c r="G46" s="285" t="s">
        <v>183</v>
      </c>
      <c r="H46" s="286">
        <f>AH42*AG40+AJ42*0.5+AK42+AM42*AG40+AN42*AG40+AP42*0.5+AQ42*0.5</f>
        <v>9436.0597250739229</v>
      </c>
      <c r="I46" s="12"/>
      <c r="J46" s="724" t="s">
        <v>198</v>
      </c>
      <c r="K46" s="725"/>
      <c r="L46" s="12"/>
      <c r="M46" s="12"/>
      <c r="N46" s="12"/>
      <c r="O46" s="12"/>
      <c r="P46" s="12"/>
      <c r="Q46" s="12"/>
      <c r="R46" s="306" t="s">
        <v>144</v>
      </c>
      <c r="S46" s="307"/>
      <c r="T46" s="253">
        <f>$M$39+$N$39+$F$39</f>
        <v>681.6573617095745</v>
      </c>
      <c r="U46" s="256">
        <f>(((T46*8.34)*0.005)/(8.34*1.055))/400</f>
        <v>8.0765090249949583E-3</v>
      </c>
    </row>
    <row r="47" spans="1:43" ht="24.75" thickTop="1" thickBot="1">
      <c r="A47" s="285" t="s">
        <v>184</v>
      </c>
      <c r="B47" s="286">
        <f>K44</f>
        <v>137059.96</v>
      </c>
      <c r="C47" s="12"/>
      <c r="D47" s="285" t="s">
        <v>186</v>
      </c>
      <c r="E47" s="286">
        <f>K44*0.5</f>
        <v>68529.98</v>
      </c>
      <c r="F47" s="24"/>
      <c r="G47" s="285" t="s">
        <v>184</v>
      </c>
      <c r="H47" s="286">
        <f>K44*0.5</f>
        <v>68529.98</v>
      </c>
      <c r="I47" s="12"/>
      <c r="J47" s="281" t="s">
        <v>197</v>
      </c>
      <c r="K47" s="282">
        <v>62266.35</v>
      </c>
      <c r="L47" s="12"/>
      <c r="M47" s="12"/>
      <c r="N47" s="12"/>
      <c r="O47" s="12"/>
      <c r="P47" s="12"/>
      <c r="Q47" s="12"/>
      <c r="R47" s="306" t="s">
        <v>147</v>
      </c>
      <c r="S47" s="307"/>
      <c r="T47" s="253">
        <f>$G$39</f>
        <v>101156.7927974702</v>
      </c>
      <c r="U47" s="255">
        <f>T47/40000</f>
        <v>2.5289198199367551</v>
      </c>
    </row>
    <row r="48" spans="1:43" ht="24" thickBot="1">
      <c r="A48" s="285" t="s">
        <v>185</v>
      </c>
      <c r="B48" s="286">
        <f>K47</f>
        <v>62266.35</v>
      </c>
      <c r="C48" s="12"/>
      <c r="D48" s="285" t="s">
        <v>185</v>
      </c>
      <c r="E48" s="286">
        <f>K47*0.5</f>
        <v>31133.174999999999</v>
      </c>
      <c r="F48" s="23"/>
      <c r="G48" s="285" t="s">
        <v>185</v>
      </c>
      <c r="H48" s="286">
        <f>K47*0.5</f>
        <v>31133.174999999999</v>
      </c>
      <c r="I48" s="12"/>
      <c r="J48" s="12"/>
      <c r="K48" s="86"/>
      <c r="L48" s="12"/>
      <c r="M48" s="12"/>
      <c r="N48" s="12"/>
      <c r="O48" s="12"/>
      <c r="P48" s="12"/>
      <c r="Q48" s="12"/>
      <c r="R48" s="306" t="s">
        <v>149</v>
      </c>
      <c r="S48" s="307"/>
      <c r="T48" s="253">
        <f>$L$39</f>
        <v>0</v>
      </c>
      <c r="U48" s="255">
        <f>T48*9.34*0.107</f>
        <v>0</v>
      </c>
    </row>
    <row r="49" spans="1:25" ht="48" thickTop="1" thickBot="1">
      <c r="A49" s="290" t="s">
        <v>193</v>
      </c>
      <c r="B49" s="291">
        <f>AD40</f>
        <v>390.51578976677513</v>
      </c>
      <c r="C49" s="12"/>
      <c r="D49" s="290" t="s">
        <v>194</v>
      </c>
      <c r="E49" s="291">
        <f>AF40</f>
        <v>108.6245748938115</v>
      </c>
      <c r="F49" s="23"/>
      <c r="G49" s="290" t="s">
        <v>195</v>
      </c>
      <c r="H49" s="291">
        <f>AE40</f>
        <v>275.30496366007628</v>
      </c>
      <c r="I49" s="12"/>
      <c r="J49" s="12"/>
      <c r="K49" s="86"/>
      <c r="L49" s="12"/>
      <c r="M49" s="12"/>
      <c r="N49" s="12"/>
      <c r="O49" s="12"/>
      <c r="P49" s="12"/>
      <c r="Q49" s="12"/>
      <c r="R49" s="306" t="s">
        <v>151</v>
      </c>
      <c r="S49" s="307"/>
      <c r="T49" s="253">
        <f>$E$39+$K$39</f>
        <v>772.31146934727849</v>
      </c>
      <c r="U49" s="255">
        <f>(T49*8.34*1.04)/45000</f>
        <v>0.14886046134512343</v>
      </c>
    </row>
    <row r="50" spans="1:25" ht="48" thickTop="1" thickBot="1">
      <c r="A50" s="290" t="s">
        <v>189</v>
      </c>
      <c r="B50" s="292">
        <f>(SUM(B44:B48)/AD40)</f>
        <v>1036.3784432393211</v>
      </c>
      <c r="C50" s="12"/>
      <c r="D50" s="290" t="s">
        <v>187</v>
      </c>
      <c r="E50" s="292">
        <f>SUM(E44:E48)/AF40</f>
        <v>2083.1691522669307</v>
      </c>
      <c r="F50" s="23"/>
      <c r="G50" s="290" t="s">
        <v>188</v>
      </c>
      <c r="H50" s="292">
        <f>SUM(H44:H48)/AE40</f>
        <v>648.12076027160106</v>
      </c>
      <c r="I50" s="12"/>
      <c r="J50" s="12"/>
      <c r="K50" s="86"/>
      <c r="L50" s="12"/>
      <c r="M50" s="12"/>
      <c r="N50" s="12"/>
      <c r="O50" s="12"/>
      <c r="P50" s="12"/>
      <c r="Q50" s="12"/>
      <c r="R50" s="306" t="s">
        <v>152</v>
      </c>
      <c r="S50" s="307"/>
      <c r="T50" s="253">
        <f>$U$39+$V$39+$AB$39</f>
        <v>11287.198342612062</v>
      </c>
      <c r="U50" s="255">
        <f>T50/2000/8</f>
        <v>0.70544989641325384</v>
      </c>
    </row>
    <row r="51" spans="1:25" ht="48" thickTop="1" thickBot="1">
      <c r="A51" s="280" t="s">
        <v>190</v>
      </c>
      <c r="B51" s="293">
        <f>B50/1000</f>
        <v>1.036378443239321</v>
      </c>
      <c r="C51" s="12"/>
      <c r="D51" s="280" t="s">
        <v>191</v>
      </c>
      <c r="E51" s="293">
        <f>E50/1000</f>
        <v>2.0831691522669309</v>
      </c>
      <c r="F51" s="12"/>
      <c r="G51" s="280" t="s">
        <v>192</v>
      </c>
      <c r="H51" s="293">
        <f>H50/1000</f>
        <v>0.64812076027160104</v>
      </c>
      <c r="I51" s="12"/>
      <c r="J51" s="12"/>
      <c r="K51" s="86"/>
      <c r="L51" s="12"/>
      <c r="M51" s="12"/>
      <c r="N51" s="12"/>
      <c r="O51" s="12"/>
      <c r="P51" s="12"/>
      <c r="Q51" s="12"/>
      <c r="R51" s="306" t="s">
        <v>153</v>
      </c>
      <c r="S51" s="307"/>
      <c r="T51" s="253">
        <f>$C$39+$J$39+$S$39+$T$39</f>
        <v>24632.789849785961</v>
      </c>
      <c r="U51" s="255">
        <f>(T51*8.34*1.4)/45000</f>
        <v>6.3913878730244633</v>
      </c>
    </row>
    <row r="52" spans="1:25" ht="16.5" thickTop="1" thickBot="1">
      <c r="A52" s="301"/>
      <c r="B52" s="12"/>
      <c r="C52" s="12"/>
      <c r="D52" s="12"/>
      <c r="E52" s="12"/>
      <c r="F52" s="12"/>
      <c r="G52" s="12"/>
      <c r="H52" s="12"/>
      <c r="I52" s="12"/>
      <c r="J52" s="12"/>
      <c r="K52" s="86"/>
      <c r="L52" s="12"/>
      <c r="M52" s="12"/>
      <c r="N52" s="12"/>
      <c r="O52" s="12"/>
      <c r="P52" s="12"/>
      <c r="Q52" s="12"/>
      <c r="R52" s="306" t="s">
        <v>154</v>
      </c>
      <c r="S52" s="307"/>
      <c r="T52" s="253">
        <f>$H$39</f>
        <v>859.86328043639787</v>
      </c>
      <c r="U52" s="255">
        <f>(T52*8.34*1.135)/45000</f>
        <v>0.18087510725073108</v>
      </c>
    </row>
    <row r="53" spans="1:25" ht="33" thickTop="1" thickBot="1">
      <c r="A53" s="732" t="s">
        <v>51</v>
      </c>
      <c r="B53" s="733"/>
      <c r="C53" s="733"/>
      <c r="D53" s="733"/>
      <c r="E53" s="734"/>
      <c r="F53" s="12"/>
      <c r="G53" s="12"/>
      <c r="H53" s="12"/>
      <c r="I53" s="12"/>
      <c r="J53" s="12"/>
      <c r="K53" s="86"/>
      <c r="L53" s="12"/>
      <c r="M53" s="12"/>
      <c r="N53" s="12"/>
      <c r="O53" s="12"/>
      <c r="P53" s="12"/>
      <c r="Q53" s="12"/>
      <c r="R53" s="306" t="s">
        <v>155</v>
      </c>
      <c r="S53" s="307"/>
      <c r="T53" s="253">
        <f>$B$39+$I$39+$AC$39</f>
        <v>9896.2194736639667</v>
      </c>
      <c r="U53" s="255">
        <f>(T53*8.34*1.029*0.03)/3300</f>
        <v>0.77207245502052568</v>
      </c>
    </row>
    <row r="54" spans="1:25" ht="59.25" customHeight="1" thickBot="1">
      <c r="A54" s="735" t="s">
        <v>199</v>
      </c>
      <c r="B54" s="736"/>
      <c r="C54" s="736"/>
      <c r="D54" s="736"/>
      <c r="E54" s="737"/>
      <c r="F54" s="87"/>
      <c r="G54" s="87"/>
      <c r="H54" s="87"/>
      <c r="I54" s="87"/>
      <c r="J54" s="87"/>
      <c r="K54" s="88"/>
      <c r="L54" s="12"/>
      <c r="M54" s="12"/>
      <c r="N54" s="12"/>
      <c r="O54" s="12"/>
      <c r="P54" s="12"/>
      <c r="Q54" s="12"/>
      <c r="R54" s="738" t="s">
        <v>157</v>
      </c>
      <c r="S54" s="739"/>
      <c r="T54" s="257">
        <f>$D$39+$Y$39+$Z$39</f>
        <v>44295.26980174183</v>
      </c>
      <c r="U54" s="258">
        <f>(T54*1.54*8.34)/45000</f>
        <v>12.642460605014476</v>
      </c>
      <c r="V54" s="313"/>
      <c r="W54" s="12"/>
    </row>
    <row r="55" spans="1:25" ht="15.75" thickTop="1"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310"/>
      <c r="T55" s="767"/>
      <c r="U55" s="767"/>
      <c r="V55" s="311"/>
      <c r="W55" s="312"/>
      <c r="X55" s="310"/>
      <c r="Y55" s="310"/>
    </row>
    <row r="56" spans="1:25"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310"/>
      <c r="T56" s="768"/>
      <c r="U56" s="768"/>
      <c r="V56" s="311"/>
      <c r="W56" s="312"/>
      <c r="X56" s="310"/>
      <c r="Y56" s="310"/>
    </row>
    <row r="57" spans="1:25"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310"/>
      <c r="T57" s="768"/>
      <c r="U57" s="768"/>
      <c r="V57" s="311"/>
      <c r="W57" s="312"/>
      <c r="X57" s="310"/>
      <c r="Y57" s="310"/>
    </row>
    <row r="58" spans="1:25"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310"/>
      <c r="T58" s="768"/>
      <c r="U58" s="768"/>
      <c r="V58" s="311"/>
      <c r="W58" s="312"/>
      <c r="X58" s="310"/>
      <c r="Y58" s="310"/>
    </row>
    <row r="59" spans="1:25"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310"/>
      <c r="T59" s="768"/>
      <c r="U59" s="768"/>
      <c r="V59" s="311"/>
      <c r="W59" s="312"/>
      <c r="X59" s="310"/>
      <c r="Y59" s="310"/>
    </row>
    <row r="60" spans="1:25">
      <c r="S60" s="310"/>
      <c r="T60" s="768"/>
      <c r="U60" s="768"/>
      <c r="V60" s="311"/>
      <c r="W60" s="312"/>
      <c r="X60" s="310"/>
      <c r="Y60" s="310"/>
    </row>
    <row r="61" spans="1:25">
      <c r="S61" s="310"/>
      <c r="T61" s="768"/>
      <c r="U61" s="768"/>
      <c r="V61" s="311"/>
      <c r="W61" s="312"/>
      <c r="X61" s="310"/>
      <c r="Y61" s="310"/>
    </row>
    <row r="62" spans="1:25">
      <c r="S62" s="310"/>
      <c r="T62" s="768"/>
      <c r="U62" s="768"/>
      <c r="V62" s="311"/>
      <c r="W62" s="312"/>
      <c r="X62" s="310"/>
      <c r="Y62" s="310"/>
    </row>
    <row r="63" spans="1:25">
      <c r="S63" s="310"/>
      <c r="T63" s="310"/>
      <c r="U63" s="310"/>
      <c r="V63" s="310"/>
      <c r="W63" s="310"/>
      <c r="X63" s="310"/>
      <c r="Y63" s="310"/>
    </row>
    <row r="64" spans="1:25">
      <c r="S64" s="310"/>
      <c r="T64" s="310"/>
      <c r="U64" s="310"/>
      <c r="V64" s="310"/>
      <c r="W64" s="310"/>
      <c r="X64" s="310"/>
      <c r="Y64" s="310"/>
    </row>
    <row r="65" spans="19:25">
      <c r="S65" s="310"/>
      <c r="T65" s="310"/>
      <c r="U65" s="310"/>
      <c r="V65" s="310"/>
      <c r="W65" s="310"/>
      <c r="X65" s="310"/>
      <c r="Y65" s="310"/>
    </row>
    <row r="66" spans="19:25">
      <c r="S66" s="310"/>
      <c r="T66" s="310"/>
      <c r="U66" s="310"/>
      <c r="V66" s="310"/>
      <c r="W66" s="310"/>
      <c r="X66" s="310"/>
      <c r="Y66" s="310"/>
    </row>
  </sheetData>
  <sheetProtection password="A25B" sheet="1" objects="1" scenarios="1" selectLockedCells="1" selectUnlockedCells="1"/>
  <customSheetViews>
    <customSheetView guid="{322E6371-A03C-4BCA-B267-212DFC76880A}" scale="75" fitToPage="1" topLeftCell="A13">
      <selection activeCell="F43" sqref="F43"/>
      <pageMargins left="0.33" right="0.19" top="0.75" bottom="0.75" header="0.3" footer="0.3"/>
      <pageSetup scale="50" orientation="landscape" r:id="rId1"/>
    </customSheetView>
  </customSheetViews>
  <mergeCells count="38">
    <mergeCell ref="AG4:AG5"/>
    <mergeCell ref="AB4:AB5"/>
    <mergeCell ref="AC4:AC5"/>
    <mergeCell ref="AD4:AD5"/>
    <mergeCell ref="AE4:AE5"/>
    <mergeCell ref="AF4:AF5"/>
    <mergeCell ref="AN4:AN5"/>
    <mergeCell ref="AO4:AO5"/>
    <mergeCell ref="AP4:AP5"/>
    <mergeCell ref="AQ4:AQ5"/>
    <mergeCell ref="AH4:AH5"/>
    <mergeCell ref="AI4:AI5"/>
    <mergeCell ref="AJ4:AJ5"/>
    <mergeCell ref="AK4:AK5"/>
    <mergeCell ref="AL4:AL5"/>
    <mergeCell ref="AM4:AM5"/>
    <mergeCell ref="T61:U61"/>
    <mergeCell ref="T62:U62"/>
    <mergeCell ref="T56:U56"/>
    <mergeCell ref="T57:U57"/>
    <mergeCell ref="T58:U58"/>
    <mergeCell ref="T59:U59"/>
    <mergeCell ref="T60:U60"/>
    <mergeCell ref="T55:U55"/>
    <mergeCell ref="O4:T5"/>
    <mergeCell ref="U4:AA5"/>
    <mergeCell ref="B4:H5"/>
    <mergeCell ref="I4:N5"/>
    <mergeCell ref="G43:H43"/>
    <mergeCell ref="D43:E43"/>
    <mergeCell ref="A43:B43"/>
    <mergeCell ref="A42:K42"/>
    <mergeCell ref="J43:K43"/>
    <mergeCell ref="R43:U43"/>
    <mergeCell ref="J46:K46"/>
    <mergeCell ref="A53:E53"/>
    <mergeCell ref="A54:E54"/>
    <mergeCell ref="R54:S54"/>
  </mergeCells>
  <pageMargins left="0.33" right="0.19" top="0.75" bottom="0.75" header="0.3" footer="0.3"/>
  <pageSetup scale="50" orientation="landscape"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BA69"/>
  <sheetViews>
    <sheetView topLeftCell="A19" zoomScale="80" zoomScaleNormal="80" workbookViewId="0">
      <selection activeCell="F62" sqref="F62"/>
    </sheetView>
  </sheetViews>
  <sheetFormatPr defaultRowHeight="15"/>
  <cols>
    <col min="1" max="1" width="26.28515625" customWidth="1"/>
    <col min="2" max="2" width="19.85546875" bestFit="1" customWidth="1"/>
    <col min="3" max="3" width="27.7109375" bestFit="1" customWidth="1"/>
    <col min="4" max="4" width="29.5703125" customWidth="1"/>
    <col min="5" max="5" width="22.28515625" bestFit="1" customWidth="1"/>
    <col min="6" max="6" width="15" bestFit="1" customWidth="1"/>
    <col min="7" max="7" width="35.5703125" customWidth="1"/>
    <col min="8" max="8" width="19.85546875" bestFit="1" customWidth="1"/>
    <col min="9" max="9" width="15" bestFit="1" customWidth="1"/>
    <col min="10" max="10" width="16.42578125" bestFit="1" customWidth="1"/>
    <col min="11" max="11" width="19.85546875" bestFit="1" customWidth="1"/>
    <col min="12" max="12" width="17.140625" bestFit="1" customWidth="1"/>
    <col min="13" max="13" width="16.140625" bestFit="1" customWidth="1"/>
    <col min="14" max="14" width="15.140625" bestFit="1" customWidth="1"/>
    <col min="15" max="16" width="16.28515625" bestFit="1" customWidth="1"/>
    <col min="17" max="17" width="24.140625" bestFit="1" customWidth="1"/>
    <col min="18" max="18" width="24.5703125" bestFit="1" customWidth="1"/>
    <col min="19" max="19" width="26.140625" bestFit="1" customWidth="1"/>
    <col min="20" max="20" width="26" bestFit="1" customWidth="1"/>
    <col min="21" max="22" width="14.5703125" bestFit="1" customWidth="1"/>
    <col min="23" max="23" width="20.42578125" bestFit="1" customWidth="1"/>
    <col min="24" max="24" width="20.140625" bestFit="1" customWidth="1"/>
    <col min="25" max="25" width="22.7109375" bestFit="1" customWidth="1"/>
    <col min="26" max="26" width="22.42578125" bestFit="1" customWidth="1"/>
    <col min="27" max="27" width="21.42578125" bestFit="1" customWidth="1"/>
    <col min="28" max="28" width="33" bestFit="1" customWidth="1"/>
    <col min="29" max="29" width="36.7109375" customWidth="1"/>
    <col min="30" max="30" width="33.28515625" bestFit="1" customWidth="1"/>
    <col min="31" max="31" width="26.85546875" customWidth="1"/>
    <col min="32" max="32" width="23" customWidth="1"/>
    <col min="33" max="33" width="22.28515625" customWidth="1"/>
    <col min="34" max="34" width="23" bestFit="1" customWidth="1"/>
    <col min="35" max="35" width="17" bestFit="1" customWidth="1"/>
    <col min="36" max="36" width="17.5703125" bestFit="1" customWidth="1"/>
    <col min="37" max="38" width="15.85546875" bestFit="1" customWidth="1"/>
    <col min="39" max="39" width="21.85546875" bestFit="1" customWidth="1"/>
    <col min="40" max="40" width="18.7109375" bestFit="1" customWidth="1"/>
    <col min="41" max="43" width="15.85546875" bestFit="1" customWidth="1"/>
  </cols>
  <sheetData>
    <row r="1" spans="1:53" ht="15" customHeight="1">
      <c r="A1" s="1" t="s">
        <v>0</v>
      </c>
      <c r="B1" s="2"/>
      <c r="C1" t="s">
        <v>1</v>
      </c>
      <c r="O1" s="3"/>
      <c r="P1" s="4"/>
      <c r="Q1" s="4"/>
      <c r="R1" s="4"/>
    </row>
    <row r="2" spans="1:53" ht="15" customHeight="1">
      <c r="A2" s="1" t="s">
        <v>2</v>
      </c>
      <c r="B2" s="5"/>
      <c r="O2" s="4"/>
      <c r="P2" s="4"/>
      <c r="Q2" s="4"/>
      <c r="R2" s="4"/>
    </row>
    <row r="3" spans="1:53" ht="15.75" thickBot="1">
      <c r="A3" s="6"/>
      <c r="AZ3" t="s">
        <v>168</v>
      </c>
      <c r="BA3" s="259" t="s">
        <v>205</v>
      </c>
    </row>
    <row r="4" spans="1:53" ht="30" customHeight="1" thickTop="1">
      <c r="A4" s="13"/>
      <c r="B4" s="744" t="s">
        <v>3</v>
      </c>
      <c r="C4" s="745"/>
      <c r="D4" s="745"/>
      <c r="E4" s="745"/>
      <c r="F4" s="745"/>
      <c r="G4" s="745"/>
      <c r="H4" s="746"/>
      <c r="I4" s="744" t="s">
        <v>4</v>
      </c>
      <c r="J4" s="745"/>
      <c r="K4" s="745"/>
      <c r="L4" s="745"/>
      <c r="M4" s="745"/>
      <c r="N4" s="746"/>
      <c r="O4" s="750" t="s">
        <v>5</v>
      </c>
      <c r="P4" s="751"/>
      <c r="Q4" s="752"/>
      <c r="R4" s="752"/>
      <c r="S4" s="752"/>
      <c r="T4" s="753"/>
      <c r="U4" s="744" t="s">
        <v>6</v>
      </c>
      <c r="V4" s="757"/>
      <c r="W4" s="757"/>
      <c r="X4" s="757"/>
      <c r="Y4" s="757"/>
      <c r="Z4" s="757"/>
      <c r="AA4" s="758"/>
      <c r="AB4" s="727" t="s">
        <v>7</v>
      </c>
      <c r="AC4" s="763" t="s">
        <v>8</v>
      </c>
      <c r="AD4" s="742" t="s">
        <v>27</v>
      </c>
      <c r="AE4" s="742" t="s">
        <v>31</v>
      </c>
      <c r="AF4" s="742" t="s">
        <v>32</v>
      </c>
      <c r="AG4" s="742" t="s">
        <v>33</v>
      </c>
      <c r="AH4" s="727" t="s">
        <v>172</v>
      </c>
      <c r="AI4" s="727" t="s">
        <v>173</v>
      </c>
      <c r="AJ4" s="727" t="s">
        <v>174</v>
      </c>
      <c r="AK4" s="727" t="s">
        <v>175</v>
      </c>
      <c r="AL4" s="727" t="s">
        <v>176</v>
      </c>
      <c r="AM4" s="727" t="s">
        <v>177</v>
      </c>
      <c r="AN4" s="727" t="s">
        <v>178</v>
      </c>
      <c r="AO4" s="727" t="s">
        <v>181</v>
      </c>
      <c r="AP4" s="727" t="s">
        <v>179</v>
      </c>
      <c r="AQ4" s="727" t="s">
        <v>180</v>
      </c>
    </row>
    <row r="5" spans="1:53" ht="30" customHeight="1" thickBot="1">
      <c r="A5" s="13"/>
      <c r="B5" s="747"/>
      <c r="C5" s="748"/>
      <c r="D5" s="748"/>
      <c r="E5" s="748"/>
      <c r="F5" s="748"/>
      <c r="G5" s="748"/>
      <c r="H5" s="749"/>
      <c r="I5" s="747"/>
      <c r="J5" s="748"/>
      <c r="K5" s="748"/>
      <c r="L5" s="748"/>
      <c r="M5" s="748"/>
      <c r="N5" s="749"/>
      <c r="O5" s="754"/>
      <c r="P5" s="755"/>
      <c r="Q5" s="755"/>
      <c r="R5" s="755"/>
      <c r="S5" s="755"/>
      <c r="T5" s="756"/>
      <c r="U5" s="759"/>
      <c r="V5" s="760"/>
      <c r="W5" s="760"/>
      <c r="X5" s="760"/>
      <c r="Y5" s="760"/>
      <c r="Z5" s="760"/>
      <c r="AA5" s="761"/>
      <c r="AB5" s="762"/>
      <c r="AC5" s="764"/>
      <c r="AD5" s="743"/>
      <c r="AE5" s="743"/>
      <c r="AF5" s="743"/>
      <c r="AG5" s="743"/>
      <c r="AH5" s="728"/>
      <c r="AI5" s="728"/>
      <c r="AJ5" s="728"/>
      <c r="AK5" s="728"/>
      <c r="AL5" s="728"/>
      <c r="AM5" s="728"/>
      <c r="AN5" s="728"/>
      <c r="AO5" s="728"/>
      <c r="AP5" s="728"/>
      <c r="AQ5" s="728"/>
    </row>
    <row r="6" spans="1:53" ht="18">
      <c r="A6" s="7"/>
      <c r="B6" s="14" t="s">
        <v>9</v>
      </c>
      <c r="C6" s="8" t="s">
        <v>10</v>
      </c>
      <c r="D6" s="8" t="s">
        <v>11</v>
      </c>
      <c r="E6" s="8" t="s">
        <v>12</v>
      </c>
      <c r="F6" s="8" t="s">
        <v>13</v>
      </c>
      <c r="G6" s="8" t="s">
        <v>14</v>
      </c>
      <c r="H6" s="15" t="s">
        <v>15</v>
      </c>
      <c r="I6" s="16" t="s">
        <v>9</v>
      </c>
      <c r="J6" s="8" t="s">
        <v>16</v>
      </c>
      <c r="K6" s="8" t="s">
        <v>17</v>
      </c>
      <c r="L6" s="9" t="s">
        <v>18</v>
      </c>
      <c r="M6" s="8" t="s">
        <v>19</v>
      </c>
      <c r="N6" s="15" t="s">
        <v>13</v>
      </c>
      <c r="O6" s="14" t="s">
        <v>35</v>
      </c>
      <c r="P6" s="9" t="s">
        <v>36</v>
      </c>
      <c r="Q6" s="9" t="s">
        <v>37</v>
      </c>
      <c r="R6" s="9" t="s">
        <v>38</v>
      </c>
      <c r="S6" s="8" t="s">
        <v>39</v>
      </c>
      <c r="T6" s="39" t="s">
        <v>40</v>
      </c>
      <c r="U6" s="17" t="s">
        <v>41</v>
      </c>
      <c r="V6" s="8" t="s">
        <v>42</v>
      </c>
      <c r="W6" s="8" t="s">
        <v>43</v>
      </c>
      <c r="X6" s="8" t="s">
        <v>44</v>
      </c>
      <c r="Y6" s="8" t="s">
        <v>45</v>
      </c>
      <c r="Z6" s="8" t="s">
        <v>46</v>
      </c>
      <c r="AA6" s="18" t="s">
        <v>20</v>
      </c>
      <c r="AB6" s="19" t="s">
        <v>21</v>
      </c>
      <c r="AC6" s="19" t="s">
        <v>22</v>
      </c>
      <c r="AD6" s="42" t="s">
        <v>30</v>
      </c>
      <c r="AE6" s="42"/>
      <c r="AF6" s="42"/>
      <c r="AG6" s="42"/>
      <c r="AH6" s="42"/>
      <c r="AI6" s="42"/>
      <c r="AJ6" s="42"/>
      <c r="AK6" s="42"/>
      <c r="AL6" s="42"/>
      <c r="AM6" s="42"/>
      <c r="AN6" s="42"/>
      <c r="AO6" s="42"/>
      <c r="AP6" s="42"/>
      <c r="AQ6" s="42"/>
    </row>
    <row r="7" spans="1:53" ht="15.75" thickBot="1">
      <c r="A7" s="7"/>
      <c r="B7" s="20" t="s">
        <v>23</v>
      </c>
      <c r="C7" s="10" t="s">
        <v>23</v>
      </c>
      <c r="D7" s="10" t="s">
        <v>23</v>
      </c>
      <c r="E7" s="10" t="s">
        <v>23</v>
      </c>
      <c r="F7" s="10" t="s">
        <v>23</v>
      </c>
      <c r="G7" s="10" t="s">
        <v>24</v>
      </c>
      <c r="H7" s="21" t="s">
        <v>23</v>
      </c>
      <c r="I7" s="20" t="s">
        <v>23</v>
      </c>
      <c r="J7" s="10" t="s">
        <v>23</v>
      </c>
      <c r="K7" s="10" t="s">
        <v>23</v>
      </c>
      <c r="L7" s="10" t="s">
        <v>23</v>
      </c>
      <c r="M7" s="10" t="s">
        <v>23</v>
      </c>
      <c r="N7" s="21" t="s">
        <v>23</v>
      </c>
      <c r="O7" s="20" t="s">
        <v>23</v>
      </c>
      <c r="P7" s="10" t="s">
        <v>23</v>
      </c>
      <c r="Q7" s="10" t="s">
        <v>23</v>
      </c>
      <c r="R7" s="10" t="s">
        <v>23</v>
      </c>
      <c r="S7" s="10" t="s">
        <v>23</v>
      </c>
      <c r="T7" s="40" t="s">
        <v>23</v>
      </c>
      <c r="U7" s="20" t="s">
        <v>25</v>
      </c>
      <c r="V7" s="10" t="s">
        <v>25</v>
      </c>
      <c r="W7" s="10" t="s">
        <v>23</v>
      </c>
      <c r="X7" s="10" t="s">
        <v>23</v>
      </c>
      <c r="Y7" s="10" t="s">
        <v>23</v>
      </c>
      <c r="Z7" s="10" t="s">
        <v>23</v>
      </c>
      <c r="AA7" s="21" t="s">
        <v>23</v>
      </c>
      <c r="AB7" s="22" t="s">
        <v>25</v>
      </c>
      <c r="AC7" s="305" t="s">
        <v>23</v>
      </c>
      <c r="AD7" s="22" t="s">
        <v>28</v>
      </c>
      <c r="AE7" s="22" t="s">
        <v>28</v>
      </c>
      <c r="AF7" s="22" t="s">
        <v>28</v>
      </c>
      <c r="AG7" s="22" t="s">
        <v>34</v>
      </c>
      <c r="AH7" s="22" t="s">
        <v>169</v>
      </c>
      <c r="AI7" s="22" t="s">
        <v>169</v>
      </c>
      <c r="AJ7" s="22" t="s">
        <v>169</v>
      </c>
      <c r="AK7" s="22" t="s">
        <v>169</v>
      </c>
      <c r="AL7" s="22" t="s">
        <v>169</v>
      </c>
      <c r="AM7" s="22" t="s">
        <v>169</v>
      </c>
      <c r="AN7" s="22" t="s">
        <v>169</v>
      </c>
      <c r="AO7" s="22" t="s">
        <v>169</v>
      </c>
      <c r="AP7" s="22" t="s">
        <v>169</v>
      </c>
      <c r="AQ7" s="22" t="s">
        <v>169</v>
      </c>
    </row>
    <row r="8" spans="1:53">
      <c r="A8" s="11">
        <v>41214</v>
      </c>
      <c r="B8" s="49"/>
      <c r="C8" s="50">
        <v>162.4792176405586</v>
      </c>
      <c r="D8" s="50">
        <v>1449.6192183176677</v>
      </c>
      <c r="E8" s="50">
        <v>13.335512289901578</v>
      </c>
      <c r="F8" s="50">
        <v>0</v>
      </c>
      <c r="G8" s="50">
        <v>3706.1084027608258</v>
      </c>
      <c r="H8" s="51">
        <v>33.329932516813322</v>
      </c>
      <c r="I8" s="49">
        <v>269.46080056031582</v>
      </c>
      <c r="J8" s="50">
        <v>487.4323041439053</v>
      </c>
      <c r="K8" s="50">
        <v>10.747353383402032</v>
      </c>
      <c r="L8" s="50">
        <v>0</v>
      </c>
      <c r="M8" s="50">
        <v>0</v>
      </c>
      <c r="N8" s="51">
        <v>0</v>
      </c>
      <c r="O8" s="49">
        <v>0</v>
      </c>
      <c r="P8" s="50">
        <v>0</v>
      </c>
      <c r="Q8" s="50">
        <v>0</v>
      </c>
      <c r="R8" s="50">
        <v>0</v>
      </c>
      <c r="S8" s="50">
        <v>0</v>
      </c>
      <c r="T8" s="52">
        <v>0</v>
      </c>
      <c r="U8" s="53">
        <v>200.78554026754401</v>
      </c>
      <c r="V8" s="54">
        <v>133.86491049191997</v>
      </c>
      <c r="W8" s="54">
        <v>16.071226910075485</v>
      </c>
      <c r="X8" s="54">
        <v>10.714782294312203</v>
      </c>
      <c r="Y8" s="54">
        <v>70.855398773590423</v>
      </c>
      <c r="Z8" s="54">
        <v>47.239714583317479</v>
      </c>
      <c r="AA8" s="55">
        <v>0</v>
      </c>
      <c r="AB8" s="56">
        <v>0</v>
      </c>
      <c r="AC8" s="57">
        <v>0</v>
      </c>
      <c r="AD8" s="57">
        <v>10.760674846503463</v>
      </c>
      <c r="AE8" s="58">
        <v>6.3535770931966997</v>
      </c>
      <c r="AF8" s="58">
        <v>4.2359675290908969</v>
      </c>
      <c r="AG8" s="58">
        <v>0.59998586528682796</v>
      </c>
      <c r="AH8" s="57">
        <v>216.18765090306599</v>
      </c>
      <c r="AI8" s="57">
        <v>861.17116006215417</v>
      </c>
      <c r="AJ8" s="57">
        <v>3046.4425338745118</v>
      </c>
      <c r="AK8" s="57">
        <v>787.67922128041585</v>
      </c>
      <c r="AL8" s="57">
        <v>3703.9625600179038</v>
      </c>
      <c r="AM8" s="57">
        <v>2685.9713139851892</v>
      </c>
      <c r="AN8" s="57">
        <v>495.56241272290544</v>
      </c>
      <c r="AO8" s="57">
        <v>1690.0345611572263</v>
      </c>
      <c r="AP8" s="57">
        <v>380.42519276936849</v>
      </c>
      <c r="AQ8" s="57">
        <v>818.91899156570446</v>
      </c>
    </row>
    <row r="9" spans="1:53">
      <c r="A9" s="11">
        <v>41215</v>
      </c>
      <c r="B9" s="59"/>
      <c r="C9" s="60">
        <v>163.82323279380779</v>
      </c>
      <c r="D9" s="60">
        <v>1439.6603372017541</v>
      </c>
      <c r="E9" s="50">
        <v>13.258343300223352</v>
      </c>
      <c r="F9" s="60">
        <v>0</v>
      </c>
      <c r="G9" s="60">
        <v>3699.8259157816537</v>
      </c>
      <c r="H9" s="61">
        <v>33.22627283334743</v>
      </c>
      <c r="I9" s="59">
        <v>283.35676683187461</v>
      </c>
      <c r="J9" s="60">
        <v>555.40782909393295</v>
      </c>
      <c r="K9" s="60">
        <v>12.009129959344881</v>
      </c>
      <c r="L9" s="50">
        <v>0</v>
      </c>
      <c r="M9" s="60">
        <v>0</v>
      </c>
      <c r="N9" s="61">
        <v>0</v>
      </c>
      <c r="O9" s="59">
        <v>0</v>
      </c>
      <c r="P9" s="60">
        <v>0</v>
      </c>
      <c r="Q9" s="62">
        <v>0</v>
      </c>
      <c r="R9" s="63">
        <v>0</v>
      </c>
      <c r="S9" s="60">
        <v>0</v>
      </c>
      <c r="T9" s="64">
        <v>0</v>
      </c>
      <c r="U9" s="65">
        <v>259.45305937896865</v>
      </c>
      <c r="V9" s="62">
        <v>141.09706773522163</v>
      </c>
      <c r="W9" s="62">
        <v>20.162168865383368</v>
      </c>
      <c r="X9" s="62">
        <v>10.964692083020301</v>
      </c>
      <c r="Y9" s="66">
        <v>91.991605539573825</v>
      </c>
      <c r="Z9" s="66">
        <v>50.027337619211671</v>
      </c>
      <c r="AA9" s="67">
        <v>0</v>
      </c>
      <c r="AB9" s="68">
        <v>0</v>
      </c>
      <c r="AC9" s="69">
        <v>0</v>
      </c>
      <c r="AD9" s="69">
        <v>12.52373039888011</v>
      </c>
      <c r="AE9" s="68">
        <v>7.9987516943992425</v>
      </c>
      <c r="AF9" s="68">
        <v>4.3499213781610662</v>
      </c>
      <c r="AG9" s="68">
        <v>0.64774179763274131</v>
      </c>
      <c r="AH9" s="69">
        <v>235.73993153572084</v>
      </c>
      <c r="AI9" s="69">
        <v>876.25637526512162</v>
      </c>
      <c r="AJ9" s="69">
        <v>3039.5106473286946</v>
      </c>
      <c r="AK9" s="69">
        <v>782.11524813969925</v>
      </c>
      <c r="AL9" s="69">
        <v>3390.5459912617998</v>
      </c>
      <c r="AM9" s="69">
        <v>2657.5942579905195</v>
      </c>
      <c r="AN9" s="69">
        <v>510.13267895380653</v>
      </c>
      <c r="AO9" s="69">
        <v>1904.0587842305501</v>
      </c>
      <c r="AP9" s="69">
        <v>395.5448552529017</v>
      </c>
      <c r="AQ9" s="69">
        <v>709.7967357635498</v>
      </c>
    </row>
    <row r="10" spans="1:53">
      <c r="A10" s="11">
        <v>41216</v>
      </c>
      <c r="B10" s="59"/>
      <c r="C10" s="60">
        <v>164.68019440968797</v>
      </c>
      <c r="D10" s="60">
        <v>1443.7951716740918</v>
      </c>
      <c r="E10" s="50">
        <v>13.254312371710958</v>
      </c>
      <c r="F10" s="60">
        <v>0</v>
      </c>
      <c r="G10" s="60">
        <v>3635.3400683084869</v>
      </c>
      <c r="H10" s="61">
        <v>33.094931855797832</v>
      </c>
      <c r="I10" s="59">
        <v>267.40070845286021</v>
      </c>
      <c r="J10" s="60">
        <v>556.63167451222785</v>
      </c>
      <c r="K10" s="60">
        <v>12.071129457155845</v>
      </c>
      <c r="L10" s="50">
        <v>0</v>
      </c>
      <c r="M10" s="60">
        <v>0</v>
      </c>
      <c r="N10" s="61">
        <v>0</v>
      </c>
      <c r="O10" s="59">
        <v>0</v>
      </c>
      <c r="P10" s="60">
        <v>0</v>
      </c>
      <c r="Q10" s="60">
        <v>0</v>
      </c>
      <c r="R10" s="63">
        <v>0</v>
      </c>
      <c r="S10" s="60">
        <v>0</v>
      </c>
      <c r="T10" s="64">
        <v>0</v>
      </c>
      <c r="U10" s="65">
        <v>258.17303464018153</v>
      </c>
      <c r="V10" s="62">
        <v>140.37788120505508</v>
      </c>
      <c r="W10" s="62">
        <v>20.450272118226135</v>
      </c>
      <c r="X10" s="62">
        <v>11.119541876340472</v>
      </c>
      <c r="Y10" s="66">
        <v>92.322659532881204</v>
      </c>
      <c r="Z10" s="66">
        <v>50.199120719575198</v>
      </c>
      <c r="AA10" s="67">
        <v>0</v>
      </c>
      <c r="AB10" s="68">
        <v>0</v>
      </c>
      <c r="AC10" s="69">
        <v>0</v>
      </c>
      <c r="AD10" s="69">
        <v>12.527096863587699</v>
      </c>
      <c r="AE10" s="68">
        <v>8.0002191013604627</v>
      </c>
      <c r="AF10" s="68">
        <v>4.3500042837177153</v>
      </c>
      <c r="AG10" s="68">
        <v>0.64777930341134649</v>
      </c>
      <c r="AH10" s="69">
        <v>241.20845194657642</v>
      </c>
      <c r="AI10" s="69">
        <v>892.93496713638319</v>
      </c>
      <c r="AJ10" s="69">
        <v>3057.7578638712571</v>
      </c>
      <c r="AK10" s="69">
        <v>787.49434823989873</v>
      </c>
      <c r="AL10" s="69">
        <v>3364.9303098042801</v>
      </c>
      <c r="AM10" s="69">
        <v>2540.0607022603353</v>
      </c>
      <c r="AN10" s="69">
        <v>516.05419572194421</v>
      </c>
      <c r="AO10" s="69">
        <v>1935.1290732065838</v>
      </c>
      <c r="AP10" s="69">
        <v>403.97616039911912</v>
      </c>
      <c r="AQ10" s="69">
        <v>665.63658186594648</v>
      </c>
    </row>
    <row r="11" spans="1:53">
      <c r="A11" s="11">
        <v>41217</v>
      </c>
      <c r="B11" s="59"/>
      <c r="C11" s="60">
        <v>165.51425436337769</v>
      </c>
      <c r="D11" s="60">
        <v>1445.656666819254</v>
      </c>
      <c r="E11" s="50">
        <v>13.253989566365886</v>
      </c>
      <c r="F11" s="60">
        <v>0</v>
      </c>
      <c r="G11" s="60">
        <v>3635.4449905395313</v>
      </c>
      <c r="H11" s="61">
        <v>33.229090690612828</v>
      </c>
      <c r="I11" s="59">
        <v>276.48399063746172</v>
      </c>
      <c r="J11" s="60">
        <v>575.09732109705578</v>
      </c>
      <c r="K11" s="60">
        <v>12.856639178097289</v>
      </c>
      <c r="L11" s="50">
        <v>0</v>
      </c>
      <c r="M11" s="60">
        <v>0</v>
      </c>
      <c r="N11" s="61">
        <v>0</v>
      </c>
      <c r="O11" s="59">
        <v>0</v>
      </c>
      <c r="P11" s="60">
        <v>0</v>
      </c>
      <c r="Q11" s="60">
        <v>0</v>
      </c>
      <c r="R11" s="63">
        <v>0</v>
      </c>
      <c r="S11" s="60">
        <v>0</v>
      </c>
      <c r="T11" s="64">
        <v>0</v>
      </c>
      <c r="U11" s="65">
        <v>266.12723032636472</v>
      </c>
      <c r="V11" s="62">
        <v>139.96649659471635</v>
      </c>
      <c r="W11" s="62">
        <v>21.19425904004104</v>
      </c>
      <c r="X11" s="62">
        <v>11.146872051076826</v>
      </c>
      <c r="Y11" s="66">
        <v>95.300680401348345</v>
      </c>
      <c r="Z11" s="66">
        <v>50.122275509016234</v>
      </c>
      <c r="AA11" s="67">
        <v>0</v>
      </c>
      <c r="AB11" s="68">
        <v>0</v>
      </c>
      <c r="AC11" s="69">
        <v>0</v>
      </c>
      <c r="AD11" s="69">
        <v>12.797296672397204</v>
      </c>
      <c r="AE11" s="68">
        <v>8.2721394990609731</v>
      </c>
      <c r="AF11" s="68">
        <v>4.3506347832442485</v>
      </c>
      <c r="AG11" s="68">
        <v>0.65533450207193922</v>
      </c>
      <c r="AH11" s="69">
        <v>241.38017770449321</v>
      </c>
      <c r="AI11" s="69">
        <v>890.27194264729792</v>
      </c>
      <c r="AJ11" s="69">
        <v>3039.6504591623943</v>
      </c>
      <c r="AK11" s="69">
        <v>788.45848064422603</v>
      </c>
      <c r="AL11" s="69">
        <v>3370.457421493531</v>
      </c>
      <c r="AM11" s="69">
        <v>2486.0598318735761</v>
      </c>
      <c r="AN11" s="69">
        <v>509.65073254903143</v>
      </c>
      <c r="AO11" s="69">
        <v>2009.3000551859539</v>
      </c>
      <c r="AP11" s="69">
        <v>402.43456519444777</v>
      </c>
      <c r="AQ11" s="69">
        <v>631.89856281280538</v>
      </c>
    </row>
    <row r="12" spans="1:53">
      <c r="A12" s="11">
        <v>41218</v>
      </c>
      <c r="B12" s="59"/>
      <c r="C12" s="60">
        <v>165.30836173693319</v>
      </c>
      <c r="D12" s="60">
        <v>1455.1262406031294</v>
      </c>
      <c r="E12" s="50">
        <v>13.234402604897825</v>
      </c>
      <c r="F12" s="60">
        <v>0</v>
      </c>
      <c r="G12" s="60">
        <v>3605.9845588683993</v>
      </c>
      <c r="H12" s="61">
        <v>34.278462181488742</v>
      </c>
      <c r="I12" s="59">
        <v>300.05891652107255</v>
      </c>
      <c r="J12" s="60">
        <v>624.08600378036556</v>
      </c>
      <c r="K12" s="60">
        <v>14.1664714848002</v>
      </c>
      <c r="L12" s="50">
        <v>0</v>
      </c>
      <c r="M12" s="60">
        <v>0</v>
      </c>
      <c r="N12" s="61">
        <v>0</v>
      </c>
      <c r="O12" s="59">
        <v>0</v>
      </c>
      <c r="P12" s="60">
        <v>0</v>
      </c>
      <c r="Q12" s="60">
        <v>0</v>
      </c>
      <c r="R12" s="63">
        <v>0</v>
      </c>
      <c r="S12" s="60">
        <v>0</v>
      </c>
      <c r="T12" s="64">
        <v>0</v>
      </c>
      <c r="U12" s="65">
        <v>289.46883389820658</v>
      </c>
      <c r="V12" s="62">
        <v>128.02639308899967</v>
      </c>
      <c r="W12" s="62">
        <v>22.481826581087443</v>
      </c>
      <c r="X12" s="62">
        <v>9.9432713652385196</v>
      </c>
      <c r="Y12" s="66">
        <v>103.93941212813326</v>
      </c>
      <c r="Z12" s="66">
        <v>45.970365290639229</v>
      </c>
      <c r="AA12" s="67">
        <v>0</v>
      </c>
      <c r="AB12" s="68">
        <v>0</v>
      </c>
      <c r="AC12" s="69">
        <v>0</v>
      </c>
      <c r="AD12" s="69">
        <v>13.157340450088185</v>
      </c>
      <c r="AE12" s="68">
        <v>8.9939062391679325</v>
      </c>
      <c r="AF12" s="68">
        <v>3.9778284939173698</v>
      </c>
      <c r="AG12" s="68">
        <v>0.69334645089745439</v>
      </c>
      <c r="AH12" s="69">
        <v>241.30366026560469</v>
      </c>
      <c r="AI12" s="69">
        <v>900.1885500590007</v>
      </c>
      <c r="AJ12" s="69">
        <v>3051.5417807261151</v>
      </c>
      <c r="AK12" s="69">
        <v>790.42676321665454</v>
      </c>
      <c r="AL12" s="69">
        <v>3243.3529919942221</v>
      </c>
      <c r="AM12" s="69">
        <v>2590.4334682464601</v>
      </c>
      <c r="AN12" s="69">
        <v>509.99441773096714</v>
      </c>
      <c r="AO12" s="69">
        <v>1785.2430950800576</v>
      </c>
      <c r="AP12" s="69">
        <v>422.24658037821456</v>
      </c>
      <c r="AQ12" s="69">
        <v>693.08558454513548</v>
      </c>
    </row>
    <row r="13" spans="1:53">
      <c r="A13" s="11">
        <v>41219</v>
      </c>
      <c r="B13" s="59"/>
      <c r="C13" s="60">
        <v>166.58039121627763</v>
      </c>
      <c r="D13" s="60">
        <v>1465.3772725423196</v>
      </c>
      <c r="E13" s="50">
        <v>13.238324609895553</v>
      </c>
      <c r="F13" s="60">
        <v>0</v>
      </c>
      <c r="G13" s="60">
        <v>3493.6067535400416</v>
      </c>
      <c r="H13" s="61">
        <v>33.665543552239818</v>
      </c>
      <c r="I13" s="59">
        <v>299.99676280021686</v>
      </c>
      <c r="J13" s="60">
        <v>624.19943723678568</v>
      </c>
      <c r="K13" s="60">
        <v>13.998694021999864</v>
      </c>
      <c r="L13" s="50">
        <v>0</v>
      </c>
      <c r="M13" s="60">
        <v>0</v>
      </c>
      <c r="N13" s="61">
        <v>0</v>
      </c>
      <c r="O13" s="59">
        <v>0</v>
      </c>
      <c r="P13" s="60">
        <v>0</v>
      </c>
      <c r="Q13" s="60">
        <v>0</v>
      </c>
      <c r="R13" s="63">
        <v>0</v>
      </c>
      <c r="S13" s="60">
        <v>0</v>
      </c>
      <c r="T13" s="64">
        <v>0</v>
      </c>
      <c r="U13" s="65">
        <v>274.06761484707397</v>
      </c>
      <c r="V13" s="62">
        <v>132.45582962534334</v>
      </c>
      <c r="W13" s="62">
        <v>22.045497547064297</v>
      </c>
      <c r="X13" s="62">
        <v>10.654504614597474</v>
      </c>
      <c r="Y13" s="66">
        <v>102.94020239396113</v>
      </c>
      <c r="Z13" s="66">
        <v>49.750605949926033</v>
      </c>
      <c r="AA13" s="67">
        <v>0</v>
      </c>
      <c r="AB13" s="68">
        <v>0</v>
      </c>
      <c r="AC13" s="69">
        <v>0</v>
      </c>
      <c r="AD13" s="69">
        <v>13.380172500345452</v>
      </c>
      <c r="AE13" s="68">
        <v>8.9032157053784999</v>
      </c>
      <c r="AF13" s="68">
        <v>4.3028900851613558</v>
      </c>
      <c r="AG13" s="68">
        <v>0.6741741923464134</v>
      </c>
      <c r="AH13" s="69">
        <v>226.62098610401159</v>
      </c>
      <c r="AI13" s="69">
        <v>887.83718719482408</v>
      </c>
      <c r="AJ13" s="69">
        <v>3037.5248179117834</v>
      </c>
      <c r="AK13" s="69">
        <v>791.10589405695612</v>
      </c>
      <c r="AL13" s="69">
        <v>3400.6882962544764</v>
      </c>
      <c r="AM13" s="69">
        <v>2645.6777614593507</v>
      </c>
      <c r="AN13" s="69">
        <v>508.29493169784553</v>
      </c>
      <c r="AO13" s="69">
        <v>1642.1422860463463</v>
      </c>
      <c r="AP13" s="69">
        <v>427.24508056640627</v>
      </c>
      <c r="AQ13" s="69">
        <v>711.13683875401819</v>
      </c>
    </row>
    <row r="14" spans="1:53">
      <c r="A14" s="11">
        <v>41220</v>
      </c>
      <c r="B14" s="59"/>
      <c r="C14" s="60">
        <v>166.45129668712605</v>
      </c>
      <c r="D14" s="60">
        <v>1466.4139147222049</v>
      </c>
      <c r="E14" s="50">
        <v>13.226107273002468</v>
      </c>
      <c r="F14" s="60">
        <v>0</v>
      </c>
      <c r="G14" s="60">
        <v>3307.6881359100298</v>
      </c>
      <c r="H14" s="61">
        <v>33.67141127387687</v>
      </c>
      <c r="I14" s="59">
        <v>298.21148252487166</v>
      </c>
      <c r="J14" s="60">
        <v>624.13959627151428</v>
      </c>
      <c r="K14" s="60">
        <v>13.917512779434539</v>
      </c>
      <c r="L14" s="50">
        <v>0</v>
      </c>
      <c r="M14" s="60">
        <v>0</v>
      </c>
      <c r="N14" s="61">
        <v>0</v>
      </c>
      <c r="O14" s="59">
        <v>0</v>
      </c>
      <c r="P14" s="60">
        <v>0</v>
      </c>
      <c r="Q14" s="60">
        <v>0</v>
      </c>
      <c r="R14" s="63">
        <v>0</v>
      </c>
      <c r="S14" s="60">
        <v>0</v>
      </c>
      <c r="T14" s="64">
        <v>0</v>
      </c>
      <c r="U14" s="65">
        <v>268.21315995636866</v>
      </c>
      <c r="V14" s="62">
        <v>125.50212155133671</v>
      </c>
      <c r="W14" s="62">
        <v>21.194250085015383</v>
      </c>
      <c r="X14" s="62">
        <v>9.9171992559639133</v>
      </c>
      <c r="Y14" s="66">
        <v>102.6319462750939</v>
      </c>
      <c r="Z14" s="66">
        <v>48.023471326173642</v>
      </c>
      <c r="AA14" s="67">
        <v>0</v>
      </c>
      <c r="AB14" s="68">
        <v>0</v>
      </c>
      <c r="AC14" s="69">
        <v>0</v>
      </c>
      <c r="AD14" s="69">
        <v>13.23393014669416</v>
      </c>
      <c r="AE14" s="68">
        <v>8.8892472624553722</v>
      </c>
      <c r="AF14" s="68">
        <v>4.1594506049369242</v>
      </c>
      <c r="AG14" s="68">
        <v>0.68123634655293275</v>
      </c>
      <c r="AH14" s="69">
        <v>238.96227673689523</v>
      </c>
      <c r="AI14" s="69">
        <v>889.44745340347288</v>
      </c>
      <c r="AJ14" s="69">
        <v>3059.5698525746657</v>
      </c>
      <c r="AK14" s="69">
        <v>799.30987116495771</v>
      </c>
      <c r="AL14" s="69">
        <v>3226.5501796722415</v>
      </c>
      <c r="AM14" s="69">
        <v>2649.1829060872396</v>
      </c>
      <c r="AN14" s="69">
        <v>489.69830563863127</v>
      </c>
      <c r="AO14" s="69">
        <v>1642.740835952759</v>
      </c>
      <c r="AP14" s="69">
        <v>416.93620853424068</v>
      </c>
      <c r="AQ14" s="69">
        <v>794.03064343134531</v>
      </c>
    </row>
    <row r="15" spans="1:53">
      <c r="A15" s="11">
        <v>41221</v>
      </c>
      <c r="B15" s="59"/>
      <c r="C15" s="60">
        <v>165.5132543484367</v>
      </c>
      <c r="D15" s="60">
        <v>1457.2090890586362</v>
      </c>
      <c r="E15" s="50">
        <v>13.243687774737682</v>
      </c>
      <c r="F15" s="60">
        <v>0</v>
      </c>
      <c r="G15" s="60">
        <v>3309.4408266703185</v>
      </c>
      <c r="H15" s="61">
        <v>33.471778472264617</v>
      </c>
      <c r="I15" s="59">
        <v>258.27731707890831</v>
      </c>
      <c r="J15" s="60">
        <v>565.82218443552722</v>
      </c>
      <c r="K15" s="60">
        <v>12.506123689810423</v>
      </c>
      <c r="L15" s="50">
        <v>0</v>
      </c>
      <c r="M15" s="60">
        <v>0</v>
      </c>
      <c r="N15" s="61">
        <v>0</v>
      </c>
      <c r="O15" s="59">
        <v>0</v>
      </c>
      <c r="P15" s="60">
        <v>0</v>
      </c>
      <c r="Q15" s="60">
        <v>0</v>
      </c>
      <c r="R15" s="63">
        <v>0</v>
      </c>
      <c r="S15" s="60">
        <v>0</v>
      </c>
      <c r="T15" s="64">
        <v>0</v>
      </c>
      <c r="U15" s="65">
        <v>235.68829710377676</v>
      </c>
      <c r="V15" s="62">
        <v>129.00669927437585</v>
      </c>
      <c r="W15" s="62">
        <v>18.04929357330235</v>
      </c>
      <c r="X15" s="62">
        <v>9.8794883612769251</v>
      </c>
      <c r="Y15" s="66">
        <v>91.490632095269035</v>
      </c>
      <c r="Z15" s="66">
        <v>50.078449401923216</v>
      </c>
      <c r="AA15" s="67">
        <v>0</v>
      </c>
      <c r="AB15" s="68">
        <v>0</v>
      </c>
      <c r="AC15" s="69">
        <v>0</v>
      </c>
      <c r="AD15" s="69">
        <v>12.325215569800806</v>
      </c>
      <c r="AE15" s="68">
        <v>7.8471062739585555</v>
      </c>
      <c r="AF15" s="68">
        <v>4.2952038421020839</v>
      </c>
      <c r="AG15" s="68">
        <v>0.6462613949860484</v>
      </c>
      <c r="AH15" s="69">
        <v>222.69998734792077</v>
      </c>
      <c r="AI15" s="69">
        <v>881.50960334142076</v>
      </c>
      <c r="AJ15" s="69">
        <v>3070.2401907602948</v>
      </c>
      <c r="AK15" s="69">
        <v>791.52371625900275</v>
      </c>
      <c r="AL15" s="69">
        <v>3155.1207355499264</v>
      </c>
      <c r="AM15" s="69">
        <v>2647.3938400268553</v>
      </c>
      <c r="AN15" s="69">
        <v>499.41734590530388</v>
      </c>
      <c r="AO15" s="69">
        <v>1586.8039403279622</v>
      </c>
      <c r="AP15" s="69">
        <v>426.1251785914103</v>
      </c>
      <c r="AQ15" s="69">
        <v>726.25547250111902</v>
      </c>
    </row>
    <row r="16" spans="1:53">
      <c r="A16" s="11">
        <v>41222</v>
      </c>
      <c r="B16" s="59"/>
      <c r="C16" s="60">
        <v>167.19471910794584</v>
      </c>
      <c r="D16" s="60">
        <v>1470.4537207921358</v>
      </c>
      <c r="E16" s="50">
        <v>13.608631419638805</v>
      </c>
      <c r="F16" s="60">
        <v>0</v>
      </c>
      <c r="G16" s="60">
        <v>3268.0447870890307</v>
      </c>
      <c r="H16" s="61">
        <v>33.82804290850963</v>
      </c>
      <c r="I16" s="59">
        <v>224.96016697883573</v>
      </c>
      <c r="J16" s="60">
        <v>489.74147981007854</v>
      </c>
      <c r="K16" s="60">
        <v>10.847691051661959</v>
      </c>
      <c r="L16" s="50">
        <v>0</v>
      </c>
      <c r="M16" s="60">
        <v>0</v>
      </c>
      <c r="N16" s="61">
        <v>0</v>
      </c>
      <c r="O16" s="59">
        <v>0</v>
      </c>
      <c r="P16" s="60">
        <v>0</v>
      </c>
      <c r="Q16" s="60">
        <v>0</v>
      </c>
      <c r="R16" s="63">
        <v>0</v>
      </c>
      <c r="S16" s="60">
        <v>0</v>
      </c>
      <c r="T16" s="64">
        <v>0</v>
      </c>
      <c r="U16" s="65">
        <v>209.87937227630005</v>
      </c>
      <c r="V16" s="62">
        <v>130.72463179419265</v>
      </c>
      <c r="W16" s="62">
        <v>16.49513868981311</v>
      </c>
      <c r="X16" s="62">
        <v>10.274096535705409</v>
      </c>
      <c r="Y16" s="66">
        <v>82.587198584450888</v>
      </c>
      <c r="Z16" s="66">
        <v>51.439934324052366</v>
      </c>
      <c r="AA16" s="67">
        <v>0</v>
      </c>
      <c r="AB16" s="68">
        <v>0</v>
      </c>
      <c r="AC16" s="69">
        <v>0</v>
      </c>
      <c r="AD16" s="69">
        <v>11.500739630063405</v>
      </c>
      <c r="AE16" s="68">
        <v>6.9845560683662766</v>
      </c>
      <c r="AF16" s="68">
        <v>4.3503728374080861</v>
      </c>
      <c r="AG16" s="68">
        <v>0.61619760709819082</v>
      </c>
      <c r="AH16" s="69">
        <v>244.79219920635225</v>
      </c>
      <c r="AI16" s="69">
        <v>922.90885515213017</v>
      </c>
      <c r="AJ16" s="69">
        <v>3067.2243902842206</v>
      </c>
      <c r="AK16" s="69">
        <v>779.7417449951173</v>
      </c>
      <c r="AL16" s="69">
        <v>3172.7601022084555</v>
      </c>
      <c r="AM16" s="69">
        <v>2570.0797611236571</v>
      </c>
      <c r="AN16" s="69">
        <v>478.20331681569422</v>
      </c>
      <c r="AO16" s="69">
        <v>1478.0293322245282</v>
      </c>
      <c r="AP16" s="69">
        <v>429.4681394894917</v>
      </c>
      <c r="AQ16" s="69">
        <v>767.75967934926348</v>
      </c>
    </row>
    <row r="17" spans="1:43">
      <c r="A17" s="11">
        <v>41223</v>
      </c>
      <c r="B17" s="49"/>
      <c r="C17" s="50">
        <v>168.00466647942841</v>
      </c>
      <c r="D17" s="50">
        <v>1477.5537670771303</v>
      </c>
      <c r="E17" s="50">
        <v>13.870218159755098</v>
      </c>
      <c r="F17" s="50">
        <v>0</v>
      </c>
      <c r="G17" s="50">
        <v>3283.2755358378245</v>
      </c>
      <c r="H17" s="51">
        <v>33.988045336802799</v>
      </c>
      <c r="I17" s="49">
        <v>233.96271645228035</v>
      </c>
      <c r="J17" s="50">
        <v>487.77080688476576</v>
      </c>
      <c r="K17" s="50">
        <v>10.794027154644326</v>
      </c>
      <c r="L17" s="50">
        <v>0</v>
      </c>
      <c r="M17" s="50">
        <v>0</v>
      </c>
      <c r="N17" s="51">
        <v>0</v>
      </c>
      <c r="O17" s="49">
        <v>0</v>
      </c>
      <c r="P17" s="50">
        <v>0</v>
      </c>
      <c r="Q17" s="50">
        <v>0</v>
      </c>
      <c r="R17" s="70">
        <v>0</v>
      </c>
      <c r="S17" s="50">
        <v>0</v>
      </c>
      <c r="T17" s="52">
        <v>0</v>
      </c>
      <c r="U17" s="71">
        <v>210.60284185251018</v>
      </c>
      <c r="V17" s="66">
        <v>130.87286013655736</v>
      </c>
      <c r="W17" s="62">
        <v>16.79733015144275</v>
      </c>
      <c r="X17" s="62">
        <v>10.438200264728019</v>
      </c>
      <c r="Y17" s="66">
        <v>81.920678605935308</v>
      </c>
      <c r="Z17" s="66">
        <v>50.907164495884281</v>
      </c>
      <c r="AA17" s="67">
        <v>0</v>
      </c>
      <c r="AB17" s="68">
        <v>0</v>
      </c>
      <c r="AC17" s="69">
        <v>0</v>
      </c>
      <c r="AD17" s="69">
        <v>11.519328730636168</v>
      </c>
      <c r="AE17" s="68">
        <v>6.9998106222432526</v>
      </c>
      <c r="AF17" s="68">
        <v>4.3498237179001809</v>
      </c>
      <c r="AG17" s="68">
        <v>0.61674327229072567</v>
      </c>
      <c r="AH17" s="69">
        <v>283.65830462773641</v>
      </c>
      <c r="AI17" s="69">
        <v>973.89858671824118</v>
      </c>
      <c r="AJ17" s="69">
        <v>3073.1204139709475</v>
      </c>
      <c r="AK17" s="69">
        <v>787.92861623764043</v>
      </c>
      <c r="AL17" s="69">
        <v>3230.4269031524659</v>
      </c>
      <c r="AM17" s="69">
        <v>2492.4212060292557</v>
      </c>
      <c r="AN17" s="69">
        <v>508.44498799641934</v>
      </c>
      <c r="AO17" s="69">
        <v>1488.4755825678506</v>
      </c>
      <c r="AP17" s="69">
        <v>458.77472295761112</v>
      </c>
      <c r="AQ17" s="69">
        <v>647.54667870203662</v>
      </c>
    </row>
    <row r="18" spans="1:43">
      <c r="A18" s="11">
        <v>41224</v>
      </c>
      <c r="B18" s="59"/>
      <c r="C18" s="60">
        <v>168.17674318154604</v>
      </c>
      <c r="D18" s="60">
        <v>1478.5133579889905</v>
      </c>
      <c r="E18" s="50">
        <v>13.799063269794001</v>
      </c>
      <c r="F18" s="60">
        <v>0</v>
      </c>
      <c r="G18" s="60">
        <v>3328.9865272522079</v>
      </c>
      <c r="H18" s="61">
        <v>34.005398915211394</v>
      </c>
      <c r="I18" s="59">
        <v>247.98256225585916</v>
      </c>
      <c r="J18" s="60">
        <v>515.95573565165228</v>
      </c>
      <c r="K18" s="60">
        <v>11.39306749204793</v>
      </c>
      <c r="L18" s="50">
        <v>0</v>
      </c>
      <c r="M18" s="60">
        <v>0</v>
      </c>
      <c r="N18" s="61">
        <v>0</v>
      </c>
      <c r="O18" s="59">
        <v>0</v>
      </c>
      <c r="P18" s="60">
        <v>0</v>
      </c>
      <c r="Q18" s="60">
        <v>0</v>
      </c>
      <c r="R18" s="63">
        <v>0</v>
      </c>
      <c r="S18" s="60">
        <v>0</v>
      </c>
      <c r="T18" s="64">
        <v>0</v>
      </c>
      <c r="U18" s="65">
        <v>213.12085687718633</v>
      </c>
      <c r="V18" s="62">
        <v>125.06305936308017</v>
      </c>
      <c r="W18" s="62">
        <v>17.36528724035276</v>
      </c>
      <c r="X18" s="62">
        <v>10.190255335960284</v>
      </c>
      <c r="Y18" s="66">
        <v>81.919109120003043</v>
      </c>
      <c r="Z18" s="66">
        <v>48.071571018267008</v>
      </c>
      <c r="AA18" s="67">
        <v>0</v>
      </c>
      <c r="AB18" s="68">
        <v>0</v>
      </c>
      <c r="AC18" s="69">
        <v>0</v>
      </c>
      <c r="AD18" s="69">
        <v>11.916770572794807</v>
      </c>
      <c r="AE18" s="68">
        <v>7.406925753360448</v>
      </c>
      <c r="AF18" s="68">
        <v>4.3465140332288383</v>
      </c>
      <c r="AG18" s="68">
        <v>0.63019217249164583</v>
      </c>
      <c r="AH18" s="69">
        <v>351.4252058982849</v>
      </c>
      <c r="AI18" s="69">
        <v>1092.8661460876463</v>
      </c>
      <c r="AJ18" s="69">
        <v>3097.3214258829757</v>
      </c>
      <c r="AK18" s="69">
        <v>795.89751720428455</v>
      </c>
      <c r="AL18" s="69">
        <v>3299.1334465026857</v>
      </c>
      <c r="AM18" s="69">
        <v>2585.8418563842774</v>
      </c>
      <c r="AN18" s="69">
        <v>585.00025507609053</v>
      </c>
      <c r="AO18" s="69">
        <v>1620.1027997334795</v>
      </c>
      <c r="AP18" s="69">
        <v>501.23267450332651</v>
      </c>
      <c r="AQ18" s="69">
        <v>658.63418852488201</v>
      </c>
    </row>
    <row r="19" spans="1:43">
      <c r="A19" s="11">
        <v>41225</v>
      </c>
      <c r="B19" s="59"/>
      <c r="C19" s="60">
        <v>168.58082614739672</v>
      </c>
      <c r="D19" s="60">
        <v>1481.5091317494712</v>
      </c>
      <c r="E19" s="50">
        <v>13.757513550420642</v>
      </c>
      <c r="F19" s="60">
        <v>0</v>
      </c>
      <c r="G19" s="60">
        <v>3386.889428710941</v>
      </c>
      <c r="H19" s="61">
        <v>34.111699281136232</v>
      </c>
      <c r="I19" s="59">
        <v>272.2971644560497</v>
      </c>
      <c r="J19" s="60">
        <v>556.25571603775097</v>
      </c>
      <c r="K19" s="60">
        <v>12.23163499931491</v>
      </c>
      <c r="L19" s="50">
        <v>0</v>
      </c>
      <c r="M19" s="60">
        <v>0</v>
      </c>
      <c r="N19" s="61">
        <v>0</v>
      </c>
      <c r="O19" s="59">
        <v>0</v>
      </c>
      <c r="P19" s="60">
        <v>0</v>
      </c>
      <c r="Q19" s="60">
        <v>0</v>
      </c>
      <c r="R19" s="63">
        <v>0</v>
      </c>
      <c r="S19" s="60">
        <v>0</v>
      </c>
      <c r="T19" s="64">
        <v>0</v>
      </c>
      <c r="U19" s="65">
        <v>227.53170305042732</v>
      </c>
      <c r="V19" s="62">
        <v>123.75735260430594</v>
      </c>
      <c r="W19" s="62">
        <v>18.532638469379322</v>
      </c>
      <c r="X19" s="62">
        <v>10.080134956994486</v>
      </c>
      <c r="Y19" s="66">
        <v>85.821724372282546</v>
      </c>
      <c r="Z19" s="66">
        <v>46.679514379128982</v>
      </c>
      <c r="AA19" s="67">
        <v>0</v>
      </c>
      <c r="AB19" s="68">
        <v>0</v>
      </c>
      <c r="AC19" s="69">
        <v>0</v>
      </c>
      <c r="AD19" s="69">
        <v>12.51326376795768</v>
      </c>
      <c r="AE19" s="68">
        <v>7.9984108010606567</v>
      </c>
      <c r="AF19" s="68">
        <v>4.3504361480631646</v>
      </c>
      <c r="AG19" s="68">
        <v>0.64770507189970172</v>
      </c>
      <c r="AH19" s="69">
        <v>336.96189765930177</v>
      </c>
      <c r="AI19" s="69">
        <v>1070.8271385192872</v>
      </c>
      <c r="AJ19" s="69">
        <v>3104.6393676757812</v>
      </c>
      <c r="AK19" s="69">
        <v>789.29374500910433</v>
      </c>
      <c r="AL19" s="69">
        <v>3273.9475952148432</v>
      </c>
      <c r="AM19" s="69">
        <v>2587.6924798329669</v>
      </c>
      <c r="AN19" s="69">
        <v>575.44774608612079</v>
      </c>
      <c r="AO19" s="69">
        <v>1680.5147514343264</v>
      </c>
      <c r="AP19" s="69">
        <v>497.93529822031655</v>
      </c>
      <c r="AQ19" s="69">
        <v>634.09531230926518</v>
      </c>
    </row>
    <row r="20" spans="1:43">
      <c r="A20" s="11">
        <v>41226</v>
      </c>
      <c r="B20" s="59"/>
      <c r="C20" s="60">
        <v>168.36669113635963</v>
      </c>
      <c r="D20" s="60">
        <v>1480.8338991244655</v>
      </c>
      <c r="E20" s="50">
        <v>13.764932814737181</v>
      </c>
      <c r="F20" s="60">
        <v>0</v>
      </c>
      <c r="G20" s="60">
        <v>3375.9915837605795</v>
      </c>
      <c r="H20" s="61">
        <v>34.097252434492191</v>
      </c>
      <c r="I20" s="59">
        <v>268.43103257815051</v>
      </c>
      <c r="J20" s="60">
        <v>556.08834733962965</v>
      </c>
      <c r="K20" s="60">
        <v>12.303407413760816</v>
      </c>
      <c r="L20" s="50">
        <v>0</v>
      </c>
      <c r="M20" s="60">
        <v>0</v>
      </c>
      <c r="N20" s="61">
        <v>0</v>
      </c>
      <c r="O20" s="59">
        <v>0</v>
      </c>
      <c r="P20" s="60">
        <v>0</v>
      </c>
      <c r="Q20" s="60">
        <v>0</v>
      </c>
      <c r="R20" s="63">
        <v>0</v>
      </c>
      <c r="S20" s="60">
        <v>0</v>
      </c>
      <c r="T20" s="64">
        <v>0</v>
      </c>
      <c r="U20" s="65">
        <v>227.85580983299724</v>
      </c>
      <c r="V20" s="62">
        <v>123.89521269660055</v>
      </c>
      <c r="W20" s="62">
        <v>18.646885011212277</v>
      </c>
      <c r="X20" s="62">
        <v>10.139130471531363</v>
      </c>
      <c r="Y20" s="66">
        <v>82.865265707879203</v>
      </c>
      <c r="Z20" s="66">
        <v>45.057484939983482</v>
      </c>
      <c r="AA20" s="67">
        <v>0</v>
      </c>
      <c r="AB20" s="68">
        <v>0</v>
      </c>
      <c r="AC20" s="69">
        <v>0</v>
      </c>
      <c r="AD20" s="69">
        <v>12.515373604165175</v>
      </c>
      <c r="AE20" s="68">
        <v>7.9993293196460815</v>
      </c>
      <c r="AF20" s="68">
        <v>4.349586733004954</v>
      </c>
      <c r="AG20" s="68">
        <v>0.64777582789776966</v>
      </c>
      <c r="AH20" s="69">
        <v>305.79082409540803</v>
      </c>
      <c r="AI20" s="69">
        <v>1003.271735636393</v>
      </c>
      <c r="AJ20" s="69">
        <v>3069.1166890462237</v>
      </c>
      <c r="AK20" s="69">
        <v>789.77596728006984</v>
      </c>
      <c r="AL20" s="69">
        <v>3277.9763692220054</v>
      </c>
      <c r="AM20" s="69">
        <v>2585.6061618804933</v>
      </c>
      <c r="AN20" s="69">
        <v>533.07908430099496</v>
      </c>
      <c r="AO20" s="69">
        <v>1650.2499867757163</v>
      </c>
      <c r="AP20" s="69">
        <v>474.04366051355998</v>
      </c>
      <c r="AQ20" s="69">
        <v>652.83652296066282</v>
      </c>
    </row>
    <row r="21" spans="1:43">
      <c r="A21" s="11">
        <v>41227</v>
      </c>
      <c r="B21" s="59"/>
      <c r="C21" s="60">
        <v>168.10433162848082</v>
      </c>
      <c r="D21" s="60">
        <v>1483.9285979092117</v>
      </c>
      <c r="E21" s="50">
        <v>13.776128559807935</v>
      </c>
      <c r="F21" s="60">
        <v>0</v>
      </c>
      <c r="G21" s="60">
        <v>3345.7348498026568</v>
      </c>
      <c r="H21" s="61">
        <v>33.984942334890384</v>
      </c>
      <c r="I21" s="59">
        <v>259.7496950308477</v>
      </c>
      <c r="J21" s="60">
        <v>556.21933151880864</v>
      </c>
      <c r="K21" s="60">
        <v>12.181549659371385</v>
      </c>
      <c r="L21" s="50">
        <v>0</v>
      </c>
      <c r="M21" s="60">
        <v>0</v>
      </c>
      <c r="N21" s="61">
        <v>0</v>
      </c>
      <c r="O21" s="59">
        <v>0</v>
      </c>
      <c r="P21" s="60">
        <v>0</v>
      </c>
      <c r="Q21" s="60">
        <v>0</v>
      </c>
      <c r="R21" s="63">
        <v>0</v>
      </c>
      <c r="S21" s="60">
        <v>0</v>
      </c>
      <c r="T21" s="64">
        <v>0</v>
      </c>
      <c r="U21" s="65">
        <v>234.10064677362703</v>
      </c>
      <c r="V21" s="62">
        <v>127.27511319884184</v>
      </c>
      <c r="W21" s="62">
        <v>18.76737087600225</v>
      </c>
      <c r="X21" s="62">
        <v>10.20338596072998</v>
      </c>
      <c r="Y21" s="66">
        <v>82.078560274935043</v>
      </c>
      <c r="Z21" s="66">
        <v>44.624216951831137</v>
      </c>
      <c r="AA21" s="67">
        <v>0</v>
      </c>
      <c r="AB21" s="68">
        <v>0</v>
      </c>
      <c r="AC21" s="69">
        <v>0</v>
      </c>
      <c r="AD21" s="69">
        <v>12.514952615896846</v>
      </c>
      <c r="AE21" s="68">
        <v>8.0014760357339352</v>
      </c>
      <c r="AF21" s="68">
        <v>4.3502176616821933</v>
      </c>
      <c r="AG21" s="68">
        <v>0.64780395561523496</v>
      </c>
      <c r="AH21" s="69">
        <v>300.66248819033297</v>
      </c>
      <c r="AI21" s="69">
        <v>990.32872842152904</v>
      </c>
      <c r="AJ21" s="69">
        <v>3085.1519542694082</v>
      </c>
      <c r="AK21" s="69">
        <v>787.15537125269577</v>
      </c>
      <c r="AL21" s="69">
        <v>3289.6528523763022</v>
      </c>
      <c r="AM21" s="69">
        <v>2574.2732206980386</v>
      </c>
      <c r="AN21" s="69">
        <v>537.39572286605835</v>
      </c>
      <c r="AO21" s="69">
        <v>1592.9742638905843</v>
      </c>
      <c r="AP21" s="69">
        <v>464.73284053802485</v>
      </c>
      <c r="AQ21" s="69">
        <v>675.25252812703445</v>
      </c>
    </row>
    <row r="22" spans="1:43">
      <c r="A22" s="11">
        <v>41228</v>
      </c>
      <c r="B22" s="59"/>
      <c r="C22" s="60">
        <v>168.44823620319349</v>
      </c>
      <c r="D22" s="60">
        <v>1480.2396680116638</v>
      </c>
      <c r="E22" s="50">
        <v>13.793231057624052</v>
      </c>
      <c r="F22" s="60">
        <v>0</v>
      </c>
      <c r="G22" s="60">
        <v>3279.9946861267158</v>
      </c>
      <c r="H22" s="61">
        <v>34.061884389321094</v>
      </c>
      <c r="I22" s="59">
        <v>269.86843630472799</v>
      </c>
      <c r="J22" s="60">
        <v>579.28906993866076</v>
      </c>
      <c r="K22" s="60">
        <v>12.201079761981964</v>
      </c>
      <c r="L22" s="50">
        <v>0</v>
      </c>
      <c r="M22" s="60">
        <v>0</v>
      </c>
      <c r="N22" s="61">
        <v>0</v>
      </c>
      <c r="O22" s="59">
        <v>0</v>
      </c>
      <c r="P22" s="60">
        <v>0</v>
      </c>
      <c r="Q22" s="60">
        <v>0</v>
      </c>
      <c r="R22" s="63">
        <v>0</v>
      </c>
      <c r="S22" s="60">
        <v>0</v>
      </c>
      <c r="T22" s="64">
        <v>0</v>
      </c>
      <c r="U22" s="65">
        <v>248.3964958271265</v>
      </c>
      <c r="V22" s="62">
        <v>129.97035650933429</v>
      </c>
      <c r="W22" s="62">
        <v>19.087008016976206</v>
      </c>
      <c r="X22" s="62">
        <v>9.9870379749214067</v>
      </c>
      <c r="Y22" s="66">
        <v>83.311210464140458</v>
      </c>
      <c r="Z22" s="66">
        <v>43.591547816295844</v>
      </c>
      <c r="AA22" s="67">
        <v>0</v>
      </c>
      <c r="AB22" s="68">
        <v>0</v>
      </c>
      <c r="AC22" s="69">
        <v>0</v>
      </c>
      <c r="AD22" s="69">
        <v>12.284562365545165</v>
      </c>
      <c r="AE22" s="68">
        <v>7.8963142490714793</v>
      </c>
      <c r="AF22" s="68">
        <v>4.1316475687153353</v>
      </c>
      <c r="AG22" s="68">
        <v>0.65649645124367606</v>
      </c>
      <c r="AH22" s="69">
        <v>313.60098999341329</v>
      </c>
      <c r="AI22" s="69">
        <v>1003.7628374099731</v>
      </c>
      <c r="AJ22" s="69">
        <v>3075.9398571014399</v>
      </c>
      <c r="AK22" s="69">
        <v>796.37588329315179</v>
      </c>
      <c r="AL22" s="69">
        <v>3293.2283383687327</v>
      </c>
      <c r="AM22" s="69">
        <v>2647.1229337056479</v>
      </c>
      <c r="AN22" s="69">
        <v>540.67015082041416</v>
      </c>
      <c r="AO22" s="69">
        <v>1656.9504631042482</v>
      </c>
      <c r="AP22" s="69">
        <v>445.9336139281591</v>
      </c>
      <c r="AQ22" s="69">
        <v>670.06897080739338</v>
      </c>
    </row>
    <row r="23" spans="1:43">
      <c r="A23" s="11">
        <v>41229</v>
      </c>
      <c r="B23" s="59"/>
      <c r="C23" s="60">
        <v>168.92605055173195</v>
      </c>
      <c r="D23" s="60">
        <v>1485.7152841567995</v>
      </c>
      <c r="E23" s="50">
        <v>13.784461261332025</v>
      </c>
      <c r="F23" s="60">
        <v>0</v>
      </c>
      <c r="G23" s="60">
        <v>3283.7764417012645</v>
      </c>
      <c r="H23" s="61">
        <v>34.305803348620778</v>
      </c>
      <c r="I23" s="59">
        <v>269.40558125178035</v>
      </c>
      <c r="J23" s="60">
        <v>589.36963036855127</v>
      </c>
      <c r="K23" s="60">
        <v>12.637286239862478</v>
      </c>
      <c r="L23" s="50">
        <v>0</v>
      </c>
      <c r="M23" s="60">
        <v>0</v>
      </c>
      <c r="N23" s="61">
        <v>0</v>
      </c>
      <c r="O23" s="59">
        <v>0</v>
      </c>
      <c r="P23" s="60">
        <v>0</v>
      </c>
      <c r="Q23" s="60">
        <v>0</v>
      </c>
      <c r="R23" s="63">
        <v>0</v>
      </c>
      <c r="S23" s="60">
        <v>0</v>
      </c>
      <c r="T23" s="64">
        <v>0</v>
      </c>
      <c r="U23" s="65">
        <v>266.75854807220588</v>
      </c>
      <c r="V23" s="62">
        <v>139.10490583523082</v>
      </c>
      <c r="W23" s="62">
        <v>19.998288364655384</v>
      </c>
      <c r="X23" s="62">
        <v>10.428381920410622</v>
      </c>
      <c r="Y23" s="66">
        <v>91.855072673724337</v>
      </c>
      <c r="Z23" s="66">
        <v>47.899088247054451</v>
      </c>
      <c r="AA23" s="67">
        <v>0</v>
      </c>
      <c r="AB23" s="68">
        <v>0</v>
      </c>
      <c r="AC23" s="69">
        <v>0</v>
      </c>
      <c r="AD23" s="69">
        <v>12.833346752987975</v>
      </c>
      <c r="AE23" s="68">
        <v>8.2242529408194649</v>
      </c>
      <c r="AF23" s="68">
        <v>4.288649564055004</v>
      </c>
      <c r="AG23" s="68">
        <v>0.65726180936962164</v>
      </c>
      <c r="AH23" s="69">
        <v>293.35957589149473</v>
      </c>
      <c r="AI23" s="69">
        <v>982.02203000386567</v>
      </c>
      <c r="AJ23" s="69">
        <v>3054.1619789123533</v>
      </c>
      <c r="AK23" s="69">
        <v>801.36916894912724</v>
      </c>
      <c r="AL23" s="69">
        <v>3463.2009290059409</v>
      </c>
      <c r="AM23" s="69">
        <v>2751.3234902699792</v>
      </c>
      <c r="AN23" s="69">
        <v>527.11786085764572</v>
      </c>
      <c r="AO23" s="69">
        <v>1665.86322072347</v>
      </c>
      <c r="AP23" s="69">
        <v>450.26265999476112</v>
      </c>
      <c r="AQ23" s="69">
        <v>688.82242774963368</v>
      </c>
    </row>
    <row r="24" spans="1:43">
      <c r="A24" s="11">
        <v>41230</v>
      </c>
      <c r="B24" s="59"/>
      <c r="C24" s="60">
        <v>168.94952264626735</v>
      </c>
      <c r="D24" s="60">
        <v>1485.2445598602296</v>
      </c>
      <c r="E24" s="50">
        <v>13.795153716703281</v>
      </c>
      <c r="F24" s="60">
        <v>0</v>
      </c>
      <c r="G24" s="60">
        <v>3283.2818021138451</v>
      </c>
      <c r="H24" s="61">
        <v>34.233997680743535</v>
      </c>
      <c r="I24" s="59">
        <v>289.73813700675959</v>
      </c>
      <c r="J24" s="60">
        <v>634.43152573903512</v>
      </c>
      <c r="K24" s="60">
        <v>13.854340396324837</v>
      </c>
      <c r="L24" s="50">
        <v>0</v>
      </c>
      <c r="M24" s="60">
        <v>0</v>
      </c>
      <c r="N24" s="61">
        <v>0</v>
      </c>
      <c r="O24" s="59">
        <v>0</v>
      </c>
      <c r="P24" s="60">
        <v>0</v>
      </c>
      <c r="Q24" s="60">
        <v>0</v>
      </c>
      <c r="R24" s="63">
        <v>0</v>
      </c>
      <c r="S24" s="60">
        <v>0</v>
      </c>
      <c r="T24" s="64">
        <v>0</v>
      </c>
      <c r="U24" s="65">
        <v>285.26931345605317</v>
      </c>
      <c r="V24" s="62">
        <v>137.89871844837481</v>
      </c>
      <c r="W24" s="62">
        <v>21.391231647083664</v>
      </c>
      <c r="X24" s="62">
        <v>10.3404863089825</v>
      </c>
      <c r="Y24" s="66">
        <v>99.922559210562</v>
      </c>
      <c r="Z24" s="66">
        <v>48.302401307321432</v>
      </c>
      <c r="AA24" s="67">
        <v>0</v>
      </c>
      <c r="AB24" s="68">
        <v>0</v>
      </c>
      <c r="AC24" s="69">
        <v>0</v>
      </c>
      <c r="AD24" s="69">
        <v>13.676161589887409</v>
      </c>
      <c r="AE24" s="68">
        <v>8.9985528358755182</v>
      </c>
      <c r="AF24" s="68">
        <v>4.3498856884527344</v>
      </c>
      <c r="AG24" s="68">
        <v>0.67412775055862661</v>
      </c>
      <c r="AH24" s="69">
        <v>273.52293615341182</v>
      </c>
      <c r="AI24" s="69">
        <v>946.4300649642945</v>
      </c>
      <c r="AJ24" s="69">
        <v>3043.9814079284674</v>
      </c>
      <c r="AK24" s="69">
        <v>797.17493022282918</v>
      </c>
      <c r="AL24" s="69">
        <v>3452.29374516805</v>
      </c>
      <c r="AM24" s="69">
        <v>2722.0000556945802</v>
      </c>
      <c r="AN24" s="69">
        <v>506.39562527338654</v>
      </c>
      <c r="AO24" s="69">
        <v>1714.0847487131755</v>
      </c>
      <c r="AP24" s="69">
        <v>434.1629984855652</v>
      </c>
      <c r="AQ24" s="69">
        <v>659.03196229934701</v>
      </c>
    </row>
    <row r="25" spans="1:43">
      <c r="A25" s="11">
        <v>41231</v>
      </c>
      <c r="B25" s="59"/>
      <c r="C25" s="60">
        <v>168.62380937735176</v>
      </c>
      <c r="D25" s="60">
        <v>1484.530517768861</v>
      </c>
      <c r="E25" s="50">
        <v>13.813488689561714</v>
      </c>
      <c r="F25" s="60">
        <v>0</v>
      </c>
      <c r="G25" s="60">
        <v>3284.3778966267837</v>
      </c>
      <c r="H25" s="61">
        <v>34.190853182474818</v>
      </c>
      <c r="I25" s="59">
        <v>289.77208093007391</v>
      </c>
      <c r="J25" s="60">
        <v>634.66644070943403</v>
      </c>
      <c r="K25" s="60">
        <v>13.780838638544129</v>
      </c>
      <c r="L25" s="50">
        <v>0</v>
      </c>
      <c r="M25" s="60">
        <v>0</v>
      </c>
      <c r="N25" s="61">
        <v>0</v>
      </c>
      <c r="O25" s="59">
        <v>0</v>
      </c>
      <c r="P25" s="60">
        <v>0</v>
      </c>
      <c r="Q25" s="60">
        <v>0</v>
      </c>
      <c r="R25" s="63">
        <v>0</v>
      </c>
      <c r="S25" s="60">
        <v>0</v>
      </c>
      <c r="T25" s="64">
        <v>0</v>
      </c>
      <c r="U25" s="65">
        <v>280.80277110118618</v>
      </c>
      <c r="V25" s="62">
        <v>135.73512266034274</v>
      </c>
      <c r="W25" s="62">
        <v>21.526154269833444</v>
      </c>
      <c r="X25" s="62">
        <v>10.405364515325328</v>
      </c>
      <c r="Y25" s="66">
        <v>100.14217460062243</v>
      </c>
      <c r="Z25" s="66">
        <v>48.406966567971757</v>
      </c>
      <c r="AA25" s="67">
        <v>0</v>
      </c>
      <c r="AB25" s="68">
        <v>0</v>
      </c>
      <c r="AC25" s="69">
        <v>0</v>
      </c>
      <c r="AD25" s="69">
        <v>13.674313330650344</v>
      </c>
      <c r="AE25" s="68">
        <v>9.0002175571211129</v>
      </c>
      <c r="AF25" s="68">
        <v>4.3505469311960221</v>
      </c>
      <c r="AG25" s="68">
        <v>0.67413499541520194</v>
      </c>
      <c r="AH25" s="69">
        <v>270.25631677309667</v>
      </c>
      <c r="AI25" s="69">
        <v>946.31341053644803</v>
      </c>
      <c r="AJ25" s="69">
        <v>3033.0807741800936</v>
      </c>
      <c r="AK25" s="69">
        <v>808.2996017456054</v>
      </c>
      <c r="AL25" s="69">
        <v>3443.8160430908206</v>
      </c>
      <c r="AM25" s="69">
        <v>2722.2418740590415</v>
      </c>
      <c r="AN25" s="69">
        <v>509.56268672943105</v>
      </c>
      <c r="AO25" s="69">
        <v>1699.9176274617514</v>
      </c>
      <c r="AP25" s="69">
        <v>438.02556606928511</v>
      </c>
      <c r="AQ25" s="69">
        <v>659.1895524978637</v>
      </c>
    </row>
    <row r="26" spans="1:43">
      <c r="A26" s="11">
        <v>41232</v>
      </c>
      <c r="B26" s="59"/>
      <c r="C26" s="60">
        <v>168.68573315143581</v>
      </c>
      <c r="D26" s="60">
        <v>1483.2345918019598</v>
      </c>
      <c r="E26" s="50">
        <v>13.814389332135535</v>
      </c>
      <c r="F26" s="60">
        <v>0</v>
      </c>
      <c r="G26" s="60">
        <v>3284.3760253906389</v>
      </c>
      <c r="H26" s="61">
        <v>34.165901501973551</v>
      </c>
      <c r="I26" s="59">
        <v>290.49647591908757</v>
      </c>
      <c r="J26" s="60">
        <v>636.14228407542055</v>
      </c>
      <c r="K26" s="60">
        <v>13.312616388996442</v>
      </c>
      <c r="L26" s="50">
        <v>0</v>
      </c>
      <c r="M26" s="60">
        <v>0</v>
      </c>
      <c r="N26" s="61">
        <v>0</v>
      </c>
      <c r="O26" s="59">
        <v>0</v>
      </c>
      <c r="P26" s="60">
        <v>0</v>
      </c>
      <c r="Q26" s="60">
        <v>0</v>
      </c>
      <c r="R26" s="63">
        <v>0</v>
      </c>
      <c r="S26" s="60">
        <v>0</v>
      </c>
      <c r="T26" s="64">
        <v>0</v>
      </c>
      <c r="U26" s="65">
        <v>279.10459250644607</v>
      </c>
      <c r="V26" s="62">
        <v>123.4771758685266</v>
      </c>
      <c r="W26" s="62">
        <v>21.585057069425119</v>
      </c>
      <c r="X26" s="62">
        <v>9.5493301058169902</v>
      </c>
      <c r="Y26" s="66">
        <v>100.50268338484975</v>
      </c>
      <c r="Z26" s="66">
        <v>44.462856738135997</v>
      </c>
      <c r="AA26" s="67">
        <v>0</v>
      </c>
      <c r="AB26" s="68">
        <v>0</v>
      </c>
      <c r="AC26" s="69">
        <v>0</v>
      </c>
      <c r="AD26" s="69">
        <v>13.309503690401735</v>
      </c>
      <c r="AE26" s="68">
        <v>8.9992074271141522</v>
      </c>
      <c r="AF26" s="68">
        <v>3.9812914154376049</v>
      </c>
      <c r="AG26" s="68">
        <v>0.69328671696449629</v>
      </c>
      <c r="AH26" s="69">
        <v>284.06017141342159</v>
      </c>
      <c r="AI26" s="69">
        <v>966.6858456611634</v>
      </c>
      <c r="AJ26" s="69">
        <v>3014.1108922322592</v>
      </c>
      <c r="AK26" s="69">
        <v>808.92543687820432</v>
      </c>
      <c r="AL26" s="69">
        <v>3440.5808035532632</v>
      </c>
      <c r="AM26" s="69">
        <v>2823.8901395161952</v>
      </c>
      <c r="AN26" s="69">
        <v>521.38373988469436</v>
      </c>
      <c r="AO26" s="69">
        <v>1698.4260976155599</v>
      </c>
      <c r="AP26" s="69">
        <v>430.2650084495545</v>
      </c>
      <c r="AQ26" s="69">
        <v>712.08026733398435</v>
      </c>
    </row>
    <row r="27" spans="1:43">
      <c r="A27" s="11">
        <v>41233</v>
      </c>
      <c r="B27" s="59"/>
      <c r="C27" s="60">
        <v>168.46582124233194</v>
      </c>
      <c r="D27" s="60">
        <v>1481.4601407368993</v>
      </c>
      <c r="E27" s="50">
        <v>13.808409019311314</v>
      </c>
      <c r="F27" s="60">
        <v>0</v>
      </c>
      <c r="G27" s="60">
        <v>3269.4189793904561</v>
      </c>
      <c r="H27" s="61">
        <v>34.172803600629202</v>
      </c>
      <c r="I27" s="59">
        <v>289.77619131406135</v>
      </c>
      <c r="J27" s="60">
        <v>634.4543838500997</v>
      </c>
      <c r="K27" s="60">
        <v>13.793419689933479</v>
      </c>
      <c r="L27" s="50">
        <v>0</v>
      </c>
      <c r="M27" s="60">
        <v>0</v>
      </c>
      <c r="N27" s="61">
        <v>0</v>
      </c>
      <c r="O27" s="59">
        <v>0</v>
      </c>
      <c r="P27" s="60">
        <v>0</v>
      </c>
      <c r="Q27" s="60">
        <v>0</v>
      </c>
      <c r="R27" s="63">
        <v>0</v>
      </c>
      <c r="S27" s="60">
        <v>0</v>
      </c>
      <c r="T27" s="64">
        <v>0</v>
      </c>
      <c r="U27" s="65">
        <v>268.95174110534373</v>
      </c>
      <c r="V27" s="62">
        <v>129.9563645753324</v>
      </c>
      <c r="W27" s="62">
        <v>21.925927968334825</v>
      </c>
      <c r="X27" s="62">
        <v>10.594517354655578</v>
      </c>
      <c r="Y27" s="62">
        <v>100.29220343550602</v>
      </c>
      <c r="Z27" s="62">
        <v>48.460776272212293</v>
      </c>
      <c r="AA27" s="72">
        <v>0</v>
      </c>
      <c r="AB27" s="69">
        <v>0</v>
      </c>
      <c r="AC27" s="69">
        <v>0</v>
      </c>
      <c r="AD27" s="69">
        <v>13.676049583488048</v>
      </c>
      <c r="AE27" s="69">
        <v>9.0019168316204379</v>
      </c>
      <c r="AF27" s="69">
        <v>4.3496888357702597</v>
      </c>
      <c r="AG27" s="69">
        <v>0.67421979467280668</v>
      </c>
      <c r="AH27" s="69">
        <v>271.32354760169983</v>
      </c>
      <c r="AI27" s="69">
        <v>945.01512657801322</v>
      </c>
      <c r="AJ27" s="69">
        <v>3018.5239955902098</v>
      </c>
      <c r="AK27" s="69">
        <v>809.94648513793936</v>
      </c>
      <c r="AL27" s="69">
        <v>3416.2203505198163</v>
      </c>
      <c r="AM27" s="69">
        <v>2802.427906036377</v>
      </c>
      <c r="AN27" s="69">
        <v>522.87114035288494</v>
      </c>
      <c r="AO27" s="69">
        <v>1708.157316716512</v>
      </c>
      <c r="AP27" s="69">
        <v>436.75744988123574</v>
      </c>
      <c r="AQ27" s="69">
        <v>793.49692398707066</v>
      </c>
    </row>
    <row r="28" spans="1:43">
      <c r="A28" s="11">
        <v>41234</v>
      </c>
      <c r="B28" s="59"/>
      <c r="C28" s="60">
        <v>168.35927199522632</v>
      </c>
      <c r="D28" s="60">
        <v>1480.3510294596354</v>
      </c>
      <c r="E28" s="50">
        <v>13.813914971053602</v>
      </c>
      <c r="F28" s="60">
        <v>0</v>
      </c>
      <c r="G28" s="60">
        <v>3261.5003473917632</v>
      </c>
      <c r="H28" s="61">
        <v>34.042961031198544</v>
      </c>
      <c r="I28" s="59">
        <v>294.31676030159025</v>
      </c>
      <c r="J28" s="60">
        <v>634.70543632507349</v>
      </c>
      <c r="K28" s="60">
        <v>13.709055789311744</v>
      </c>
      <c r="L28" s="50">
        <v>0</v>
      </c>
      <c r="M28" s="60">
        <v>0</v>
      </c>
      <c r="N28" s="61">
        <v>0</v>
      </c>
      <c r="O28" s="59">
        <v>0</v>
      </c>
      <c r="P28" s="60">
        <v>0</v>
      </c>
      <c r="Q28" s="60">
        <v>0</v>
      </c>
      <c r="R28" s="63">
        <v>0</v>
      </c>
      <c r="S28" s="60">
        <v>0</v>
      </c>
      <c r="T28" s="64">
        <v>0</v>
      </c>
      <c r="U28" s="65">
        <v>267.28927363889954</v>
      </c>
      <c r="V28" s="62">
        <v>129.17439312864042</v>
      </c>
      <c r="W28" s="62">
        <v>21.817838886468593</v>
      </c>
      <c r="X28" s="62">
        <v>10.544029916237816</v>
      </c>
      <c r="Y28" s="66">
        <v>100.54384244674645</v>
      </c>
      <c r="Z28" s="66">
        <v>48.590389184214416</v>
      </c>
      <c r="AA28" s="67">
        <v>0</v>
      </c>
      <c r="AB28" s="68">
        <v>0</v>
      </c>
      <c r="AC28" s="69">
        <v>0</v>
      </c>
      <c r="AD28" s="69">
        <v>13.676783677604488</v>
      </c>
      <c r="AE28" s="68">
        <v>9.0007784848958767</v>
      </c>
      <c r="AF28" s="68">
        <v>4.3498569270777541</v>
      </c>
      <c r="AG28" s="68">
        <v>0.67418352813555615</v>
      </c>
      <c r="AH28" s="69">
        <v>255.45566697120663</v>
      </c>
      <c r="AI28" s="69">
        <v>932.07892535527537</v>
      </c>
      <c r="AJ28" s="69">
        <v>3046.9411769866938</v>
      </c>
      <c r="AK28" s="69">
        <v>813.00064735412593</v>
      </c>
      <c r="AL28" s="69">
        <v>3268.0507113138838</v>
      </c>
      <c r="AM28" s="69">
        <v>2776.1487834930422</v>
      </c>
      <c r="AN28" s="69">
        <v>505.6311360041301</v>
      </c>
      <c r="AO28" s="69">
        <v>1711.3868233998617</v>
      </c>
      <c r="AP28" s="69">
        <v>406.31066287358601</v>
      </c>
      <c r="AQ28" s="69">
        <v>834.59075098037715</v>
      </c>
    </row>
    <row r="29" spans="1:43">
      <c r="A29" s="11">
        <v>41235</v>
      </c>
      <c r="B29" s="59"/>
      <c r="C29" s="60">
        <v>168.15427202383628</v>
      </c>
      <c r="D29" s="60">
        <v>1479.5021599451725</v>
      </c>
      <c r="E29" s="50">
        <v>13.81388994753363</v>
      </c>
      <c r="F29" s="60">
        <v>0</v>
      </c>
      <c r="G29" s="60">
        <v>3261.764757792143</v>
      </c>
      <c r="H29" s="61">
        <v>33.139919685324109</v>
      </c>
      <c r="I29" s="59">
        <v>318.64407661755871</v>
      </c>
      <c r="J29" s="60">
        <v>648.60923633575476</v>
      </c>
      <c r="K29" s="60">
        <v>13.907112199068081</v>
      </c>
      <c r="L29" s="50">
        <v>0</v>
      </c>
      <c r="M29" s="60">
        <v>0</v>
      </c>
      <c r="N29" s="61">
        <v>0</v>
      </c>
      <c r="O29" s="59">
        <v>0</v>
      </c>
      <c r="P29" s="60">
        <v>0</v>
      </c>
      <c r="Q29" s="60">
        <v>0</v>
      </c>
      <c r="R29" s="63">
        <v>0</v>
      </c>
      <c r="S29" s="60">
        <v>0</v>
      </c>
      <c r="T29" s="64">
        <v>0</v>
      </c>
      <c r="U29" s="65">
        <v>270.72642316518602</v>
      </c>
      <c r="V29" s="62">
        <v>130.59206247629029</v>
      </c>
      <c r="W29" s="62">
        <v>21.577112850438493</v>
      </c>
      <c r="X29" s="62">
        <v>10.408292018482161</v>
      </c>
      <c r="Y29" s="66">
        <v>99.925026321959379</v>
      </c>
      <c r="Z29" s="66">
        <v>48.201483725953338</v>
      </c>
      <c r="AA29" s="67">
        <v>0</v>
      </c>
      <c r="AB29" s="68">
        <v>0</v>
      </c>
      <c r="AC29" s="69">
        <v>0</v>
      </c>
      <c r="AD29" s="69">
        <v>13.474831343359435</v>
      </c>
      <c r="AE29" s="68">
        <v>8.9120154418823976</v>
      </c>
      <c r="AF29" s="68">
        <v>4.2989467513699031</v>
      </c>
      <c r="AG29" s="68">
        <v>0.67459245674280599</v>
      </c>
      <c r="AH29" s="69">
        <v>282.71767659187316</v>
      </c>
      <c r="AI29" s="69">
        <v>962.92704130808488</v>
      </c>
      <c r="AJ29" s="69">
        <v>3012.1911933898919</v>
      </c>
      <c r="AK29" s="69">
        <v>813.98886493047075</v>
      </c>
      <c r="AL29" s="69">
        <v>3309.5347094217932</v>
      </c>
      <c r="AM29" s="69">
        <v>2791.5292512257884</v>
      </c>
      <c r="AN29" s="69">
        <v>523.07657693227134</v>
      </c>
      <c r="AO29" s="69">
        <v>1675.6809862772625</v>
      </c>
      <c r="AP29" s="69">
        <v>406.32205842336009</v>
      </c>
      <c r="AQ29" s="69">
        <v>694.19861660003653</v>
      </c>
    </row>
    <row r="30" spans="1:43">
      <c r="A30" s="11">
        <v>41236</v>
      </c>
      <c r="B30" s="59"/>
      <c r="C30" s="60">
        <v>168.56744891007705</v>
      </c>
      <c r="D30" s="60">
        <v>1480.8382420857763</v>
      </c>
      <c r="E30" s="50">
        <v>13.783391191562037</v>
      </c>
      <c r="F30" s="60">
        <v>0</v>
      </c>
      <c r="G30" s="60">
        <v>3259.6985272725406</v>
      </c>
      <c r="H30" s="61">
        <v>34.08285950024927</v>
      </c>
      <c r="I30" s="59">
        <v>279.9773340702057</v>
      </c>
      <c r="J30" s="60">
        <v>623.27488867441764</v>
      </c>
      <c r="K30" s="60">
        <v>13.357567202051497</v>
      </c>
      <c r="L30" s="50">
        <v>0</v>
      </c>
      <c r="M30" s="60">
        <v>0</v>
      </c>
      <c r="N30" s="61">
        <v>0</v>
      </c>
      <c r="O30" s="59">
        <v>0</v>
      </c>
      <c r="P30" s="60">
        <v>0</v>
      </c>
      <c r="Q30" s="60">
        <v>0</v>
      </c>
      <c r="R30" s="63">
        <v>0</v>
      </c>
      <c r="S30" s="60">
        <v>0</v>
      </c>
      <c r="T30" s="64">
        <v>0</v>
      </c>
      <c r="U30" s="65">
        <v>278.91893128041175</v>
      </c>
      <c r="V30" s="62">
        <v>134.8351561889001</v>
      </c>
      <c r="W30" s="62">
        <v>21.975606451493785</v>
      </c>
      <c r="X30" s="62">
        <v>10.62346078349921</v>
      </c>
      <c r="Y30" s="66">
        <v>102.49015182465412</v>
      </c>
      <c r="Z30" s="66">
        <v>49.545850350358918</v>
      </c>
      <c r="AA30" s="67">
        <v>0</v>
      </c>
      <c r="AB30" s="68">
        <v>0</v>
      </c>
      <c r="AC30" s="69">
        <v>0</v>
      </c>
      <c r="AD30" s="69">
        <v>13.496965694427502</v>
      </c>
      <c r="AE30" s="68">
        <v>8.9969730791826841</v>
      </c>
      <c r="AF30" s="68">
        <v>4.3493220943806268</v>
      </c>
      <c r="AG30" s="68">
        <v>0.67411764554736675</v>
      </c>
      <c r="AH30" s="69">
        <v>301.0831032752991</v>
      </c>
      <c r="AI30" s="69">
        <v>997.66639442443864</v>
      </c>
      <c r="AJ30" s="69">
        <v>3069.8705420176193</v>
      </c>
      <c r="AK30" s="69">
        <v>814.62840951283795</v>
      </c>
      <c r="AL30" s="69">
        <v>3264.3266284942633</v>
      </c>
      <c r="AM30" s="69">
        <v>2821.1379445393877</v>
      </c>
      <c r="AN30" s="69">
        <v>546.488365650177</v>
      </c>
      <c r="AO30" s="69">
        <v>1766.5715451558431</v>
      </c>
      <c r="AP30" s="69">
        <v>439.16922267278028</v>
      </c>
      <c r="AQ30" s="69">
        <v>662.84479398727422</v>
      </c>
    </row>
    <row r="31" spans="1:43">
      <c r="A31" s="11">
        <v>41237</v>
      </c>
      <c r="B31" s="59"/>
      <c r="C31" s="60">
        <v>168.81586185296311</v>
      </c>
      <c r="D31" s="60">
        <v>1484.323022079466</v>
      </c>
      <c r="E31" s="60">
        <v>13.632367084423713</v>
      </c>
      <c r="F31" s="60">
        <v>0</v>
      </c>
      <c r="G31" s="60">
        <v>3295.8045580546054</v>
      </c>
      <c r="H31" s="61">
        <v>34.126467063029615</v>
      </c>
      <c r="I31" s="59">
        <v>248.36789514223673</v>
      </c>
      <c r="J31" s="60">
        <v>572.80800793965659</v>
      </c>
      <c r="K31" s="60">
        <v>12.416487538317826</v>
      </c>
      <c r="L31" s="50">
        <v>0</v>
      </c>
      <c r="M31" s="60">
        <v>0</v>
      </c>
      <c r="N31" s="61">
        <v>0</v>
      </c>
      <c r="O31" s="59">
        <v>0</v>
      </c>
      <c r="P31" s="60">
        <v>0</v>
      </c>
      <c r="Q31" s="60">
        <v>0</v>
      </c>
      <c r="R31" s="63">
        <v>0</v>
      </c>
      <c r="S31" s="60">
        <v>0</v>
      </c>
      <c r="T31" s="64">
        <v>0</v>
      </c>
      <c r="U31" s="65">
        <v>249.61617751114312</v>
      </c>
      <c r="V31" s="62">
        <v>132.69992123187853</v>
      </c>
      <c r="W31" s="62">
        <v>19.930103147701978</v>
      </c>
      <c r="X31" s="62">
        <v>10.595159112735008</v>
      </c>
      <c r="Y31" s="66">
        <v>93.40657129093151</v>
      </c>
      <c r="Z31" s="66">
        <v>49.656415607490551</v>
      </c>
      <c r="AA31" s="67">
        <v>0</v>
      </c>
      <c r="AB31" s="68">
        <v>0</v>
      </c>
      <c r="AC31" s="69">
        <v>0</v>
      </c>
      <c r="AD31" s="69">
        <v>12.685238178736638</v>
      </c>
      <c r="AE31" s="68">
        <v>8.1830215536365998</v>
      </c>
      <c r="AF31" s="68">
        <v>4.3502241178173096</v>
      </c>
      <c r="AG31" s="68">
        <v>0.65290522248953375</v>
      </c>
      <c r="AH31" s="69">
        <v>289.15705142021181</v>
      </c>
      <c r="AI31" s="69">
        <v>980.45565064748132</v>
      </c>
      <c r="AJ31" s="69">
        <v>3039.504180018107</v>
      </c>
      <c r="AK31" s="69">
        <v>799.35111462275188</v>
      </c>
      <c r="AL31" s="69">
        <v>3219.7366186777745</v>
      </c>
      <c r="AM31" s="69">
        <v>2822.0071875254316</v>
      </c>
      <c r="AN31" s="69">
        <v>529.88809924125667</v>
      </c>
      <c r="AO31" s="69">
        <v>1724.8917074203493</v>
      </c>
      <c r="AP31" s="69">
        <v>406.12964437802634</v>
      </c>
      <c r="AQ31" s="69">
        <v>723.57286755243922</v>
      </c>
    </row>
    <row r="32" spans="1:43">
      <c r="A32" s="11">
        <v>41238</v>
      </c>
      <c r="B32" s="59"/>
      <c r="C32" s="60">
        <v>169.25465289751631</v>
      </c>
      <c r="D32" s="60">
        <v>1487.9523758570356</v>
      </c>
      <c r="E32" s="60">
        <v>13.786059422791002</v>
      </c>
      <c r="F32" s="60">
        <v>0</v>
      </c>
      <c r="G32" s="60">
        <v>3348.0158510843808</v>
      </c>
      <c r="H32" s="61">
        <v>36.111437674363479</v>
      </c>
      <c r="I32" s="59">
        <v>235.08832445144617</v>
      </c>
      <c r="J32" s="60">
        <v>554.44505160649624</v>
      </c>
      <c r="K32" s="60">
        <v>12.063986011346167</v>
      </c>
      <c r="L32" s="50">
        <v>0</v>
      </c>
      <c r="M32" s="60">
        <v>0</v>
      </c>
      <c r="N32" s="61">
        <v>0</v>
      </c>
      <c r="O32" s="59">
        <v>0</v>
      </c>
      <c r="P32" s="60">
        <v>0</v>
      </c>
      <c r="Q32" s="60">
        <v>0</v>
      </c>
      <c r="R32" s="63">
        <v>0</v>
      </c>
      <c r="S32" s="60">
        <v>0</v>
      </c>
      <c r="T32" s="64">
        <v>0</v>
      </c>
      <c r="U32" s="65">
        <v>235.53587823294995</v>
      </c>
      <c r="V32" s="62">
        <v>124.67963060951878</v>
      </c>
      <c r="W32" s="62">
        <v>19.10392603697813</v>
      </c>
      <c r="X32" s="62">
        <v>10.112558899100209</v>
      </c>
      <c r="Y32" s="66">
        <v>86.173080959072195</v>
      </c>
      <c r="Z32" s="66">
        <v>45.615249715099488</v>
      </c>
      <c r="AA32" s="67">
        <v>0</v>
      </c>
      <c r="AB32" s="68">
        <v>0</v>
      </c>
      <c r="AC32" s="69">
        <v>0</v>
      </c>
      <c r="AD32" s="69">
        <v>12.227184714873617</v>
      </c>
      <c r="AE32" s="68">
        <v>7.8976270124170425</v>
      </c>
      <c r="AF32" s="68">
        <v>4.1805657209728864</v>
      </c>
      <c r="AG32" s="68">
        <v>0.65387489558634104</v>
      </c>
      <c r="AH32" s="69">
        <v>283.26001334190369</v>
      </c>
      <c r="AI32" s="69">
        <v>976.35496772130341</v>
      </c>
      <c r="AJ32" s="69">
        <v>3051.7976380666096</v>
      </c>
      <c r="AK32" s="69">
        <v>799.55046059290567</v>
      </c>
      <c r="AL32" s="69">
        <v>3362.2044531504312</v>
      </c>
      <c r="AM32" s="69">
        <v>2797.9832392374669</v>
      </c>
      <c r="AN32" s="69">
        <v>515.12430356343589</v>
      </c>
      <c r="AO32" s="69">
        <v>1649.8994075775145</v>
      </c>
      <c r="AP32" s="69">
        <v>435.38385836283368</v>
      </c>
      <c r="AQ32" s="69">
        <v>665.04967333475759</v>
      </c>
    </row>
    <row r="33" spans="1:43">
      <c r="A33" s="11">
        <v>41239</v>
      </c>
      <c r="B33" s="59"/>
      <c r="C33" s="60">
        <v>160.80199979941065</v>
      </c>
      <c r="D33" s="60">
        <v>1414.7320267995201</v>
      </c>
      <c r="E33" s="60">
        <v>13.200479531288142</v>
      </c>
      <c r="F33" s="60">
        <v>0</v>
      </c>
      <c r="G33" s="60">
        <v>3224.5248016357614</v>
      </c>
      <c r="H33" s="61">
        <v>32.577273730437035</v>
      </c>
      <c r="I33" s="59">
        <v>234.65890218416826</v>
      </c>
      <c r="J33" s="60">
        <v>554.83321037292444</v>
      </c>
      <c r="K33" s="60">
        <v>12.037703719238429</v>
      </c>
      <c r="L33" s="50">
        <v>0</v>
      </c>
      <c r="M33" s="60">
        <v>0</v>
      </c>
      <c r="N33" s="61">
        <v>0</v>
      </c>
      <c r="O33" s="59">
        <v>0</v>
      </c>
      <c r="P33" s="60">
        <v>0</v>
      </c>
      <c r="Q33" s="60">
        <v>0</v>
      </c>
      <c r="R33" s="63">
        <v>0</v>
      </c>
      <c r="S33" s="60">
        <v>0</v>
      </c>
      <c r="T33" s="64">
        <v>0</v>
      </c>
      <c r="U33" s="65">
        <v>229.68508441643166</v>
      </c>
      <c r="V33" s="62">
        <v>117.89549082720141</v>
      </c>
      <c r="W33" s="62">
        <v>19.169819736080917</v>
      </c>
      <c r="X33" s="62">
        <v>9.839712981782764</v>
      </c>
      <c r="Y33" s="66">
        <v>83.512732731434269</v>
      </c>
      <c r="Z33" s="66">
        <v>42.866408329077231</v>
      </c>
      <c r="AA33" s="67">
        <v>0</v>
      </c>
      <c r="AB33" s="68">
        <v>0</v>
      </c>
      <c r="AC33" s="69">
        <v>0</v>
      </c>
      <c r="AD33" s="69">
        <v>11.984167931477229</v>
      </c>
      <c r="AE33" s="68">
        <v>7.8217657127051634</v>
      </c>
      <c r="AF33" s="68">
        <v>4.014848897035213</v>
      </c>
      <c r="AG33" s="68">
        <v>0.66081104864803286</v>
      </c>
      <c r="AH33" s="69">
        <v>321.48229352633155</v>
      </c>
      <c r="AI33" s="69">
        <v>1055.2936775843302</v>
      </c>
      <c r="AJ33" s="69">
        <v>2981.2286052703857</v>
      </c>
      <c r="AK33" s="69">
        <v>804.8279972076416</v>
      </c>
      <c r="AL33" s="69">
        <v>3342.303100713094</v>
      </c>
      <c r="AM33" s="69">
        <v>2909.9636539459229</v>
      </c>
      <c r="AN33" s="69">
        <v>576.38256587982175</v>
      </c>
      <c r="AO33" s="69">
        <v>1642.9282313028968</v>
      </c>
      <c r="AP33" s="69">
        <v>465.74879315694176</v>
      </c>
      <c r="AQ33" s="69">
        <v>687.55102965037031</v>
      </c>
    </row>
    <row r="34" spans="1:43">
      <c r="A34" s="11">
        <v>41240</v>
      </c>
      <c r="B34" s="59"/>
      <c r="C34" s="60">
        <v>156.92369885444643</v>
      </c>
      <c r="D34" s="60">
        <v>1378.7153612772599</v>
      </c>
      <c r="E34" s="60">
        <v>12.880069535473972</v>
      </c>
      <c r="F34" s="60">
        <v>0</v>
      </c>
      <c r="G34" s="60">
        <v>3114.1597591400237</v>
      </c>
      <c r="H34" s="61">
        <v>31.704028164347083</v>
      </c>
      <c r="I34" s="59">
        <v>236.81123897234556</v>
      </c>
      <c r="J34" s="60">
        <v>554.24652090072573</v>
      </c>
      <c r="K34" s="60">
        <v>11.994172491629907</v>
      </c>
      <c r="L34" s="50">
        <v>0</v>
      </c>
      <c r="M34" s="60">
        <v>0</v>
      </c>
      <c r="N34" s="61">
        <v>0</v>
      </c>
      <c r="O34" s="59">
        <v>0</v>
      </c>
      <c r="P34" s="60">
        <v>0</v>
      </c>
      <c r="Q34" s="60">
        <v>0</v>
      </c>
      <c r="R34" s="63">
        <v>0</v>
      </c>
      <c r="S34" s="60">
        <v>0</v>
      </c>
      <c r="T34" s="64">
        <v>0</v>
      </c>
      <c r="U34" s="65">
        <v>224.3461590307956</v>
      </c>
      <c r="V34" s="62">
        <v>112.21595074686701</v>
      </c>
      <c r="W34" s="62">
        <v>18.876301203688588</v>
      </c>
      <c r="X34" s="62">
        <v>9.4417577519808589</v>
      </c>
      <c r="Y34" s="66">
        <v>81.211400277096416</v>
      </c>
      <c r="Z34" s="66">
        <v>40.621219159485577</v>
      </c>
      <c r="AA34" s="67">
        <v>0</v>
      </c>
      <c r="AB34" s="68">
        <v>0</v>
      </c>
      <c r="AC34" s="69">
        <v>0</v>
      </c>
      <c r="AD34" s="69">
        <v>11.789074053035844</v>
      </c>
      <c r="AE34" s="68">
        <v>7.7611922609002697</v>
      </c>
      <c r="AF34" s="68">
        <v>3.882079248642714</v>
      </c>
      <c r="AG34" s="68">
        <v>0.66658174676585447</v>
      </c>
      <c r="AH34" s="69">
        <v>303.63565553029377</v>
      </c>
      <c r="AI34" s="69">
        <v>1042.6660455703736</v>
      </c>
      <c r="AJ34" s="69">
        <v>2934.9876575469971</v>
      </c>
      <c r="AK34" s="69">
        <v>797.99601729710889</v>
      </c>
      <c r="AL34" s="69">
        <v>3359.0787855784101</v>
      </c>
      <c r="AM34" s="69">
        <v>2880.5658401489259</v>
      </c>
      <c r="AN34" s="69">
        <v>593.43602650960281</v>
      </c>
      <c r="AO34" s="69">
        <v>1866.3353262583412</v>
      </c>
      <c r="AP34" s="69">
        <v>455.56253951390585</v>
      </c>
      <c r="AQ34" s="69">
        <v>675.19945933024076</v>
      </c>
    </row>
    <row r="35" spans="1:43">
      <c r="A35" s="11">
        <v>41241</v>
      </c>
      <c r="B35" s="59"/>
      <c r="C35" s="60">
        <v>154.89536905288679</v>
      </c>
      <c r="D35" s="60">
        <v>1362.5484397888151</v>
      </c>
      <c r="E35" s="60">
        <v>12.888236330449585</v>
      </c>
      <c r="F35" s="60">
        <v>0</v>
      </c>
      <c r="G35" s="60">
        <v>3121.8871836344501</v>
      </c>
      <c r="H35" s="61">
        <v>31.313501216967932</v>
      </c>
      <c r="I35" s="59">
        <v>256.20400331815068</v>
      </c>
      <c r="J35" s="60">
        <v>598.81573136647501</v>
      </c>
      <c r="K35" s="60">
        <v>12.964784292876724</v>
      </c>
      <c r="L35" s="50">
        <v>0</v>
      </c>
      <c r="M35" s="60">
        <v>0</v>
      </c>
      <c r="N35" s="61">
        <v>0</v>
      </c>
      <c r="O35" s="59">
        <v>0</v>
      </c>
      <c r="P35" s="60">
        <v>0</v>
      </c>
      <c r="Q35" s="60">
        <v>0</v>
      </c>
      <c r="R35" s="63">
        <v>0</v>
      </c>
      <c r="S35" s="60">
        <v>0</v>
      </c>
      <c r="T35" s="64">
        <v>0</v>
      </c>
      <c r="U35" s="65">
        <v>245.83902766997576</v>
      </c>
      <c r="V35" s="62">
        <v>113.94846745568984</v>
      </c>
      <c r="W35" s="62">
        <v>20.583828881051957</v>
      </c>
      <c r="X35" s="62">
        <v>9.5407786859404826</v>
      </c>
      <c r="Y35" s="66">
        <v>88.620602052715896</v>
      </c>
      <c r="Z35" s="66">
        <v>41.076398180616557</v>
      </c>
      <c r="AA35" s="67">
        <v>0</v>
      </c>
      <c r="AB35" s="68">
        <v>0</v>
      </c>
      <c r="AC35" s="69">
        <v>0</v>
      </c>
      <c r="AD35" s="69">
        <v>12.776710534758044</v>
      </c>
      <c r="AE35" s="68">
        <v>8.6293863656579095</v>
      </c>
      <c r="AF35" s="68">
        <v>3.9997935265582516</v>
      </c>
      <c r="AG35" s="68">
        <v>0.68328952784784747</v>
      </c>
      <c r="AH35" s="69">
        <v>283.27472650210058</v>
      </c>
      <c r="AI35" s="69">
        <v>1001.227267773946</v>
      </c>
      <c r="AJ35" s="69">
        <v>2933.9682356516519</v>
      </c>
      <c r="AK35" s="69">
        <v>804.79256194432583</v>
      </c>
      <c r="AL35" s="69">
        <v>3384.1430178324385</v>
      </c>
      <c r="AM35" s="69">
        <v>2789.1494775136307</v>
      </c>
      <c r="AN35" s="69">
        <v>558.19919398625711</v>
      </c>
      <c r="AO35" s="69">
        <v>1791.1049798329675</v>
      </c>
      <c r="AP35" s="69">
        <v>434.80702575047809</v>
      </c>
      <c r="AQ35" s="69">
        <v>687.4237492561341</v>
      </c>
    </row>
    <row r="36" spans="1:43">
      <c r="A36" s="11">
        <v>41242</v>
      </c>
      <c r="B36" s="59"/>
      <c r="C36" s="60">
        <v>154.71808427174872</v>
      </c>
      <c r="D36" s="60">
        <v>1359.5571594238261</v>
      </c>
      <c r="E36" s="60">
        <v>12.899786559740704</v>
      </c>
      <c r="F36" s="60">
        <v>0</v>
      </c>
      <c r="G36" s="60">
        <v>3076.4846984863193</v>
      </c>
      <c r="H36" s="61">
        <v>31.416626621286138</v>
      </c>
      <c r="I36" s="59">
        <v>279.49585792223598</v>
      </c>
      <c r="J36" s="60">
        <v>642.54672759373898</v>
      </c>
      <c r="K36" s="60">
        <v>14.099502507845587</v>
      </c>
      <c r="L36" s="50">
        <v>0</v>
      </c>
      <c r="M36" s="60">
        <v>0</v>
      </c>
      <c r="N36" s="61">
        <v>0</v>
      </c>
      <c r="O36" s="59">
        <v>0</v>
      </c>
      <c r="P36" s="60">
        <v>0</v>
      </c>
      <c r="Q36" s="60">
        <v>0</v>
      </c>
      <c r="R36" s="63">
        <v>0</v>
      </c>
      <c r="S36" s="60">
        <v>0</v>
      </c>
      <c r="T36" s="64">
        <v>0</v>
      </c>
      <c r="U36" s="65">
        <v>265.03199314500847</v>
      </c>
      <c r="V36" s="62">
        <v>117.46367971672524</v>
      </c>
      <c r="W36" s="62">
        <v>21.08709636764797</v>
      </c>
      <c r="X36" s="62">
        <v>9.3459204848898505</v>
      </c>
      <c r="Y36" s="66">
        <v>92.025260313986934</v>
      </c>
      <c r="Z36" s="66">
        <v>40.786116329193867</v>
      </c>
      <c r="AA36" s="67">
        <v>0</v>
      </c>
      <c r="AB36" s="68">
        <v>0</v>
      </c>
      <c r="AC36" s="69">
        <v>0</v>
      </c>
      <c r="AD36" s="69">
        <v>13.026575984557494</v>
      </c>
      <c r="AE36" s="68">
        <v>8.9202679707822039</v>
      </c>
      <c r="AF36" s="68">
        <v>3.9535132625819651</v>
      </c>
      <c r="AG36" s="68">
        <v>0.6929019383725511</v>
      </c>
      <c r="AH36" s="69">
        <v>272.13187556266786</v>
      </c>
      <c r="AI36" s="69">
        <v>975.50737269719446</v>
      </c>
      <c r="AJ36" s="69">
        <v>3016.186548868815</v>
      </c>
      <c r="AK36" s="69">
        <v>801.68985141118367</v>
      </c>
      <c r="AL36" s="69">
        <v>3353.6749969482421</v>
      </c>
      <c r="AM36" s="69">
        <v>2745.1461680094403</v>
      </c>
      <c r="AN36" s="69">
        <v>529.78861970901482</v>
      </c>
      <c r="AO36" s="69">
        <v>1806.1480443318683</v>
      </c>
      <c r="AP36" s="69">
        <v>416.4355489095052</v>
      </c>
      <c r="AQ36" s="69">
        <v>700.99980160395296</v>
      </c>
    </row>
    <row r="37" spans="1:43">
      <c r="A37" s="11">
        <v>41243</v>
      </c>
      <c r="B37" s="59"/>
      <c r="C37" s="60">
        <v>154.24408549467682</v>
      </c>
      <c r="D37" s="60">
        <v>1356.1486361185691</v>
      </c>
      <c r="E37" s="60">
        <v>12.900166593988734</v>
      </c>
      <c r="F37" s="60">
        <v>0</v>
      </c>
      <c r="G37" s="60">
        <v>3078.7383780161467</v>
      </c>
      <c r="H37" s="61">
        <v>31.334618647893308</v>
      </c>
      <c r="I37" s="59">
        <v>263.96336054801935</v>
      </c>
      <c r="J37" s="60">
        <v>622.66157220204593</v>
      </c>
      <c r="K37" s="60">
        <v>13.273907848199279</v>
      </c>
      <c r="L37" s="60">
        <v>0.16395552158355631</v>
      </c>
      <c r="M37" s="60">
        <v>0</v>
      </c>
      <c r="N37" s="61">
        <v>0</v>
      </c>
      <c r="O37" s="59">
        <v>0</v>
      </c>
      <c r="P37" s="60">
        <v>0</v>
      </c>
      <c r="Q37" s="60">
        <v>0</v>
      </c>
      <c r="R37" s="63">
        <v>0</v>
      </c>
      <c r="S37" s="60">
        <v>0</v>
      </c>
      <c r="T37" s="64">
        <v>0</v>
      </c>
      <c r="U37" s="65">
        <v>287.39556050958419</v>
      </c>
      <c r="V37" s="62">
        <v>127.63358487955409</v>
      </c>
      <c r="W37" s="62">
        <v>22.212229190709667</v>
      </c>
      <c r="X37" s="62">
        <v>9.8645450011466274</v>
      </c>
      <c r="Y37" s="66">
        <v>97.508572324233327</v>
      </c>
      <c r="Z37" s="66">
        <v>43.303969693067479</v>
      </c>
      <c r="AA37" s="67">
        <v>0</v>
      </c>
      <c r="AB37" s="68">
        <v>0</v>
      </c>
      <c r="AC37" s="69">
        <v>0</v>
      </c>
      <c r="AD37" s="69">
        <v>13.170979877312977</v>
      </c>
      <c r="AE37" s="68">
        <v>8.999879350610275</v>
      </c>
      <c r="AF37" s="68">
        <v>3.9968845133345594</v>
      </c>
      <c r="AG37" s="68">
        <v>0.69247079079257745</v>
      </c>
      <c r="AH37" s="69">
        <v>264.20929234822597</v>
      </c>
      <c r="AI37" s="69">
        <v>970.18802007039403</v>
      </c>
      <c r="AJ37" s="69">
        <v>3116.5294127146403</v>
      </c>
      <c r="AK37" s="69">
        <v>805.86027088165292</v>
      </c>
      <c r="AL37" s="69">
        <v>3505.3157073974621</v>
      </c>
      <c r="AM37" s="69">
        <v>2654.3526547749834</v>
      </c>
      <c r="AN37" s="69">
        <v>507.3796627680461</v>
      </c>
      <c r="AO37" s="69">
        <v>1762.412302398682</v>
      </c>
      <c r="AP37" s="69">
        <v>401.75309143066409</v>
      </c>
      <c r="AQ37" s="69">
        <v>721.9608900388082</v>
      </c>
    </row>
    <row r="38" spans="1:43" ht="15.75" thickBot="1">
      <c r="A38" s="11"/>
      <c r="B38" s="73"/>
      <c r="C38" s="74"/>
      <c r="D38" s="74"/>
      <c r="E38" s="74"/>
      <c r="F38" s="74"/>
      <c r="G38" s="74"/>
      <c r="H38" s="75"/>
      <c r="I38" s="76"/>
      <c r="J38" s="74"/>
      <c r="K38" s="74"/>
      <c r="L38" s="74"/>
      <c r="M38" s="74"/>
      <c r="N38" s="75"/>
      <c r="O38" s="76"/>
      <c r="P38" s="74"/>
      <c r="Q38" s="74"/>
      <c r="R38" s="77"/>
      <c r="S38" s="74"/>
      <c r="T38" s="78"/>
      <c r="U38" s="79"/>
      <c r="V38" s="80"/>
      <c r="W38" s="81"/>
      <c r="X38" s="81"/>
      <c r="Y38" s="80"/>
      <c r="Z38" s="80"/>
      <c r="AA38" s="82"/>
      <c r="AB38" s="83"/>
      <c r="AC38" s="84"/>
      <c r="AD38" s="85"/>
      <c r="AE38" s="83"/>
      <c r="AF38" s="83"/>
      <c r="AG38" s="83"/>
      <c r="AH38" s="84"/>
      <c r="AI38" s="84"/>
      <c r="AJ38" s="84"/>
      <c r="AK38" s="84"/>
      <c r="AL38" s="84"/>
      <c r="AM38" s="84"/>
      <c r="AN38" s="84"/>
      <c r="AO38" s="84"/>
      <c r="AP38" s="84"/>
      <c r="AQ38" s="84"/>
    </row>
    <row r="39" spans="1:43" ht="15.75" thickTop="1">
      <c r="A39" s="46" t="s">
        <v>170</v>
      </c>
      <c r="B39" s="29">
        <f>SUM(B8:B38)</f>
        <v>0</v>
      </c>
      <c r="C39" s="30">
        <f t="shared" ref="C39:AC39" si="0">SUM(C8:C38)</f>
        <v>4965.6120992024644</v>
      </c>
      <c r="D39" s="30">
        <f t="shared" si="0"/>
        <v>43680.743600751957</v>
      </c>
      <c r="E39" s="30">
        <f t="shared" si="0"/>
        <v>405.028661809862</v>
      </c>
      <c r="F39" s="30">
        <f t="shared" si="0"/>
        <v>0</v>
      </c>
      <c r="G39" s="30">
        <f t="shared" si="0"/>
        <v>100110.16705869036</v>
      </c>
      <c r="H39" s="31">
        <f t="shared" si="0"/>
        <v>1006.9637416263436</v>
      </c>
      <c r="I39" s="29">
        <f t="shared" si="0"/>
        <v>8107.2147394140529</v>
      </c>
      <c r="J39" s="30">
        <f t="shared" si="0"/>
        <v>17490.147485812511</v>
      </c>
      <c r="K39" s="30">
        <f t="shared" si="0"/>
        <v>381.428292440375</v>
      </c>
      <c r="L39" s="30">
        <f t="shared" si="0"/>
        <v>0.16395552158355631</v>
      </c>
      <c r="M39" s="30">
        <f t="shared" si="0"/>
        <v>0</v>
      </c>
      <c r="N39" s="31">
        <f t="shared" si="0"/>
        <v>0</v>
      </c>
      <c r="O39" s="260">
        <f t="shared" si="0"/>
        <v>0</v>
      </c>
      <c r="P39" s="261">
        <f t="shared" si="0"/>
        <v>0</v>
      </c>
      <c r="Q39" s="261">
        <f t="shared" si="0"/>
        <v>0</v>
      </c>
      <c r="R39" s="261">
        <f t="shared" si="0"/>
        <v>0</v>
      </c>
      <c r="S39" s="261">
        <f t="shared" si="0"/>
        <v>0</v>
      </c>
      <c r="T39" s="262">
        <f t="shared" si="0"/>
        <v>0</v>
      </c>
      <c r="U39" s="260">
        <f t="shared" si="0"/>
        <v>7558.7359717502823</v>
      </c>
      <c r="V39" s="261">
        <f t="shared" si="0"/>
        <v>3869.1666105189547</v>
      </c>
      <c r="W39" s="261">
        <f t="shared" si="0"/>
        <v>600.10097524696675</v>
      </c>
      <c r="X39" s="261">
        <f t="shared" si="0"/>
        <v>307.2868892433836</v>
      </c>
      <c r="Y39" s="261">
        <f t="shared" si="0"/>
        <v>2750.1082181175725</v>
      </c>
      <c r="Z39" s="261">
        <f t="shared" si="0"/>
        <v>1409.5783637324791</v>
      </c>
      <c r="AA39" s="269">
        <f t="shared" si="0"/>
        <v>0</v>
      </c>
      <c r="AB39" s="272">
        <f t="shared" si="0"/>
        <v>0</v>
      </c>
      <c r="AC39" s="272">
        <f t="shared" si="0"/>
        <v>0</v>
      </c>
      <c r="AD39" s="275" t="s">
        <v>29</v>
      </c>
      <c r="AE39" s="275" t="s">
        <v>29</v>
      </c>
      <c r="AF39" s="275" t="s">
        <v>29</v>
      </c>
      <c r="AG39" s="275" t="s">
        <v>158</v>
      </c>
      <c r="AH39" s="272">
        <f t="shared" ref="AH39:AQ39" si="1">SUM(AH8:AH38)</f>
        <v>8249.9249351183589</v>
      </c>
      <c r="AI39" s="272">
        <f t="shared" si="1"/>
        <v>28818.313107951479</v>
      </c>
      <c r="AJ39" s="272">
        <f t="shared" si="1"/>
        <v>91341.816483815521</v>
      </c>
      <c r="AK39" s="272">
        <f t="shared" si="1"/>
        <v>23925.684206962593</v>
      </c>
      <c r="AL39" s="272">
        <f t="shared" si="1"/>
        <v>100277.21469395957</v>
      </c>
      <c r="AM39" s="272">
        <f t="shared" si="1"/>
        <v>80755.279367574039</v>
      </c>
      <c r="AN39" s="272">
        <f t="shared" si="1"/>
        <v>15769.771888224283</v>
      </c>
      <c r="AO39" s="272">
        <f t="shared" si="1"/>
        <v>51246.558176104227</v>
      </c>
      <c r="AP39" s="272">
        <f t="shared" si="1"/>
        <v>13004.150900189081</v>
      </c>
      <c r="AQ39" s="272">
        <f t="shared" si="1"/>
        <v>21022.96605822245</v>
      </c>
    </row>
    <row r="40" spans="1:43" ht="15.75" thickBot="1">
      <c r="A40" s="47" t="s">
        <v>171</v>
      </c>
      <c r="B40" s="32">
        <f>Projection!$AD$30</f>
        <v>0.91139353199999984</v>
      </c>
      <c r="C40" s="33">
        <f>Projection!$AD$28</f>
        <v>1.4375491199999999</v>
      </c>
      <c r="D40" s="33">
        <f>Projection!$AD$31</f>
        <v>2.1834120000000001</v>
      </c>
      <c r="E40" s="33">
        <f>Projection!$AD$26</f>
        <v>4.7363493840000004</v>
      </c>
      <c r="F40" s="33">
        <f>Projection!$AD$23</f>
        <v>5.8379999999999994E-2</v>
      </c>
      <c r="G40" s="33">
        <f>Projection!$AD$24</f>
        <v>5.3200000000000004E-2</v>
      </c>
      <c r="H40" s="34">
        <f>Projection!$AD$29</f>
        <v>3.6371774160000006</v>
      </c>
      <c r="I40" s="32">
        <f>Projection!$AD$30</f>
        <v>0.91139353199999984</v>
      </c>
      <c r="J40" s="33">
        <f>Projection!$AD$28</f>
        <v>1.4375491199999999</v>
      </c>
      <c r="K40" s="33">
        <f>Projection!$AD$26</f>
        <v>4.7363493840000004</v>
      </c>
      <c r="L40" s="33">
        <f>Projection!$AD$25</f>
        <v>0.37613399999999997</v>
      </c>
      <c r="M40" s="33">
        <f>Projection!$AD$23</f>
        <v>5.8379999999999994E-2</v>
      </c>
      <c r="N40" s="34">
        <f>Projection!$AD$23</f>
        <v>5.8379999999999994E-2</v>
      </c>
      <c r="O40" s="263">
        <v>15.77</v>
      </c>
      <c r="P40" s="264">
        <v>15.77</v>
      </c>
      <c r="Q40" s="264">
        <v>15.77</v>
      </c>
      <c r="R40" s="264">
        <v>15.77</v>
      </c>
      <c r="S40" s="264">
        <f>Projection!$AD$28</f>
        <v>1.4375491199999999</v>
      </c>
      <c r="T40" s="265">
        <f>Projection!$AD$28</f>
        <v>1.4375491199999999</v>
      </c>
      <c r="U40" s="263">
        <f>Projection!$AD$27</f>
        <v>0.26250000000000001</v>
      </c>
      <c r="V40" s="264">
        <f>Projection!$AD$27</f>
        <v>0.26250000000000001</v>
      </c>
      <c r="W40" s="264">
        <f>Projection!$AD$22</f>
        <v>1.1499999999999999</v>
      </c>
      <c r="X40" s="264">
        <f>Projection!$AD$22</f>
        <v>1.1499999999999999</v>
      </c>
      <c r="Y40" s="264">
        <f>Projection!$AD$31</f>
        <v>2.1834120000000001</v>
      </c>
      <c r="Z40" s="264">
        <f>Projection!$AD$31</f>
        <v>2.1834120000000001</v>
      </c>
      <c r="AA40" s="270">
        <v>0</v>
      </c>
      <c r="AB40" s="273">
        <f>Projection!$AD$27</f>
        <v>0.26250000000000001</v>
      </c>
      <c r="AC40" s="273">
        <f>Projection!$AD$30</f>
        <v>0.91139353199999984</v>
      </c>
      <c r="AD40" s="276">
        <f>SUM(AD8:AD38)</f>
        <v>380.94833567291499</v>
      </c>
      <c r="AE40" s="276">
        <f>SUM(AE8:AE38)</f>
        <v>247.89204054368099</v>
      </c>
      <c r="AF40" s="276">
        <f>SUM(AF8:AF38)</f>
        <v>126.94659719501722</v>
      </c>
      <c r="AG40" s="276">
        <f>IF(SUM(AE40:AF40)&gt;0, AE40/(AE40+AF40), "")</f>
        <v>0.66133001133273706</v>
      </c>
      <c r="AH40" s="303">
        <v>7.5999999999999998E-2</v>
      </c>
      <c r="AI40" s="303">
        <f t="shared" ref="AI40:AQ40" si="2">$AH$40</f>
        <v>7.5999999999999998E-2</v>
      </c>
      <c r="AJ40" s="303">
        <f t="shared" si="2"/>
        <v>7.5999999999999998E-2</v>
      </c>
      <c r="AK40" s="303">
        <f t="shared" si="2"/>
        <v>7.5999999999999998E-2</v>
      </c>
      <c r="AL40" s="303">
        <f t="shared" si="2"/>
        <v>7.5999999999999998E-2</v>
      </c>
      <c r="AM40" s="303">
        <f t="shared" si="2"/>
        <v>7.5999999999999998E-2</v>
      </c>
      <c r="AN40" s="303">
        <f t="shared" si="2"/>
        <v>7.5999999999999998E-2</v>
      </c>
      <c r="AO40" s="303">
        <f t="shared" si="2"/>
        <v>7.5999999999999998E-2</v>
      </c>
      <c r="AP40" s="303">
        <f t="shared" si="2"/>
        <v>7.5999999999999998E-2</v>
      </c>
      <c r="AQ40" s="303">
        <f t="shared" si="2"/>
        <v>7.5999999999999998E-2</v>
      </c>
    </row>
    <row r="41" spans="1:43" ht="16.5" thickTop="1" thickBot="1">
      <c r="A41" s="48" t="s">
        <v>26</v>
      </c>
      <c r="B41" s="35">
        <f t="shared" ref="B41:AC41" si="3">B40*B39</f>
        <v>0</v>
      </c>
      <c r="C41" s="36">
        <f t="shared" si="3"/>
        <v>7138.3113034698545</v>
      </c>
      <c r="D41" s="36">
        <f t="shared" si="3"/>
        <v>95373.05974680504</v>
      </c>
      <c r="E41" s="36">
        <f t="shared" si="3"/>
        <v>1918.3572528654843</v>
      </c>
      <c r="F41" s="36">
        <f t="shared" si="3"/>
        <v>0</v>
      </c>
      <c r="G41" s="36">
        <f t="shared" si="3"/>
        <v>5325.8608875223281</v>
      </c>
      <c r="H41" s="37">
        <f t="shared" si="3"/>
        <v>3662.5057797741965</v>
      </c>
      <c r="I41" s="35">
        <f t="shared" si="3"/>
        <v>7388.8630760370324</v>
      </c>
      <c r="J41" s="36">
        <f t="shared" si="3"/>
        <v>25142.946126899988</v>
      </c>
      <c r="K41" s="36">
        <f t="shared" si="3"/>
        <v>1806.5776579401422</v>
      </c>
      <c r="L41" s="36">
        <f t="shared" si="3"/>
        <v>6.166924615530936E-2</v>
      </c>
      <c r="M41" s="36">
        <f t="shared" si="3"/>
        <v>0</v>
      </c>
      <c r="N41" s="37">
        <f t="shared" si="3"/>
        <v>0</v>
      </c>
      <c r="O41" s="266">
        <f t="shared" si="3"/>
        <v>0</v>
      </c>
      <c r="P41" s="267">
        <f t="shared" si="3"/>
        <v>0</v>
      </c>
      <c r="Q41" s="267">
        <f t="shared" si="3"/>
        <v>0</v>
      </c>
      <c r="R41" s="267">
        <f t="shared" si="3"/>
        <v>0</v>
      </c>
      <c r="S41" s="267">
        <f t="shared" si="3"/>
        <v>0</v>
      </c>
      <c r="T41" s="268">
        <f t="shared" si="3"/>
        <v>0</v>
      </c>
      <c r="U41" s="266">
        <f t="shared" si="3"/>
        <v>1984.1681925844491</v>
      </c>
      <c r="V41" s="267">
        <f t="shared" si="3"/>
        <v>1015.6562352612257</v>
      </c>
      <c r="W41" s="267">
        <f t="shared" si="3"/>
        <v>690.11612153401177</v>
      </c>
      <c r="X41" s="267">
        <f t="shared" si="3"/>
        <v>353.3799226298911</v>
      </c>
      <c r="Y41" s="267">
        <f t="shared" si="3"/>
        <v>6004.6192847365255</v>
      </c>
      <c r="Z41" s="267">
        <f t="shared" si="3"/>
        <v>3077.6903143138597</v>
      </c>
      <c r="AA41" s="271">
        <f t="shared" si="3"/>
        <v>0</v>
      </c>
      <c r="AB41" s="274">
        <f t="shared" si="3"/>
        <v>0</v>
      </c>
      <c r="AC41" s="274">
        <f t="shared" si="3"/>
        <v>0</v>
      </c>
      <c r="AH41" s="277">
        <f t="shared" ref="AH41:AQ41" si="4">AH40*AH39</f>
        <v>626.99429506899526</v>
      </c>
      <c r="AI41" s="277">
        <f t="shared" si="4"/>
        <v>2190.1917962043121</v>
      </c>
      <c r="AJ41" s="277">
        <f t="shared" si="4"/>
        <v>6941.9780527699795</v>
      </c>
      <c r="AK41" s="277">
        <f t="shared" si="4"/>
        <v>1818.3519997291571</v>
      </c>
      <c r="AL41" s="277">
        <f t="shared" si="4"/>
        <v>7621.068316740927</v>
      </c>
      <c r="AM41" s="277">
        <f t="shared" si="4"/>
        <v>6137.401231935627</v>
      </c>
      <c r="AN41" s="277">
        <f t="shared" si="4"/>
        <v>1198.5026635050453</v>
      </c>
      <c r="AO41" s="277">
        <f t="shared" si="4"/>
        <v>3894.7384213839209</v>
      </c>
      <c r="AP41" s="277">
        <f t="shared" si="4"/>
        <v>988.31546841437012</v>
      </c>
      <c r="AQ41" s="277">
        <f t="shared" si="4"/>
        <v>1597.7454204249061</v>
      </c>
    </row>
    <row r="42" spans="1:43" ht="49.5" customHeight="1" thickTop="1" thickBot="1">
      <c r="A42" s="740" t="s">
        <v>217</v>
      </c>
      <c r="B42" s="741"/>
      <c r="C42" s="741"/>
      <c r="D42" s="741"/>
      <c r="E42" s="741"/>
      <c r="F42" s="741"/>
      <c r="G42" s="741"/>
      <c r="H42" s="741"/>
      <c r="I42" s="741"/>
      <c r="J42" s="741"/>
      <c r="K42" s="723"/>
      <c r="L42" s="44"/>
      <c r="M42" s="44"/>
      <c r="N42" s="44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  <c r="AA42" s="45"/>
      <c r="AB42" s="45"/>
      <c r="AC42" s="45"/>
      <c r="AG42" s="295" t="s">
        <v>183</v>
      </c>
      <c r="AH42" s="294">
        <v>1793.65</v>
      </c>
      <c r="AI42" s="277" t="s">
        <v>196</v>
      </c>
      <c r="AJ42" s="277">
        <v>1855.17</v>
      </c>
      <c r="AK42" s="277">
        <v>1462.56</v>
      </c>
      <c r="AL42" s="277">
        <v>2689.41</v>
      </c>
      <c r="AM42" s="277">
        <v>5414.65</v>
      </c>
      <c r="AN42" s="277">
        <v>2038.51</v>
      </c>
      <c r="AO42" s="277" t="s">
        <v>196</v>
      </c>
      <c r="AP42" s="277">
        <v>47.18</v>
      </c>
      <c r="AQ42" s="277">
        <v>783.4</v>
      </c>
    </row>
    <row r="43" spans="1:43" ht="38.25" customHeight="1" thickTop="1" thickBot="1">
      <c r="A43" s="726" t="s">
        <v>49</v>
      </c>
      <c r="B43" s="722"/>
      <c r="C43" s="288"/>
      <c r="D43" s="722" t="s">
        <v>47</v>
      </c>
      <c r="E43" s="722"/>
      <c r="F43" s="288"/>
      <c r="G43" s="722" t="s">
        <v>48</v>
      </c>
      <c r="H43" s="722"/>
      <c r="I43" s="289"/>
      <c r="J43" s="722" t="s">
        <v>50</v>
      </c>
      <c r="K43" s="723"/>
      <c r="L43" s="44"/>
      <c r="M43" s="44"/>
      <c r="N43" s="44"/>
      <c r="O43" s="45"/>
      <c r="P43" s="45"/>
      <c r="Q43" s="45"/>
      <c r="R43" s="729" t="s">
        <v>165</v>
      </c>
      <c r="S43" s="730"/>
      <c r="T43" s="730"/>
      <c r="U43" s="731"/>
      <c r="AC43" s="45"/>
    </row>
    <row r="44" spans="1:43" ht="24.75" thickTop="1" thickBot="1">
      <c r="A44" s="281" t="s">
        <v>135</v>
      </c>
      <c r="B44" s="282">
        <f>SUM(B41:AC41)</f>
        <v>160882.17357162019</v>
      </c>
      <c r="C44" s="12"/>
      <c r="D44" s="281" t="s">
        <v>135</v>
      </c>
      <c r="E44" s="282">
        <f>SUM(B41:H41)+P41+R41+T41+V41+X41+Z41</f>
        <v>117864.82144264189</v>
      </c>
      <c r="F44" s="12"/>
      <c r="G44" s="281" t="s">
        <v>135</v>
      </c>
      <c r="H44" s="282">
        <f>SUM(I41:N41)+O41+Q41+S41+U41+W41+Y41</f>
        <v>43017.352128978295</v>
      </c>
      <c r="I44" s="12"/>
      <c r="J44" s="281" t="s">
        <v>197</v>
      </c>
      <c r="K44" s="282">
        <v>200064.87</v>
      </c>
      <c r="L44" s="12"/>
      <c r="M44" s="12"/>
      <c r="N44" s="12"/>
      <c r="O44" s="12"/>
      <c r="P44" s="12"/>
      <c r="Q44" s="12"/>
      <c r="R44" s="308" t="s">
        <v>135</v>
      </c>
      <c r="S44" s="309"/>
      <c r="T44" s="304" t="s">
        <v>166</v>
      </c>
      <c r="U44" s="254" t="s">
        <v>167</v>
      </c>
    </row>
    <row r="45" spans="1:43" ht="24" thickBot="1">
      <c r="A45" s="283" t="s">
        <v>182</v>
      </c>
      <c r="B45" s="284">
        <f>SUM(AH41:AQ41)</f>
        <v>33015.287666177239</v>
      </c>
      <c r="C45" s="12"/>
      <c r="D45" s="283" t="s">
        <v>182</v>
      </c>
      <c r="E45" s="284">
        <f>AH41*(1-$AG$40)+AI41+AJ41*0.5+AL41+AM41*(1-$AG$40)+AN41*(1-$AG$40)+AO41*(1-$AG$40)+AP41*0.5+AQ41*0.5</f>
        <v>18591.10524072039</v>
      </c>
      <c r="F45" s="24"/>
      <c r="G45" s="283" t="s">
        <v>182</v>
      </c>
      <c r="H45" s="284">
        <f>AH41*AG40+AJ41*0.5+AK41+AM41*AG40+AN41*AG40+AO41*AG40+AP41*0.5+AQ41*0.5</f>
        <v>14424.182425456849</v>
      </c>
      <c r="I45" s="12"/>
      <c r="J45" s="12"/>
      <c r="K45" s="287"/>
      <c r="L45" s="12"/>
      <c r="M45" s="12"/>
      <c r="N45" s="12"/>
      <c r="O45" s="12"/>
      <c r="P45" s="12"/>
      <c r="Q45" s="12"/>
      <c r="R45" s="306" t="s">
        <v>140</v>
      </c>
      <c r="S45" s="307"/>
      <c r="T45" s="253">
        <f>$W$39+$X$39</f>
        <v>907.38786449035035</v>
      </c>
      <c r="U45" s="255">
        <f>(T45*8.34*0.895)/27000</f>
        <v>0.25085241618204895</v>
      </c>
    </row>
    <row r="46" spans="1:43" ht="32.25" thickBot="1">
      <c r="A46" s="285" t="s">
        <v>183</v>
      </c>
      <c r="B46" s="286">
        <f>SUM(AH42:AQ42)</f>
        <v>16084.529999999999</v>
      </c>
      <c r="C46" s="12"/>
      <c r="D46" s="285" t="s">
        <v>183</v>
      </c>
      <c r="E46" s="286">
        <f>AH42*(1-$AG$40)+AJ42*0.5+AL42+AM42*(1-$AG$40)+AN42*(1-$AG$40)+AP42*0.5+AQ42*0.5</f>
        <v>7163.9020379083331</v>
      </c>
      <c r="F46" s="23"/>
      <c r="G46" s="285" t="s">
        <v>183</v>
      </c>
      <c r="H46" s="286">
        <f>AH42*AG40+AJ42*0.5+AK42+AM42*AG40+AN42*AG40+AP42*0.5+AQ42*0.5</f>
        <v>8920.6279620916666</v>
      </c>
      <c r="I46" s="12"/>
      <c r="J46" s="724" t="s">
        <v>198</v>
      </c>
      <c r="K46" s="725"/>
      <c r="L46" s="12"/>
      <c r="M46" s="12"/>
      <c r="N46" s="12"/>
      <c r="O46" s="12"/>
      <c r="P46" s="12"/>
      <c r="Q46" s="12"/>
      <c r="R46" s="306" t="s">
        <v>144</v>
      </c>
      <c r="S46" s="307"/>
      <c r="T46" s="253">
        <f>$M$39+$N$39+$F$39</f>
        <v>0</v>
      </c>
      <c r="U46" s="256">
        <f>(((T46*8.34)*0.005)/(8.34*1.055))/400</f>
        <v>0</v>
      </c>
    </row>
    <row r="47" spans="1:43" ht="24.75" thickTop="1" thickBot="1">
      <c r="A47" s="285" t="s">
        <v>184</v>
      </c>
      <c r="B47" s="286">
        <f>K44</f>
        <v>200064.87</v>
      </c>
      <c r="C47" s="12"/>
      <c r="D47" s="285" t="s">
        <v>186</v>
      </c>
      <c r="E47" s="286">
        <f>K44*0.5</f>
        <v>100032.435</v>
      </c>
      <c r="F47" s="24"/>
      <c r="G47" s="285" t="s">
        <v>184</v>
      </c>
      <c r="H47" s="286">
        <f>K44*0.5</f>
        <v>100032.435</v>
      </c>
      <c r="I47" s="12"/>
      <c r="J47" s="281" t="s">
        <v>197</v>
      </c>
      <c r="K47" s="282">
        <v>62555.17</v>
      </c>
      <c r="L47" s="12"/>
      <c r="M47" s="12"/>
      <c r="N47" s="12"/>
      <c r="O47" s="12"/>
      <c r="P47" s="12"/>
      <c r="Q47" s="12"/>
      <c r="R47" s="306" t="s">
        <v>147</v>
      </c>
      <c r="S47" s="307"/>
      <c r="T47" s="253">
        <f>$G$39</f>
        <v>100110.16705869036</v>
      </c>
      <c r="U47" s="255">
        <f>T47/40000</f>
        <v>2.502754176467259</v>
      </c>
    </row>
    <row r="48" spans="1:43" ht="24" thickBot="1">
      <c r="A48" s="285" t="s">
        <v>185</v>
      </c>
      <c r="B48" s="286">
        <f>K47</f>
        <v>62555.17</v>
      </c>
      <c r="C48" s="12"/>
      <c r="D48" s="285" t="s">
        <v>185</v>
      </c>
      <c r="E48" s="286">
        <f>K47*0.5</f>
        <v>31277.584999999999</v>
      </c>
      <c r="F48" s="23"/>
      <c r="G48" s="285" t="s">
        <v>185</v>
      </c>
      <c r="H48" s="286">
        <f>K47*0.5</f>
        <v>31277.584999999999</v>
      </c>
      <c r="I48" s="12"/>
      <c r="J48" s="12"/>
      <c r="K48" s="86"/>
      <c r="L48" s="12"/>
      <c r="M48" s="12"/>
      <c r="N48" s="12"/>
      <c r="O48" s="12"/>
      <c r="P48" s="12"/>
      <c r="Q48" s="12"/>
      <c r="R48" s="306" t="s">
        <v>149</v>
      </c>
      <c r="S48" s="307"/>
      <c r="T48" s="253">
        <f>$L$39</f>
        <v>0.16395552158355631</v>
      </c>
      <c r="U48" s="255">
        <f>T48*9.34*0.107</f>
        <v>0.1638538691601745</v>
      </c>
    </row>
    <row r="49" spans="1:25" ht="48" thickTop="1" thickBot="1">
      <c r="A49" s="290" t="s">
        <v>193</v>
      </c>
      <c r="B49" s="291">
        <f>AD40</f>
        <v>380.94833567291499</v>
      </c>
      <c r="C49" s="12"/>
      <c r="D49" s="290" t="s">
        <v>194</v>
      </c>
      <c r="E49" s="291">
        <f>AF40</f>
        <v>126.94659719501722</v>
      </c>
      <c r="F49" s="23"/>
      <c r="G49" s="290" t="s">
        <v>195</v>
      </c>
      <c r="H49" s="291">
        <f>AE40</f>
        <v>247.89204054368099</v>
      </c>
      <c r="I49" s="12"/>
      <c r="J49" s="12"/>
      <c r="K49" s="86"/>
      <c r="L49" s="12"/>
      <c r="M49" s="12"/>
      <c r="N49" s="12"/>
      <c r="O49" s="12"/>
      <c r="P49" s="12"/>
      <c r="Q49" s="12"/>
      <c r="R49" s="306" t="s">
        <v>151</v>
      </c>
      <c r="S49" s="307"/>
      <c r="T49" s="253">
        <f>$E$39+$K$39</f>
        <v>786.456954250237</v>
      </c>
      <c r="U49" s="255">
        <f>(T49*8.34*1.04)/45000</f>
        <v>0.15158695640855235</v>
      </c>
    </row>
    <row r="50" spans="1:25" ht="48" thickTop="1" thickBot="1">
      <c r="A50" s="290" t="s">
        <v>189</v>
      </c>
      <c r="B50" s="292">
        <f>(SUM(B44:B48)/AD40)</f>
        <v>1240.5935056862329</v>
      </c>
      <c r="C50" s="12"/>
      <c r="D50" s="290" t="s">
        <v>187</v>
      </c>
      <c r="E50" s="292">
        <f>SUM(E44:E48)/AF40</f>
        <v>2165.7126287435603</v>
      </c>
      <c r="F50" s="23"/>
      <c r="G50" s="290" t="s">
        <v>188</v>
      </c>
      <c r="H50" s="292">
        <f>SUM(H44:H48)/AE40</f>
        <v>797.41238195058156</v>
      </c>
      <c r="I50" s="12"/>
      <c r="J50" s="12"/>
      <c r="K50" s="86"/>
      <c r="L50" s="12"/>
      <c r="M50" s="12"/>
      <c r="N50" s="12"/>
      <c r="O50" s="12"/>
      <c r="P50" s="12"/>
      <c r="Q50" s="12"/>
      <c r="R50" s="306" t="s">
        <v>152</v>
      </c>
      <c r="S50" s="307"/>
      <c r="T50" s="253">
        <f>$U$39+$V$39+$AB$39</f>
        <v>11427.902582269237</v>
      </c>
      <c r="U50" s="255">
        <f>T50/2000/8</f>
        <v>0.7142439113918273</v>
      </c>
    </row>
    <row r="51" spans="1:25" ht="48" thickTop="1" thickBot="1">
      <c r="A51" s="280" t="s">
        <v>190</v>
      </c>
      <c r="B51" s="293">
        <f>B50/1000</f>
        <v>1.2405935056862329</v>
      </c>
      <c r="C51" s="12"/>
      <c r="D51" s="280" t="s">
        <v>191</v>
      </c>
      <c r="E51" s="293">
        <f>E50/1000</f>
        <v>2.1657126287435604</v>
      </c>
      <c r="F51" s="12"/>
      <c r="G51" s="280" t="s">
        <v>192</v>
      </c>
      <c r="H51" s="293">
        <f>H50/1000</f>
        <v>0.79741238195058162</v>
      </c>
      <c r="I51" s="12"/>
      <c r="J51" s="12"/>
      <c r="K51" s="86"/>
      <c r="L51" s="12"/>
      <c r="M51" s="12"/>
      <c r="N51" s="12"/>
      <c r="O51" s="12"/>
      <c r="P51" s="12"/>
      <c r="Q51" s="12"/>
      <c r="R51" s="306" t="s">
        <v>153</v>
      </c>
      <c r="S51" s="307"/>
      <c r="T51" s="253">
        <f>$C$39+$J$39+$S$39+$T$39</f>
        <v>22455.759585014974</v>
      </c>
      <c r="U51" s="255">
        <f>(T51*8.34*1.4)/45000</f>
        <v>5.8265210869918853</v>
      </c>
    </row>
    <row r="52" spans="1:25" ht="16.5" thickTop="1" thickBot="1">
      <c r="A52" s="301"/>
      <c r="B52" s="12"/>
      <c r="C52" s="12"/>
      <c r="D52" s="12"/>
      <c r="E52" s="12"/>
      <c r="F52" s="12"/>
      <c r="G52" s="12"/>
      <c r="H52" s="12"/>
      <c r="I52" s="12"/>
      <c r="J52" s="12"/>
      <c r="K52" s="86"/>
      <c r="L52" s="12"/>
      <c r="M52" s="12"/>
      <c r="N52" s="12"/>
      <c r="O52" s="12"/>
      <c r="P52" s="12"/>
      <c r="Q52" s="12"/>
      <c r="R52" s="306" t="s">
        <v>154</v>
      </c>
      <c r="S52" s="307"/>
      <c r="T52" s="253">
        <f>$H$39</f>
        <v>1006.9637416263436</v>
      </c>
      <c r="U52" s="255">
        <f>(T52*8.34*1.135)/45000</f>
        <v>0.21181817959690682</v>
      </c>
    </row>
    <row r="53" spans="1:25" ht="33" thickTop="1" thickBot="1">
      <c r="A53" s="732" t="s">
        <v>51</v>
      </c>
      <c r="B53" s="733"/>
      <c r="C53" s="733"/>
      <c r="D53" s="733"/>
      <c r="E53" s="734"/>
      <c r="F53" s="12"/>
      <c r="G53" s="12"/>
      <c r="H53" s="12"/>
      <c r="I53" s="12"/>
      <c r="J53" s="12"/>
      <c r="K53" s="86"/>
      <c r="L53" s="12"/>
      <c r="M53" s="12"/>
      <c r="N53" s="12"/>
      <c r="O53" s="12"/>
      <c r="P53" s="12"/>
      <c r="Q53" s="12"/>
      <c r="R53" s="306" t="s">
        <v>155</v>
      </c>
      <c r="S53" s="307"/>
      <c r="T53" s="253">
        <f>$B$39+$I$39+$AC$39</f>
        <v>8107.2147394140529</v>
      </c>
      <c r="U53" s="255">
        <f>(T53*8.34*1.029*0.03)/3300</f>
        <v>0.63249983530534415</v>
      </c>
    </row>
    <row r="54" spans="1:25" ht="66.75" customHeight="1" thickBot="1">
      <c r="A54" s="735" t="s">
        <v>199</v>
      </c>
      <c r="B54" s="736"/>
      <c r="C54" s="736"/>
      <c r="D54" s="736"/>
      <c r="E54" s="737"/>
      <c r="F54" s="87"/>
      <c r="G54" s="87"/>
      <c r="H54" s="87"/>
      <c r="I54" s="87"/>
      <c r="J54" s="87"/>
      <c r="K54" s="88"/>
      <c r="L54" s="12"/>
      <c r="M54" s="12"/>
      <c r="N54" s="12"/>
      <c r="O54" s="12"/>
      <c r="P54" s="12"/>
      <c r="Q54" s="12"/>
      <c r="R54" s="738" t="s">
        <v>157</v>
      </c>
      <c r="S54" s="739"/>
      <c r="T54" s="257">
        <f>$D$39+$Y$39+$Z$39</f>
        <v>47840.430182602009</v>
      </c>
      <c r="U54" s="258">
        <f>(T54*1.54*8.34)/45000</f>
        <v>13.65429664651705</v>
      </c>
      <c r="V54" s="313"/>
      <c r="W54" s="12"/>
    </row>
    <row r="55" spans="1:25" ht="15.75" thickTop="1"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310"/>
      <c r="T55" s="768"/>
      <c r="U55" s="768"/>
      <c r="V55" s="311"/>
      <c r="W55" s="312"/>
      <c r="X55" s="310"/>
      <c r="Y55" s="310"/>
    </row>
    <row r="56" spans="1:25"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310"/>
      <c r="T56" s="768"/>
      <c r="U56" s="768"/>
      <c r="V56" s="311"/>
      <c r="W56" s="312"/>
      <c r="X56" s="310"/>
      <c r="Y56" s="310"/>
    </row>
    <row r="57" spans="1:25"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310"/>
      <c r="T57" s="768"/>
      <c r="U57" s="768"/>
      <c r="V57" s="311"/>
      <c r="W57" s="312"/>
      <c r="X57" s="310"/>
      <c r="Y57" s="310"/>
    </row>
    <row r="58" spans="1:25"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310"/>
      <c r="T58" s="768"/>
      <c r="U58" s="768"/>
      <c r="V58" s="311"/>
      <c r="W58" s="312"/>
      <c r="X58" s="310"/>
      <c r="Y58" s="310"/>
    </row>
    <row r="59" spans="1:25"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310"/>
      <c r="T59" s="768"/>
      <c r="U59" s="768"/>
      <c r="V59" s="311"/>
      <c r="W59" s="312"/>
      <c r="X59" s="310"/>
      <c r="Y59" s="310"/>
    </row>
    <row r="60" spans="1:25">
      <c r="S60" s="310"/>
      <c r="T60" s="768"/>
      <c r="U60" s="768"/>
      <c r="V60" s="311"/>
      <c r="W60" s="312"/>
      <c r="X60" s="310"/>
      <c r="Y60" s="316"/>
    </row>
    <row r="61" spans="1:25">
      <c r="S61" s="310"/>
      <c r="T61" s="768"/>
      <c r="U61" s="768"/>
      <c r="V61" s="311"/>
      <c r="W61" s="312"/>
      <c r="X61" s="310"/>
      <c r="Y61" s="316"/>
    </row>
    <row r="62" spans="1:25">
      <c r="S62" s="310"/>
      <c r="T62" s="768"/>
      <c r="U62" s="768"/>
      <c r="V62" s="311"/>
      <c r="W62" s="312"/>
      <c r="X62" s="310"/>
      <c r="Y62" s="316"/>
    </row>
    <row r="63" spans="1:25">
      <c r="S63" s="310"/>
      <c r="T63" s="310"/>
      <c r="U63" s="310"/>
      <c r="V63" s="310"/>
      <c r="W63" s="310"/>
      <c r="X63" s="310"/>
      <c r="Y63" s="316"/>
    </row>
    <row r="64" spans="1:25">
      <c r="S64" s="310"/>
      <c r="T64" s="310"/>
      <c r="U64" s="310"/>
      <c r="V64" s="310"/>
      <c r="W64" s="310"/>
      <c r="X64" s="310"/>
      <c r="Y64" s="316"/>
    </row>
    <row r="65" spans="19:24">
      <c r="S65" s="12"/>
      <c r="T65" s="12"/>
      <c r="U65" s="12"/>
      <c r="V65" s="12"/>
      <c r="W65" s="12"/>
      <c r="X65" s="12"/>
    </row>
    <row r="66" spans="19:24">
      <c r="S66" s="12"/>
      <c r="T66" s="12"/>
      <c r="U66" s="12"/>
      <c r="V66" s="12"/>
      <c r="W66" s="12"/>
      <c r="X66" s="12"/>
    </row>
    <row r="67" spans="19:24">
      <c r="S67" s="12"/>
      <c r="T67" s="12"/>
      <c r="U67" s="12"/>
      <c r="V67" s="12"/>
      <c r="W67" s="12"/>
      <c r="X67" s="12"/>
    </row>
    <row r="68" spans="19:24">
      <c r="S68" s="12"/>
      <c r="T68" s="12"/>
      <c r="U68" s="12"/>
      <c r="V68" s="12"/>
      <c r="W68" s="12"/>
      <c r="X68" s="12"/>
    </row>
    <row r="69" spans="19:24">
      <c r="S69" s="12"/>
      <c r="T69" s="12"/>
      <c r="U69" s="12"/>
      <c r="V69" s="12"/>
      <c r="W69" s="12"/>
      <c r="X69" s="12"/>
    </row>
  </sheetData>
  <sheetProtection selectLockedCells="1" selectUnlockedCells="1"/>
  <customSheetViews>
    <customSheetView guid="{322E6371-A03C-4BCA-B267-212DFC76880A}" scale="80" fitToPage="1" topLeftCell="A7">
      <selection activeCell="F43" sqref="F43"/>
      <pageMargins left="0.33" right="0.19" top="0.75" bottom="0.75" header="0.3" footer="0.3"/>
      <pageSetup scale="56" orientation="landscape" r:id="rId1"/>
    </customSheetView>
  </customSheetViews>
  <mergeCells count="38">
    <mergeCell ref="J46:K46"/>
    <mergeCell ref="A53:E53"/>
    <mergeCell ref="A54:E54"/>
    <mergeCell ref="R54:S54"/>
    <mergeCell ref="AM4:AM5"/>
    <mergeCell ref="A43:B43"/>
    <mergeCell ref="D43:E43"/>
    <mergeCell ref="G43:H43"/>
    <mergeCell ref="B4:H5"/>
    <mergeCell ref="I4:N5"/>
    <mergeCell ref="A42:K42"/>
    <mergeCell ref="J43:K43"/>
    <mergeCell ref="AN4:AN5"/>
    <mergeCell ref="AO4:AO5"/>
    <mergeCell ref="AP4:AP5"/>
    <mergeCell ref="AQ4:AQ5"/>
    <mergeCell ref="AH4:AH5"/>
    <mergeCell ref="AI4:AI5"/>
    <mergeCell ref="AJ4:AJ5"/>
    <mergeCell ref="AK4:AK5"/>
    <mergeCell ref="AL4:AL5"/>
    <mergeCell ref="T61:U61"/>
    <mergeCell ref="T62:U62"/>
    <mergeCell ref="T56:U56"/>
    <mergeCell ref="T57:U57"/>
    <mergeCell ref="T58:U58"/>
    <mergeCell ref="T59:U59"/>
    <mergeCell ref="T60:U60"/>
    <mergeCell ref="T55:U55"/>
    <mergeCell ref="AD4:AD5"/>
    <mergeCell ref="AE4:AE5"/>
    <mergeCell ref="AF4:AF5"/>
    <mergeCell ref="AG4:AG5"/>
    <mergeCell ref="O4:T5"/>
    <mergeCell ref="U4:AA5"/>
    <mergeCell ref="AB4:AB5"/>
    <mergeCell ref="AC4:AC5"/>
    <mergeCell ref="R43:U43"/>
  </mergeCells>
  <pageMargins left="0.33" right="0.19" top="0.75" bottom="0.75" header="0.3" footer="0.3"/>
  <pageSetup scale="54" orientation="landscape" r:id="rId2"/>
  <legacyDrawing r:id="rId3"/>
</worksheet>
</file>

<file path=xl/worksheets/sheet1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BA65"/>
  <sheetViews>
    <sheetView zoomScale="80" zoomScaleNormal="80" workbookViewId="0">
      <pane xSplit="1" ySplit="6" topLeftCell="B28" activePane="bottomRight" state="frozen"/>
      <selection pane="topRight" activeCell="B1" sqref="B1"/>
      <selection pane="bottomLeft" activeCell="A7" sqref="A7"/>
      <selection pane="bottomRight" activeCell="C49" sqref="C49"/>
    </sheetView>
  </sheetViews>
  <sheetFormatPr defaultRowHeight="15"/>
  <cols>
    <col min="1" max="1" width="26.28515625" customWidth="1"/>
    <col min="2" max="2" width="19.85546875" bestFit="1" customWidth="1"/>
    <col min="3" max="3" width="27.7109375" bestFit="1" customWidth="1"/>
    <col min="4" max="4" width="29.5703125" customWidth="1"/>
    <col min="5" max="5" width="22.28515625" bestFit="1" customWidth="1"/>
    <col min="6" max="6" width="15" bestFit="1" customWidth="1"/>
    <col min="7" max="7" width="35.5703125" customWidth="1"/>
    <col min="8" max="8" width="19.5703125" bestFit="1" customWidth="1"/>
    <col min="9" max="9" width="15" bestFit="1" customWidth="1"/>
    <col min="10" max="10" width="16.42578125" bestFit="1" customWidth="1"/>
    <col min="11" max="11" width="19.85546875" bestFit="1" customWidth="1"/>
    <col min="12" max="12" width="17" bestFit="1" customWidth="1"/>
    <col min="13" max="13" width="16" bestFit="1" customWidth="1"/>
    <col min="14" max="14" width="15" bestFit="1" customWidth="1"/>
    <col min="15" max="16" width="16.140625" bestFit="1" customWidth="1"/>
    <col min="17" max="17" width="23.85546875" bestFit="1" customWidth="1"/>
    <col min="18" max="18" width="24.28515625" bestFit="1" customWidth="1"/>
    <col min="19" max="19" width="25.85546875" bestFit="1" customWidth="1"/>
    <col min="20" max="20" width="25.7109375" bestFit="1" customWidth="1"/>
    <col min="21" max="22" width="11.42578125" bestFit="1" customWidth="1"/>
    <col min="23" max="23" width="20.140625" bestFit="1" customWidth="1"/>
    <col min="24" max="24" width="19.85546875" bestFit="1" customWidth="1"/>
    <col min="25" max="25" width="22.42578125" bestFit="1" customWidth="1"/>
    <col min="26" max="26" width="22.140625" bestFit="1" customWidth="1"/>
    <col min="27" max="27" width="21.140625" bestFit="1" customWidth="1"/>
    <col min="28" max="28" width="32.7109375" bestFit="1" customWidth="1"/>
    <col min="29" max="29" width="36.7109375" customWidth="1"/>
    <col min="30" max="30" width="33.140625" bestFit="1" customWidth="1"/>
    <col min="31" max="31" width="26.85546875" customWidth="1"/>
    <col min="32" max="32" width="23" customWidth="1"/>
    <col min="33" max="33" width="22.28515625" customWidth="1"/>
    <col min="34" max="34" width="22.5703125" bestFit="1" customWidth="1"/>
    <col min="35" max="35" width="16" bestFit="1" customWidth="1"/>
    <col min="36" max="36" width="16.7109375" bestFit="1" customWidth="1"/>
    <col min="37" max="38" width="15.140625" bestFit="1" customWidth="1"/>
    <col min="39" max="39" width="21.28515625" bestFit="1" customWidth="1"/>
    <col min="40" max="40" width="18.28515625" bestFit="1" customWidth="1"/>
    <col min="41" max="43" width="15.140625" bestFit="1" customWidth="1"/>
  </cols>
  <sheetData>
    <row r="1" spans="1:53" ht="15" customHeight="1">
      <c r="A1" s="1" t="s">
        <v>0</v>
      </c>
      <c r="B1" s="2"/>
      <c r="C1" t="s">
        <v>1</v>
      </c>
      <c r="O1" s="3"/>
      <c r="P1" s="4"/>
      <c r="Q1" s="4"/>
      <c r="R1" s="4"/>
    </row>
    <row r="2" spans="1:53" ht="15" customHeight="1">
      <c r="A2" s="1" t="s">
        <v>2</v>
      </c>
      <c r="B2" s="5"/>
      <c r="O2" s="4"/>
      <c r="P2" s="4"/>
      <c r="Q2" s="4"/>
      <c r="R2" s="4"/>
    </row>
    <row r="3" spans="1:53" ht="15.75" thickBot="1">
      <c r="A3" s="6"/>
      <c r="AZ3" t="s">
        <v>168</v>
      </c>
      <c r="BA3" s="259" t="s">
        <v>205</v>
      </c>
    </row>
    <row r="4" spans="1:53" ht="30" customHeight="1" thickTop="1">
      <c r="A4" s="13"/>
      <c r="B4" s="744" t="s">
        <v>3</v>
      </c>
      <c r="C4" s="745"/>
      <c r="D4" s="745"/>
      <c r="E4" s="745"/>
      <c r="F4" s="745"/>
      <c r="G4" s="745"/>
      <c r="H4" s="746"/>
      <c r="I4" s="744" t="s">
        <v>4</v>
      </c>
      <c r="J4" s="745"/>
      <c r="K4" s="745"/>
      <c r="L4" s="745"/>
      <c r="M4" s="745"/>
      <c r="N4" s="746"/>
      <c r="O4" s="750" t="s">
        <v>5</v>
      </c>
      <c r="P4" s="751"/>
      <c r="Q4" s="752"/>
      <c r="R4" s="752"/>
      <c r="S4" s="752"/>
      <c r="T4" s="753"/>
      <c r="U4" s="744" t="s">
        <v>6</v>
      </c>
      <c r="V4" s="757"/>
      <c r="W4" s="757"/>
      <c r="X4" s="757"/>
      <c r="Y4" s="757"/>
      <c r="Z4" s="757"/>
      <c r="AA4" s="758"/>
      <c r="AB4" s="727" t="s">
        <v>7</v>
      </c>
      <c r="AC4" s="763" t="s">
        <v>8</v>
      </c>
      <c r="AD4" s="742" t="s">
        <v>27</v>
      </c>
      <c r="AE4" s="742" t="s">
        <v>31</v>
      </c>
      <c r="AF4" s="742" t="s">
        <v>32</v>
      </c>
      <c r="AG4" s="742" t="s">
        <v>33</v>
      </c>
      <c r="AH4" s="727" t="s">
        <v>172</v>
      </c>
      <c r="AI4" s="727" t="s">
        <v>173</v>
      </c>
      <c r="AJ4" s="727" t="s">
        <v>174</v>
      </c>
      <c r="AK4" s="727" t="s">
        <v>175</v>
      </c>
      <c r="AL4" s="727" t="s">
        <v>176</v>
      </c>
      <c r="AM4" s="727" t="s">
        <v>177</v>
      </c>
      <c r="AN4" s="727" t="s">
        <v>178</v>
      </c>
      <c r="AO4" s="727" t="s">
        <v>181</v>
      </c>
      <c r="AP4" s="727" t="s">
        <v>179</v>
      </c>
      <c r="AQ4" s="727" t="s">
        <v>180</v>
      </c>
    </row>
    <row r="5" spans="1:53" ht="30" customHeight="1" thickBot="1">
      <c r="A5" s="13"/>
      <c r="B5" s="747"/>
      <c r="C5" s="748"/>
      <c r="D5" s="748"/>
      <c r="E5" s="748"/>
      <c r="F5" s="748"/>
      <c r="G5" s="748"/>
      <c r="H5" s="749"/>
      <c r="I5" s="747"/>
      <c r="J5" s="748"/>
      <c r="K5" s="748"/>
      <c r="L5" s="748"/>
      <c r="M5" s="748"/>
      <c r="N5" s="749"/>
      <c r="O5" s="754"/>
      <c r="P5" s="755"/>
      <c r="Q5" s="755"/>
      <c r="R5" s="755"/>
      <c r="S5" s="755"/>
      <c r="T5" s="756"/>
      <c r="U5" s="759"/>
      <c r="V5" s="760"/>
      <c r="W5" s="760"/>
      <c r="X5" s="760"/>
      <c r="Y5" s="760"/>
      <c r="Z5" s="760"/>
      <c r="AA5" s="761"/>
      <c r="AB5" s="762"/>
      <c r="AC5" s="764"/>
      <c r="AD5" s="743"/>
      <c r="AE5" s="743"/>
      <c r="AF5" s="743"/>
      <c r="AG5" s="743"/>
      <c r="AH5" s="728"/>
      <c r="AI5" s="728"/>
      <c r="AJ5" s="728"/>
      <c r="AK5" s="728"/>
      <c r="AL5" s="728"/>
      <c r="AM5" s="728"/>
      <c r="AN5" s="728"/>
      <c r="AO5" s="728"/>
      <c r="AP5" s="728"/>
      <c r="AQ5" s="728"/>
    </row>
    <row r="6" spans="1:53" ht="18">
      <c r="A6" s="7"/>
      <c r="B6" s="14" t="s">
        <v>9</v>
      </c>
      <c r="C6" s="8" t="s">
        <v>10</v>
      </c>
      <c r="D6" s="8" t="s">
        <v>11</v>
      </c>
      <c r="E6" s="8" t="s">
        <v>12</v>
      </c>
      <c r="F6" s="8" t="s">
        <v>13</v>
      </c>
      <c r="G6" s="8" t="s">
        <v>14</v>
      </c>
      <c r="H6" s="15" t="s">
        <v>15</v>
      </c>
      <c r="I6" s="16" t="s">
        <v>9</v>
      </c>
      <c r="J6" s="8" t="s">
        <v>16</v>
      </c>
      <c r="K6" s="8" t="s">
        <v>17</v>
      </c>
      <c r="L6" s="9" t="s">
        <v>18</v>
      </c>
      <c r="M6" s="8" t="s">
        <v>19</v>
      </c>
      <c r="N6" s="15" t="s">
        <v>13</v>
      </c>
      <c r="O6" s="14" t="s">
        <v>35</v>
      </c>
      <c r="P6" s="9" t="s">
        <v>36</v>
      </c>
      <c r="Q6" s="9" t="s">
        <v>37</v>
      </c>
      <c r="R6" s="9" t="s">
        <v>38</v>
      </c>
      <c r="S6" s="8" t="s">
        <v>39</v>
      </c>
      <c r="T6" s="39" t="s">
        <v>40</v>
      </c>
      <c r="U6" s="17" t="s">
        <v>41</v>
      </c>
      <c r="V6" s="8" t="s">
        <v>42</v>
      </c>
      <c r="W6" s="8" t="s">
        <v>43</v>
      </c>
      <c r="X6" s="8" t="s">
        <v>44</v>
      </c>
      <c r="Y6" s="8" t="s">
        <v>45</v>
      </c>
      <c r="Z6" s="8" t="s">
        <v>46</v>
      </c>
      <c r="AA6" s="18" t="s">
        <v>20</v>
      </c>
      <c r="AB6" s="19" t="s">
        <v>21</v>
      </c>
      <c r="AC6" s="19" t="s">
        <v>22</v>
      </c>
      <c r="AD6" s="42" t="s">
        <v>30</v>
      </c>
      <c r="AE6" s="42"/>
      <c r="AF6" s="42"/>
      <c r="AG6" s="42"/>
      <c r="AH6" s="42"/>
      <c r="AI6" s="42"/>
      <c r="AJ6" s="42"/>
      <c r="AK6" s="42"/>
      <c r="AL6" s="42"/>
      <c r="AM6" s="42"/>
      <c r="AN6" s="42"/>
      <c r="AO6" s="42"/>
      <c r="AP6" s="42"/>
      <c r="AQ6" s="42"/>
    </row>
    <row r="7" spans="1:53" ht="15.75" thickBot="1">
      <c r="A7" s="7"/>
      <c r="B7" s="20" t="s">
        <v>23</v>
      </c>
      <c r="C7" s="10" t="s">
        <v>23</v>
      </c>
      <c r="D7" s="10" t="s">
        <v>23</v>
      </c>
      <c r="E7" s="10" t="s">
        <v>23</v>
      </c>
      <c r="F7" s="10" t="s">
        <v>23</v>
      </c>
      <c r="G7" s="10" t="s">
        <v>24</v>
      </c>
      <c r="H7" s="21" t="s">
        <v>23</v>
      </c>
      <c r="I7" s="20" t="s">
        <v>23</v>
      </c>
      <c r="J7" s="10" t="s">
        <v>23</v>
      </c>
      <c r="K7" s="10" t="s">
        <v>23</v>
      </c>
      <c r="L7" s="10" t="s">
        <v>23</v>
      </c>
      <c r="M7" s="10" t="s">
        <v>23</v>
      </c>
      <c r="N7" s="21" t="s">
        <v>23</v>
      </c>
      <c r="O7" s="20" t="s">
        <v>23</v>
      </c>
      <c r="P7" s="10" t="s">
        <v>23</v>
      </c>
      <c r="Q7" s="10" t="s">
        <v>23</v>
      </c>
      <c r="R7" s="10" t="s">
        <v>23</v>
      </c>
      <c r="S7" s="10" t="s">
        <v>23</v>
      </c>
      <c r="T7" s="40" t="s">
        <v>23</v>
      </c>
      <c r="U7" s="20" t="s">
        <v>25</v>
      </c>
      <c r="V7" s="10" t="s">
        <v>25</v>
      </c>
      <c r="W7" s="10" t="s">
        <v>23</v>
      </c>
      <c r="X7" s="10" t="s">
        <v>23</v>
      </c>
      <c r="Y7" s="10" t="s">
        <v>23</v>
      </c>
      <c r="Z7" s="10" t="s">
        <v>23</v>
      </c>
      <c r="AA7" s="21" t="s">
        <v>23</v>
      </c>
      <c r="AB7" s="22" t="s">
        <v>25</v>
      </c>
      <c r="AC7" s="305" t="s">
        <v>23</v>
      </c>
      <c r="AD7" s="22" t="s">
        <v>28</v>
      </c>
      <c r="AE7" s="22" t="s">
        <v>28</v>
      </c>
      <c r="AF7" s="22" t="s">
        <v>28</v>
      </c>
      <c r="AG7" s="22" t="s">
        <v>34</v>
      </c>
      <c r="AH7" s="22" t="s">
        <v>169</v>
      </c>
      <c r="AI7" s="22" t="s">
        <v>169</v>
      </c>
      <c r="AJ7" s="22" t="s">
        <v>169</v>
      </c>
      <c r="AK7" s="22" t="s">
        <v>169</v>
      </c>
      <c r="AL7" s="22" t="s">
        <v>169</v>
      </c>
      <c r="AM7" s="22" t="s">
        <v>169</v>
      </c>
      <c r="AN7" s="22" t="s">
        <v>169</v>
      </c>
      <c r="AO7" s="22" t="s">
        <v>169</v>
      </c>
      <c r="AP7" s="22" t="s">
        <v>169</v>
      </c>
      <c r="AQ7" s="22" t="s">
        <v>169</v>
      </c>
    </row>
    <row r="8" spans="1:53">
      <c r="A8" s="11">
        <v>41244</v>
      </c>
      <c r="B8" s="49"/>
      <c r="C8" s="50">
        <v>154.02249741554232</v>
      </c>
      <c r="D8" s="50">
        <v>1354.867992464701</v>
      </c>
      <c r="E8" s="50">
        <v>12.911999432245889</v>
      </c>
      <c r="F8" s="50">
        <v>0</v>
      </c>
      <c r="G8" s="50">
        <v>3078.0531522114934</v>
      </c>
      <c r="H8" s="51">
        <v>31.239626542727237</v>
      </c>
      <c r="I8" s="49">
        <v>263.68397188186663</v>
      </c>
      <c r="J8" s="50">
        <v>623.6708781878159</v>
      </c>
      <c r="K8" s="50">
        <v>13.208918655912084</v>
      </c>
      <c r="L8" s="50">
        <v>0</v>
      </c>
      <c r="M8" s="50">
        <v>0</v>
      </c>
      <c r="N8" s="51">
        <v>0</v>
      </c>
      <c r="O8" s="49">
        <v>0</v>
      </c>
      <c r="P8" s="50">
        <v>0</v>
      </c>
      <c r="Q8" s="50">
        <v>0</v>
      </c>
      <c r="R8" s="50">
        <v>0</v>
      </c>
      <c r="S8" s="50">
        <v>0</v>
      </c>
      <c r="T8" s="52">
        <v>0</v>
      </c>
      <c r="U8" s="53">
        <v>285.58566377378344</v>
      </c>
      <c r="V8" s="54">
        <v>126.90280753291179</v>
      </c>
      <c r="W8" s="54">
        <v>22.250493893793823</v>
      </c>
      <c r="X8" s="54">
        <v>9.8872265043143113</v>
      </c>
      <c r="Y8" s="54">
        <v>97.435163500286578</v>
      </c>
      <c r="Z8" s="54">
        <v>43.296276280902518</v>
      </c>
      <c r="AA8" s="55">
        <v>0</v>
      </c>
      <c r="AB8" s="56">
        <v>0</v>
      </c>
      <c r="AC8" s="57">
        <v>0</v>
      </c>
      <c r="AD8" s="57">
        <v>13.169991581307519</v>
      </c>
      <c r="AE8" s="58">
        <v>9.0006478383110995</v>
      </c>
      <c r="AF8" s="58">
        <v>3.99952667512565</v>
      </c>
      <c r="AG8" s="58">
        <v>0.69234823186474836</v>
      </c>
      <c r="AH8" s="57">
        <v>263.13089021046966</v>
      </c>
      <c r="AI8" s="57">
        <v>958.7672815004986</v>
      </c>
      <c r="AJ8" s="57">
        <v>3108.061166000366</v>
      </c>
      <c r="AK8" s="57">
        <v>808.21244691212985</v>
      </c>
      <c r="AL8" s="57">
        <v>3362.0554931640618</v>
      </c>
      <c r="AM8" s="57">
        <v>2510.1442148844403</v>
      </c>
      <c r="AN8" s="57">
        <v>482.14212811787922</v>
      </c>
      <c r="AO8" s="57">
        <v>1755.7568107604982</v>
      </c>
      <c r="AP8" s="57">
        <v>421.78851483662919</v>
      </c>
      <c r="AQ8" s="57">
        <v>675.72488005956006</v>
      </c>
    </row>
    <row r="9" spans="1:53">
      <c r="A9" s="11">
        <v>41245</v>
      </c>
      <c r="B9" s="59"/>
      <c r="C9" s="60">
        <v>154.4989560127255</v>
      </c>
      <c r="D9" s="60">
        <v>1358.6173528671266</v>
      </c>
      <c r="E9" s="60">
        <v>12.912025425334775</v>
      </c>
      <c r="F9" s="60">
        <v>0</v>
      </c>
      <c r="G9" s="60">
        <v>3077.4430353800267</v>
      </c>
      <c r="H9" s="61">
        <v>31.351330993572937</v>
      </c>
      <c r="I9" s="59">
        <v>258.76175044377612</v>
      </c>
      <c r="J9" s="60">
        <v>623.78174486160299</v>
      </c>
      <c r="K9" s="60">
        <v>13.210195644696583</v>
      </c>
      <c r="L9" s="50">
        <v>0</v>
      </c>
      <c r="M9" s="60">
        <v>0</v>
      </c>
      <c r="N9" s="61">
        <v>0</v>
      </c>
      <c r="O9" s="59">
        <v>0</v>
      </c>
      <c r="P9" s="60">
        <v>0</v>
      </c>
      <c r="Q9" s="62">
        <v>0</v>
      </c>
      <c r="R9" s="63">
        <v>0</v>
      </c>
      <c r="S9" s="60">
        <v>0</v>
      </c>
      <c r="T9" s="64">
        <v>0</v>
      </c>
      <c r="U9" s="65">
        <v>285.82255174250145</v>
      </c>
      <c r="V9" s="62">
        <v>127.064563841972</v>
      </c>
      <c r="W9" s="62">
        <v>22.466549308131196</v>
      </c>
      <c r="X9" s="62">
        <v>9.987673371006986</v>
      </c>
      <c r="Y9" s="66">
        <v>97.798239348280461</v>
      </c>
      <c r="Z9" s="66">
        <v>43.476942429991638</v>
      </c>
      <c r="AA9" s="67">
        <v>0</v>
      </c>
      <c r="AB9" s="68">
        <v>0</v>
      </c>
      <c r="AC9" s="69">
        <v>0</v>
      </c>
      <c r="AD9" s="69">
        <v>13.17260088324548</v>
      </c>
      <c r="AE9" s="68">
        <v>8.9991581290902207</v>
      </c>
      <c r="AF9" s="68">
        <v>4.000643390966383</v>
      </c>
      <c r="AG9" s="68">
        <v>0.69225350211739511</v>
      </c>
      <c r="AH9" s="69">
        <v>256.13365437189742</v>
      </c>
      <c r="AI9" s="69">
        <v>956.49668881098432</v>
      </c>
      <c r="AJ9" s="69">
        <v>3091.242378616334</v>
      </c>
      <c r="AK9" s="69">
        <v>794.48064454396558</v>
      </c>
      <c r="AL9" s="69">
        <v>3372.6604886372888</v>
      </c>
      <c r="AM9" s="69">
        <v>2519.2066089630125</v>
      </c>
      <c r="AN9" s="69">
        <v>461.48640751838684</v>
      </c>
      <c r="AO9" s="69">
        <v>1779.8617497762041</v>
      </c>
      <c r="AP9" s="69">
        <v>414.34501123428345</v>
      </c>
      <c r="AQ9" s="69">
        <v>777.02053982416783</v>
      </c>
    </row>
    <row r="10" spans="1:53">
      <c r="A10" s="11">
        <v>41246</v>
      </c>
      <c r="B10" s="59"/>
      <c r="C10" s="60">
        <v>155.33897587458264</v>
      </c>
      <c r="D10" s="60">
        <v>1365.6869892120367</v>
      </c>
      <c r="E10" s="60">
        <v>12.913812543948488</v>
      </c>
      <c r="F10" s="60">
        <v>0</v>
      </c>
      <c r="G10" s="60">
        <v>3077.3952227274449</v>
      </c>
      <c r="H10" s="61">
        <v>31.558294270436047</v>
      </c>
      <c r="I10" s="59">
        <v>236.12751002311668</v>
      </c>
      <c r="J10" s="60">
        <v>624.44432627359902</v>
      </c>
      <c r="K10" s="60">
        <v>13.2123358945052</v>
      </c>
      <c r="L10" s="50">
        <v>0</v>
      </c>
      <c r="M10" s="60">
        <v>0</v>
      </c>
      <c r="N10" s="61">
        <v>0</v>
      </c>
      <c r="O10" s="59">
        <v>0</v>
      </c>
      <c r="P10" s="60">
        <v>0</v>
      </c>
      <c r="Q10" s="60">
        <v>0</v>
      </c>
      <c r="R10" s="63">
        <v>0</v>
      </c>
      <c r="S10" s="60">
        <v>0</v>
      </c>
      <c r="T10" s="64">
        <v>0</v>
      </c>
      <c r="U10" s="65">
        <v>280.27463676121084</v>
      </c>
      <c r="V10" s="62">
        <v>113.86825414776717</v>
      </c>
      <c r="W10" s="62">
        <v>22.426656977487507</v>
      </c>
      <c r="X10" s="62">
        <v>9.1113641459217671</v>
      </c>
      <c r="Y10" s="66">
        <v>96.94523826325792</v>
      </c>
      <c r="Z10" s="66">
        <v>39.386314639599448</v>
      </c>
      <c r="AA10" s="67">
        <v>0</v>
      </c>
      <c r="AB10" s="68">
        <v>0</v>
      </c>
      <c r="AC10" s="69">
        <v>0</v>
      </c>
      <c r="AD10" s="69">
        <v>12.823577266600388</v>
      </c>
      <c r="AE10" s="68">
        <v>8.9997357791721875</v>
      </c>
      <c r="AF10" s="68">
        <v>3.6563572530418806</v>
      </c>
      <c r="AG10" s="68">
        <v>0.71109905373362803</v>
      </c>
      <c r="AH10" s="69">
        <v>269.19556563695267</v>
      </c>
      <c r="AI10" s="69">
        <v>974.5748909632365</v>
      </c>
      <c r="AJ10" s="69">
        <v>3082.3422023773196</v>
      </c>
      <c r="AK10" s="69">
        <v>806.89754660924268</v>
      </c>
      <c r="AL10" s="69">
        <v>3349.7870933532708</v>
      </c>
      <c r="AM10" s="69">
        <v>2556.8648663838699</v>
      </c>
      <c r="AN10" s="69">
        <v>516.1339863936106</v>
      </c>
      <c r="AO10" s="69">
        <v>1685.5898345311482</v>
      </c>
      <c r="AP10" s="69">
        <v>390.84243923823044</v>
      </c>
      <c r="AQ10" s="69">
        <v>664.35012359619134</v>
      </c>
    </row>
    <row r="11" spans="1:53">
      <c r="A11" s="11">
        <v>41247</v>
      </c>
      <c r="B11" s="59"/>
      <c r="C11" s="60">
        <v>155.0274594227472</v>
      </c>
      <c r="D11" s="60">
        <v>1363.8299891153949</v>
      </c>
      <c r="E11" s="60">
        <v>12.890717182060063</v>
      </c>
      <c r="F11" s="60">
        <v>0</v>
      </c>
      <c r="G11" s="60">
        <v>3076.7280143737703</v>
      </c>
      <c r="H11" s="61">
        <v>37.773941787084006</v>
      </c>
      <c r="I11" s="59">
        <v>230.86314425468422</v>
      </c>
      <c r="J11" s="60">
        <v>623.95403629938642</v>
      </c>
      <c r="K11" s="60">
        <v>13.175546528895721</v>
      </c>
      <c r="L11" s="50">
        <v>0</v>
      </c>
      <c r="M11" s="60">
        <v>0</v>
      </c>
      <c r="N11" s="61">
        <v>0</v>
      </c>
      <c r="O11" s="59">
        <v>0</v>
      </c>
      <c r="P11" s="60">
        <v>0</v>
      </c>
      <c r="Q11" s="60">
        <v>0</v>
      </c>
      <c r="R11" s="63">
        <v>0</v>
      </c>
      <c r="S11" s="60">
        <v>0</v>
      </c>
      <c r="T11" s="64">
        <v>0</v>
      </c>
      <c r="U11" s="65">
        <v>263.1677000071673</v>
      </c>
      <c r="V11" s="62">
        <v>116.887999637983</v>
      </c>
      <c r="W11" s="62">
        <v>22.199109777037418</v>
      </c>
      <c r="X11" s="62">
        <v>9.8599088547387304</v>
      </c>
      <c r="Y11" s="66">
        <v>97.128441059005297</v>
      </c>
      <c r="Z11" s="66">
        <v>43.140359485733484</v>
      </c>
      <c r="AA11" s="67">
        <v>0</v>
      </c>
      <c r="AB11" s="68">
        <v>0</v>
      </c>
      <c r="AC11" s="69">
        <v>0</v>
      </c>
      <c r="AD11" s="69">
        <v>13.167918454938462</v>
      </c>
      <c r="AE11" s="68">
        <v>8.9993837504326546</v>
      </c>
      <c r="AF11" s="68">
        <v>3.9971469315345067</v>
      </c>
      <c r="AG11" s="68">
        <v>0.6924450817416532</v>
      </c>
      <c r="AH11" s="69">
        <v>285.42878344853716</v>
      </c>
      <c r="AI11" s="69">
        <v>1008.5802273432414</v>
      </c>
      <c r="AJ11" s="69">
        <v>3084.7955679575607</v>
      </c>
      <c r="AK11" s="69">
        <v>805.51386353174848</v>
      </c>
      <c r="AL11" s="69">
        <v>3317.8538556416843</v>
      </c>
      <c r="AM11" s="69">
        <v>2601.4745810190834</v>
      </c>
      <c r="AN11" s="69">
        <v>544.01075929005935</v>
      </c>
      <c r="AO11" s="69">
        <v>1762.1252681732178</v>
      </c>
      <c r="AP11" s="69">
        <v>428.1928631424903</v>
      </c>
      <c r="AQ11" s="69">
        <v>669.10749438603727</v>
      </c>
    </row>
    <row r="12" spans="1:53">
      <c r="A12" s="11">
        <v>41248</v>
      </c>
      <c r="B12" s="59"/>
      <c r="C12" s="60">
        <v>154.77868953545882</v>
      </c>
      <c r="D12" s="60">
        <v>1361.4463780085216</v>
      </c>
      <c r="E12" s="60">
        <v>12.898727200428647</v>
      </c>
      <c r="F12" s="60">
        <v>0</v>
      </c>
      <c r="G12" s="60">
        <v>3075.07637774148</v>
      </c>
      <c r="H12" s="61">
        <v>42.45177479187651</v>
      </c>
      <c r="I12" s="59">
        <v>240.2157997608183</v>
      </c>
      <c r="J12" s="60">
        <v>648.99482835133961</v>
      </c>
      <c r="K12" s="60">
        <v>13.871660451094304</v>
      </c>
      <c r="L12" s="50">
        <v>0</v>
      </c>
      <c r="M12" s="60">
        <v>0</v>
      </c>
      <c r="N12" s="61">
        <v>0</v>
      </c>
      <c r="O12" s="59">
        <v>0</v>
      </c>
      <c r="P12" s="60">
        <v>0</v>
      </c>
      <c r="Q12" s="60">
        <v>0</v>
      </c>
      <c r="R12" s="63">
        <v>0</v>
      </c>
      <c r="S12" s="60">
        <v>0</v>
      </c>
      <c r="T12" s="64">
        <v>0</v>
      </c>
      <c r="U12" s="65">
        <v>267.31745788539388</v>
      </c>
      <c r="V12" s="62">
        <v>118.01675793576676</v>
      </c>
      <c r="W12" s="62">
        <v>21.878120054498535</v>
      </c>
      <c r="X12" s="62">
        <v>9.6588708383885784</v>
      </c>
      <c r="Y12" s="66">
        <v>97.787754322805725</v>
      </c>
      <c r="Z12" s="66">
        <v>43.171866971533724</v>
      </c>
      <c r="AA12" s="67">
        <v>0</v>
      </c>
      <c r="AB12" s="68">
        <v>0</v>
      </c>
      <c r="AC12" s="69">
        <v>0</v>
      </c>
      <c r="AD12" s="69">
        <v>13.229730910725086</v>
      </c>
      <c r="AE12" s="68">
        <v>9.0614808951618624</v>
      </c>
      <c r="AF12" s="68">
        <v>4.0005116231592188</v>
      </c>
      <c r="AG12" s="68">
        <v>0.69372883826506571</v>
      </c>
      <c r="AH12" s="69">
        <v>260.96980196634934</v>
      </c>
      <c r="AI12" s="69">
        <v>971.3741388320924</v>
      </c>
      <c r="AJ12" s="69">
        <v>3066.7326319376621</v>
      </c>
      <c r="AK12" s="69">
        <v>808.15818573633851</v>
      </c>
      <c r="AL12" s="69">
        <v>3316.0110638936367</v>
      </c>
      <c r="AM12" s="69">
        <v>2624.8609728495285</v>
      </c>
      <c r="AN12" s="69">
        <v>504.99988552729286</v>
      </c>
      <c r="AO12" s="69">
        <v>1811.4375114440918</v>
      </c>
      <c r="AP12" s="69">
        <v>382.34101171493529</v>
      </c>
      <c r="AQ12" s="69">
        <v>792.6523068110148</v>
      </c>
    </row>
    <row r="13" spans="1:53">
      <c r="A13" s="11">
        <v>41249</v>
      </c>
      <c r="B13" s="59"/>
      <c r="C13" s="60">
        <v>154.90125535329142</v>
      </c>
      <c r="D13" s="60">
        <v>1361.2745344797777</v>
      </c>
      <c r="E13" s="60">
        <v>12.907377512753001</v>
      </c>
      <c r="F13" s="60">
        <v>0</v>
      </c>
      <c r="G13" s="60">
        <v>3077.5019924163735</v>
      </c>
      <c r="H13" s="61">
        <v>41.807215887308217</v>
      </c>
      <c r="I13" s="59">
        <v>230.80587066014573</v>
      </c>
      <c r="J13" s="60">
        <v>623.45646578470826</v>
      </c>
      <c r="K13" s="60">
        <v>13.528021572033561</v>
      </c>
      <c r="L13" s="50">
        <v>0</v>
      </c>
      <c r="M13" s="60">
        <v>0</v>
      </c>
      <c r="N13" s="61">
        <v>0</v>
      </c>
      <c r="O13" s="59">
        <v>0</v>
      </c>
      <c r="P13" s="60">
        <v>0</v>
      </c>
      <c r="Q13" s="60">
        <v>0</v>
      </c>
      <c r="R13" s="63">
        <v>0</v>
      </c>
      <c r="S13" s="60">
        <v>0</v>
      </c>
      <c r="T13" s="64">
        <v>0</v>
      </c>
      <c r="U13" s="65">
        <v>262.36678062365803</v>
      </c>
      <c r="V13" s="62">
        <v>113.67280167123144</v>
      </c>
      <c r="W13" s="62">
        <v>21.931475767150076</v>
      </c>
      <c r="X13" s="62">
        <v>9.5020119898969782</v>
      </c>
      <c r="Y13" s="66">
        <v>96.349042769963802</v>
      </c>
      <c r="Z13" s="66">
        <v>41.744101917053086</v>
      </c>
      <c r="AA13" s="67">
        <v>0</v>
      </c>
      <c r="AB13" s="68">
        <v>0</v>
      </c>
      <c r="AC13" s="69">
        <v>0</v>
      </c>
      <c r="AD13" s="69">
        <v>12.75412486394246</v>
      </c>
      <c r="AE13" s="68">
        <v>8.7807457116853254</v>
      </c>
      <c r="AF13" s="68">
        <v>3.8043381995133521</v>
      </c>
      <c r="AG13" s="68">
        <v>0.69771054159375845</v>
      </c>
      <c r="AH13" s="69">
        <v>274.12094052632654</v>
      </c>
      <c r="AI13" s="69">
        <v>989.40860195159905</v>
      </c>
      <c r="AJ13" s="69">
        <v>3057.1831474304204</v>
      </c>
      <c r="AK13" s="69">
        <v>812.17262210845934</v>
      </c>
      <c r="AL13" s="69">
        <v>3372.928154246013</v>
      </c>
      <c r="AM13" s="69">
        <v>2676.925694402059</v>
      </c>
      <c r="AN13" s="69">
        <v>510.51748768488562</v>
      </c>
      <c r="AO13" s="69">
        <v>1803.4531953811645</v>
      </c>
      <c r="AP13" s="69">
        <v>401.27927908897391</v>
      </c>
      <c r="AQ13" s="69">
        <v>678.0788570404053</v>
      </c>
    </row>
    <row r="14" spans="1:53">
      <c r="A14" s="11">
        <v>41250</v>
      </c>
      <c r="B14" s="59"/>
      <c r="C14" s="60">
        <v>154.85038744608514</v>
      </c>
      <c r="D14" s="60">
        <v>1360.243779627483</v>
      </c>
      <c r="E14" s="60">
        <v>12.879295419653245</v>
      </c>
      <c r="F14" s="60">
        <v>0</v>
      </c>
      <c r="G14" s="60">
        <v>3076.5386959076031</v>
      </c>
      <c r="H14" s="61">
        <v>41.773346596956365</v>
      </c>
      <c r="I14" s="59">
        <v>230.87975252469357</v>
      </c>
      <c r="J14" s="60">
        <v>623.60491536458312</v>
      </c>
      <c r="K14" s="60">
        <v>13.465108433365829</v>
      </c>
      <c r="L14" s="50">
        <v>0</v>
      </c>
      <c r="M14" s="60">
        <v>0</v>
      </c>
      <c r="N14" s="61">
        <v>0</v>
      </c>
      <c r="O14" s="59">
        <v>0</v>
      </c>
      <c r="P14" s="60">
        <v>0</v>
      </c>
      <c r="Q14" s="60">
        <v>0</v>
      </c>
      <c r="R14" s="63">
        <v>0</v>
      </c>
      <c r="S14" s="60">
        <v>0</v>
      </c>
      <c r="T14" s="64">
        <v>0</v>
      </c>
      <c r="U14" s="65">
        <v>258.73232883660512</v>
      </c>
      <c r="V14" s="62">
        <v>114.95218523030221</v>
      </c>
      <c r="W14" s="62">
        <v>22.357119641847316</v>
      </c>
      <c r="X14" s="62">
        <v>9.9330445864330645</v>
      </c>
      <c r="Y14" s="66">
        <v>98.456502524454891</v>
      </c>
      <c r="Z14" s="66">
        <v>43.743239069541538</v>
      </c>
      <c r="AA14" s="67">
        <v>0</v>
      </c>
      <c r="AB14" s="68">
        <v>0</v>
      </c>
      <c r="AC14" s="69">
        <v>0</v>
      </c>
      <c r="AD14" s="69">
        <v>13.157297196653154</v>
      </c>
      <c r="AE14" s="68">
        <v>9.0017712548300377</v>
      </c>
      <c r="AF14" s="68">
        <v>3.9993969108495655</v>
      </c>
      <c r="AG14" s="68">
        <v>0.69238172602003978</v>
      </c>
      <c r="AH14" s="69">
        <v>299.19811647733059</v>
      </c>
      <c r="AI14" s="69">
        <v>1040.8611986160279</v>
      </c>
      <c r="AJ14" s="69">
        <v>3068.3462444305424</v>
      </c>
      <c r="AK14" s="69">
        <v>816.83921461105354</v>
      </c>
      <c r="AL14" s="69">
        <v>3401.8175295511887</v>
      </c>
      <c r="AM14" s="69">
        <v>2728.7569942474361</v>
      </c>
      <c r="AN14" s="69">
        <v>537.23384218215926</v>
      </c>
      <c r="AO14" s="69">
        <v>1800.9141476949055</v>
      </c>
      <c r="AP14" s="69">
        <v>422.21669276555377</v>
      </c>
      <c r="AQ14" s="69">
        <v>677.34948466618869</v>
      </c>
    </row>
    <row r="15" spans="1:53">
      <c r="A15" s="11">
        <v>41251</v>
      </c>
      <c r="B15" s="59"/>
      <c r="C15" s="60">
        <v>154.84275537331879</v>
      </c>
      <c r="D15" s="60">
        <v>1360.3748706181823</v>
      </c>
      <c r="E15" s="60">
        <v>12.856993837157862</v>
      </c>
      <c r="F15" s="60">
        <v>0</v>
      </c>
      <c r="G15" s="60">
        <v>3121.3118002573769</v>
      </c>
      <c r="H15" s="61">
        <v>41.783904665708619</v>
      </c>
      <c r="I15" s="59">
        <v>233.10192115306771</v>
      </c>
      <c r="J15" s="60">
        <v>623.56514940261775</v>
      </c>
      <c r="K15" s="60">
        <v>13.41473904152712</v>
      </c>
      <c r="L15" s="50">
        <v>0</v>
      </c>
      <c r="M15" s="60">
        <v>0</v>
      </c>
      <c r="N15" s="61">
        <v>0</v>
      </c>
      <c r="O15" s="59">
        <v>0</v>
      </c>
      <c r="P15" s="60">
        <v>0</v>
      </c>
      <c r="Q15" s="60">
        <v>0</v>
      </c>
      <c r="R15" s="63">
        <v>0</v>
      </c>
      <c r="S15" s="60">
        <v>0</v>
      </c>
      <c r="T15" s="64">
        <v>0</v>
      </c>
      <c r="U15" s="65">
        <v>256.30346780634198</v>
      </c>
      <c r="V15" s="62">
        <v>113.85246233129226</v>
      </c>
      <c r="W15" s="62">
        <v>22.310228029881525</v>
      </c>
      <c r="X15" s="62">
        <v>9.9104175925308162</v>
      </c>
      <c r="Y15" s="66">
        <v>98.454201489168042</v>
      </c>
      <c r="Z15" s="66">
        <v>43.734302006683976</v>
      </c>
      <c r="AA15" s="67">
        <v>0</v>
      </c>
      <c r="AB15" s="68">
        <v>0</v>
      </c>
      <c r="AC15" s="69">
        <v>0</v>
      </c>
      <c r="AD15" s="69">
        <v>13.161127842134871</v>
      </c>
      <c r="AE15" s="68">
        <v>8.9982652645108683</v>
      </c>
      <c r="AF15" s="68">
        <v>3.9971158636400994</v>
      </c>
      <c r="AG15" s="68">
        <v>0.69242026653751365</v>
      </c>
      <c r="AH15" s="69">
        <v>309.13704541524243</v>
      </c>
      <c r="AI15" s="69">
        <v>1086.4581511815391</v>
      </c>
      <c r="AJ15" s="69">
        <v>3078.0305157979324</v>
      </c>
      <c r="AK15" s="69">
        <v>833.37054697672534</v>
      </c>
      <c r="AL15" s="69">
        <v>3566.1254104614259</v>
      </c>
      <c r="AM15" s="69">
        <v>2704.4168248494466</v>
      </c>
      <c r="AN15" s="69">
        <v>561.43695564270013</v>
      </c>
      <c r="AO15" s="69">
        <v>1812.6303459167482</v>
      </c>
      <c r="AP15" s="69">
        <v>437.65172136624653</v>
      </c>
      <c r="AQ15" s="69">
        <v>660.86974957784025</v>
      </c>
    </row>
    <row r="16" spans="1:53">
      <c r="A16" s="11">
        <v>41252</v>
      </c>
      <c r="B16" s="59"/>
      <c r="C16" s="60">
        <v>154.51047840118375</v>
      </c>
      <c r="D16" s="60">
        <v>1359.4717629750585</v>
      </c>
      <c r="E16" s="60">
        <v>12.805788146952809</v>
      </c>
      <c r="F16" s="60">
        <v>0</v>
      </c>
      <c r="G16" s="60">
        <v>3134.5576491038087</v>
      </c>
      <c r="H16" s="61">
        <v>42.742280193169897</v>
      </c>
      <c r="I16" s="59">
        <v>240.07616909344941</v>
      </c>
      <c r="J16" s="60">
        <v>654.76489642461149</v>
      </c>
      <c r="K16" s="60">
        <v>13.918098896741906</v>
      </c>
      <c r="L16" s="50">
        <v>0.13599252700805631</v>
      </c>
      <c r="M16" s="60">
        <v>0</v>
      </c>
      <c r="N16" s="61">
        <v>0</v>
      </c>
      <c r="O16" s="59">
        <v>0</v>
      </c>
      <c r="P16" s="60">
        <v>0</v>
      </c>
      <c r="Q16" s="60">
        <v>0</v>
      </c>
      <c r="R16" s="63">
        <v>0</v>
      </c>
      <c r="S16" s="60">
        <v>0</v>
      </c>
      <c r="T16" s="64">
        <v>0</v>
      </c>
      <c r="U16" s="65">
        <v>265.2231373958216</v>
      </c>
      <c r="V16" s="62">
        <v>117.36549768854113</v>
      </c>
      <c r="W16" s="62">
        <v>22.589821314845395</v>
      </c>
      <c r="X16" s="62">
        <v>9.996358716454175</v>
      </c>
      <c r="Y16" s="66">
        <v>98.55932274344535</v>
      </c>
      <c r="Z16" s="66">
        <v>43.614083142250969</v>
      </c>
      <c r="AA16" s="67">
        <v>0</v>
      </c>
      <c r="AB16" s="68">
        <v>0</v>
      </c>
      <c r="AC16" s="69">
        <v>0</v>
      </c>
      <c r="AD16" s="69">
        <v>13.175014010402904</v>
      </c>
      <c r="AE16" s="68">
        <v>8.9300222060874876</v>
      </c>
      <c r="AF16" s="68">
        <v>3.9516782392292664</v>
      </c>
      <c r="AG16" s="68">
        <v>0.69323318330493156</v>
      </c>
      <c r="AH16" s="69">
        <v>362.06121048927304</v>
      </c>
      <c r="AI16" s="69">
        <v>1204.9226414998375</v>
      </c>
      <c r="AJ16" s="69">
        <v>3156.9493671417231</v>
      </c>
      <c r="AK16" s="69">
        <v>855.45522832870472</v>
      </c>
      <c r="AL16" s="69">
        <v>3442.568401082357</v>
      </c>
      <c r="AM16" s="69">
        <v>2813.7176453908282</v>
      </c>
      <c r="AN16" s="69">
        <v>650.64755827585839</v>
      </c>
      <c r="AO16" s="69">
        <v>1821.7371424357098</v>
      </c>
      <c r="AP16" s="69">
        <v>491.06848270098368</v>
      </c>
      <c r="AQ16" s="69">
        <v>684.81509447097801</v>
      </c>
    </row>
    <row r="17" spans="1:43">
      <c r="A17" s="11">
        <v>41253</v>
      </c>
      <c r="B17" s="49"/>
      <c r="C17" s="50">
        <v>154.35680771668723</v>
      </c>
      <c r="D17" s="50">
        <v>1358.9902517954474</v>
      </c>
      <c r="E17" s="50">
        <v>12.758789694805934</v>
      </c>
      <c r="F17" s="50">
        <v>0</v>
      </c>
      <c r="G17" s="50">
        <v>3118.7440827687319</v>
      </c>
      <c r="H17" s="51">
        <v>41.723050286372583</v>
      </c>
      <c r="I17" s="49">
        <v>238.44998739162995</v>
      </c>
      <c r="J17" s="50">
        <v>637.53157186508236</v>
      </c>
      <c r="K17" s="50">
        <v>13.435175126790998</v>
      </c>
      <c r="L17" s="50">
        <v>0.10981841087341132</v>
      </c>
      <c r="M17" s="50">
        <v>0</v>
      </c>
      <c r="N17" s="51">
        <v>0</v>
      </c>
      <c r="O17" s="49">
        <v>0</v>
      </c>
      <c r="P17" s="50">
        <v>0</v>
      </c>
      <c r="Q17" s="50">
        <v>0</v>
      </c>
      <c r="R17" s="70">
        <v>0</v>
      </c>
      <c r="S17" s="50">
        <v>0</v>
      </c>
      <c r="T17" s="52">
        <v>0</v>
      </c>
      <c r="U17" s="71">
        <v>257.14300163067651</v>
      </c>
      <c r="V17" s="66">
        <v>114.35285427294275</v>
      </c>
      <c r="W17" s="62">
        <v>22.49652316981858</v>
      </c>
      <c r="X17" s="62">
        <v>10.00432296182408</v>
      </c>
      <c r="Y17" s="66">
        <v>98.643938683760481</v>
      </c>
      <c r="Z17" s="66">
        <v>43.867481804597013</v>
      </c>
      <c r="AA17" s="67">
        <v>0</v>
      </c>
      <c r="AB17" s="68">
        <v>0</v>
      </c>
      <c r="AC17" s="69">
        <v>0</v>
      </c>
      <c r="AD17" s="69">
        <v>13.314817191494832</v>
      </c>
      <c r="AE17" s="68">
        <v>8.9943483094189531</v>
      </c>
      <c r="AF17" s="68">
        <v>3.9998343139211978</v>
      </c>
      <c r="AG17" s="68">
        <v>0.69218269206585603</v>
      </c>
      <c r="AH17" s="69">
        <v>381.66290677388525</v>
      </c>
      <c r="AI17" s="69">
        <v>1244.4560108184814</v>
      </c>
      <c r="AJ17" s="69">
        <v>3100.2639846801758</v>
      </c>
      <c r="AK17" s="69">
        <v>840.67427339553842</v>
      </c>
      <c r="AL17" s="69">
        <v>3377.2706565856934</v>
      </c>
      <c r="AM17" s="69">
        <v>2870.7721575419105</v>
      </c>
      <c r="AN17" s="69">
        <v>682.28569219907126</v>
      </c>
      <c r="AO17" s="69">
        <v>1793.9222373962402</v>
      </c>
      <c r="AP17" s="69">
        <v>484.38634807268778</v>
      </c>
      <c r="AQ17" s="69">
        <v>706.91076329549162</v>
      </c>
    </row>
    <row r="18" spans="1:43">
      <c r="A18" s="11">
        <v>41254</v>
      </c>
      <c r="B18" s="59"/>
      <c r="C18" s="60">
        <v>154.18258889516184</v>
      </c>
      <c r="D18" s="60">
        <v>1353.5774537404384</v>
      </c>
      <c r="E18" s="60">
        <v>12.764217042922974</v>
      </c>
      <c r="F18" s="60">
        <v>0</v>
      </c>
      <c r="G18" s="60">
        <v>3121.8536589304354</v>
      </c>
      <c r="H18" s="61">
        <v>41.600912143786722</v>
      </c>
      <c r="I18" s="59">
        <v>237.64059027036012</v>
      </c>
      <c r="J18" s="60">
        <v>632.72337983449472</v>
      </c>
      <c r="K18" s="60">
        <v>13.536689615249664</v>
      </c>
      <c r="L18" s="50">
        <v>67.978133762598034</v>
      </c>
      <c r="M18" s="60">
        <v>0</v>
      </c>
      <c r="N18" s="61">
        <v>0</v>
      </c>
      <c r="O18" s="59">
        <v>0</v>
      </c>
      <c r="P18" s="60">
        <v>0</v>
      </c>
      <c r="Q18" s="60">
        <v>0</v>
      </c>
      <c r="R18" s="63">
        <v>0</v>
      </c>
      <c r="S18" s="60">
        <v>0</v>
      </c>
      <c r="T18" s="64">
        <v>0</v>
      </c>
      <c r="U18" s="65">
        <v>256.38399572354882</v>
      </c>
      <c r="V18" s="62">
        <v>114.04204623981677</v>
      </c>
      <c r="W18" s="62">
        <v>22.409141979097164</v>
      </c>
      <c r="X18" s="62">
        <v>9.9678000514916221</v>
      </c>
      <c r="Y18" s="66">
        <v>99.226066241721796</v>
      </c>
      <c r="Z18" s="66">
        <v>44.136700508931924</v>
      </c>
      <c r="AA18" s="67">
        <v>0</v>
      </c>
      <c r="AB18" s="68">
        <v>0</v>
      </c>
      <c r="AC18" s="69">
        <v>0</v>
      </c>
      <c r="AD18" s="69">
        <v>13.311716570456824</v>
      </c>
      <c r="AE18" s="68">
        <v>8.9930418945663124</v>
      </c>
      <c r="AF18" s="68">
        <v>4.0001907946024771</v>
      </c>
      <c r="AG18" s="68">
        <v>0.69213275169488409</v>
      </c>
      <c r="AH18" s="69">
        <v>347.80932799975074</v>
      </c>
      <c r="AI18" s="69">
        <v>1190.6726662953695</v>
      </c>
      <c r="AJ18" s="69">
        <v>3100.8264765421541</v>
      </c>
      <c r="AK18" s="69">
        <v>834.58923892974883</v>
      </c>
      <c r="AL18" s="69">
        <v>3327.6463694254558</v>
      </c>
      <c r="AM18" s="69">
        <v>2833.09523785909</v>
      </c>
      <c r="AN18" s="69">
        <v>651.72056808471689</v>
      </c>
      <c r="AO18" s="69">
        <v>1841.9952554066974</v>
      </c>
      <c r="AP18" s="69">
        <v>457.7492260138194</v>
      </c>
      <c r="AQ18" s="69">
        <v>680.22571557362869</v>
      </c>
    </row>
    <row r="19" spans="1:43">
      <c r="A19" s="11">
        <v>41255</v>
      </c>
      <c r="B19" s="59"/>
      <c r="C19" s="60">
        <v>153.68551311492905</v>
      </c>
      <c r="D19" s="60">
        <v>1337.3918226877843</v>
      </c>
      <c r="E19" s="60">
        <v>12.769747835397707</v>
      </c>
      <c r="F19" s="60">
        <v>0</v>
      </c>
      <c r="G19" s="60">
        <v>3122.4675086975199</v>
      </c>
      <c r="H19" s="61">
        <v>47.379288067420418</v>
      </c>
      <c r="I19" s="59">
        <v>240.72526812553352</v>
      </c>
      <c r="J19" s="60">
        <v>652.5041343371073</v>
      </c>
      <c r="K19" s="60">
        <v>14.073994105060921</v>
      </c>
      <c r="L19" s="50">
        <v>45.55294099998482</v>
      </c>
      <c r="M19" s="60">
        <v>0</v>
      </c>
      <c r="N19" s="61">
        <v>0</v>
      </c>
      <c r="O19" s="59">
        <v>0</v>
      </c>
      <c r="P19" s="60">
        <v>0</v>
      </c>
      <c r="Q19" s="60">
        <v>0</v>
      </c>
      <c r="R19" s="63">
        <v>0</v>
      </c>
      <c r="S19" s="60">
        <v>0</v>
      </c>
      <c r="T19" s="64">
        <v>0</v>
      </c>
      <c r="U19" s="65">
        <v>249.92057537027372</v>
      </c>
      <c r="V19" s="62">
        <v>112.37265315001744</v>
      </c>
      <c r="W19" s="62">
        <v>21.314289984839892</v>
      </c>
      <c r="X19" s="62">
        <v>9.5836179636540209</v>
      </c>
      <c r="Y19" s="66">
        <v>95.898863422647011</v>
      </c>
      <c r="Z19" s="66">
        <v>43.119337817256742</v>
      </c>
      <c r="AA19" s="67">
        <v>0</v>
      </c>
      <c r="AB19" s="68">
        <v>0</v>
      </c>
      <c r="AC19" s="69">
        <v>0</v>
      </c>
      <c r="AD19" s="69">
        <v>12.97485350171724</v>
      </c>
      <c r="AE19" s="68">
        <v>8.7879745582292621</v>
      </c>
      <c r="AF19" s="68">
        <v>3.9513674112665083</v>
      </c>
      <c r="AG19" s="68">
        <v>0.68982955157903614</v>
      </c>
      <c r="AH19" s="69">
        <v>317.35793024698893</v>
      </c>
      <c r="AI19" s="69">
        <v>1129.1829648971559</v>
      </c>
      <c r="AJ19" s="69">
        <v>3058.6668462117514</v>
      </c>
      <c r="AK19" s="69">
        <v>824.00441904067975</v>
      </c>
      <c r="AL19" s="69">
        <v>4185.9792123158777</v>
      </c>
      <c r="AM19" s="69">
        <v>2746.1170354207356</v>
      </c>
      <c r="AN19" s="69">
        <v>590.79869130452482</v>
      </c>
      <c r="AO19" s="69">
        <v>1812.877915318807</v>
      </c>
      <c r="AP19" s="69">
        <v>419.59187486966448</v>
      </c>
      <c r="AQ19" s="69">
        <v>729.84413448969519</v>
      </c>
    </row>
    <row r="20" spans="1:43">
      <c r="A20" s="11">
        <v>41256</v>
      </c>
      <c r="B20" s="59"/>
      <c r="C20" s="60">
        <v>153.92829051812456</v>
      </c>
      <c r="D20" s="60">
        <v>1325.7372909545893</v>
      </c>
      <c r="E20" s="60">
        <v>12.816114832460865</v>
      </c>
      <c r="F20" s="60">
        <v>0</v>
      </c>
      <c r="G20" s="60">
        <v>3080.4973215739083</v>
      </c>
      <c r="H20" s="61">
        <v>46.350338220596349</v>
      </c>
      <c r="I20" s="59">
        <v>232.05801003773982</v>
      </c>
      <c r="J20" s="60">
        <v>551.77503194808889</v>
      </c>
      <c r="K20" s="60">
        <v>13.630588335792222</v>
      </c>
      <c r="L20" s="50">
        <v>0.1269069075584405</v>
      </c>
      <c r="M20" s="60">
        <v>0</v>
      </c>
      <c r="N20" s="61">
        <v>0</v>
      </c>
      <c r="O20" s="59">
        <v>0</v>
      </c>
      <c r="P20" s="60">
        <v>0</v>
      </c>
      <c r="Q20" s="60">
        <v>0</v>
      </c>
      <c r="R20" s="63">
        <v>0</v>
      </c>
      <c r="S20" s="60">
        <v>0</v>
      </c>
      <c r="T20" s="64">
        <v>0</v>
      </c>
      <c r="U20" s="65">
        <v>256.49654811835188</v>
      </c>
      <c r="V20" s="62">
        <v>113.96905952477606</v>
      </c>
      <c r="W20" s="62">
        <v>22.08874904294154</v>
      </c>
      <c r="X20" s="62">
        <v>9.8146894099380138</v>
      </c>
      <c r="Y20" s="66">
        <v>98.11182432828042</v>
      </c>
      <c r="Z20" s="66">
        <v>43.594007127903843</v>
      </c>
      <c r="AA20" s="67">
        <v>0</v>
      </c>
      <c r="AB20" s="68">
        <v>0</v>
      </c>
      <c r="AC20" s="69">
        <v>0</v>
      </c>
      <c r="AD20" s="69">
        <v>13.139973548385838</v>
      </c>
      <c r="AE20" s="68">
        <v>9.0027229812684535</v>
      </c>
      <c r="AF20" s="68">
        <v>4.0001780876358026</v>
      </c>
      <c r="AG20" s="68">
        <v>0.69236264534827419</v>
      </c>
      <c r="AH20" s="69">
        <v>305.03880602518723</v>
      </c>
      <c r="AI20" s="69">
        <v>1089.6625845591229</v>
      </c>
      <c r="AJ20" s="69">
        <v>3053.0107032775877</v>
      </c>
      <c r="AK20" s="69">
        <v>818.53565295537328</v>
      </c>
      <c r="AL20" s="69">
        <v>4252.0010176340738</v>
      </c>
      <c r="AM20" s="69">
        <v>2688.6352114359543</v>
      </c>
      <c r="AN20" s="69">
        <v>557.63608112335214</v>
      </c>
      <c r="AO20" s="69">
        <v>1816.954672876994</v>
      </c>
      <c r="AP20" s="69">
        <v>391.55395803451535</v>
      </c>
      <c r="AQ20" s="69">
        <v>709.90345624287909</v>
      </c>
    </row>
    <row r="21" spans="1:43">
      <c r="A21" s="11">
        <v>41257</v>
      </c>
      <c r="B21" s="59"/>
      <c r="C21" s="60">
        <v>155.24894094467129</v>
      </c>
      <c r="D21" s="60">
        <v>1331.971237627665</v>
      </c>
      <c r="E21" s="60">
        <v>12.826725181440498</v>
      </c>
      <c r="F21" s="60">
        <v>0</v>
      </c>
      <c r="G21" s="60">
        <v>3008.3890229543172</v>
      </c>
      <c r="H21" s="61">
        <v>41.977348796526641</v>
      </c>
      <c r="I21" s="59">
        <v>208.7522830486304</v>
      </c>
      <c r="J21" s="60">
        <v>490.69753430684432</v>
      </c>
      <c r="K21" s="60">
        <v>13.647961982091282</v>
      </c>
      <c r="L21" s="50">
        <v>14.712745276451148</v>
      </c>
      <c r="M21" s="60">
        <v>0</v>
      </c>
      <c r="N21" s="61">
        <v>0</v>
      </c>
      <c r="O21" s="59">
        <v>0</v>
      </c>
      <c r="P21" s="60">
        <v>0</v>
      </c>
      <c r="Q21" s="60">
        <v>0</v>
      </c>
      <c r="R21" s="63">
        <v>0</v>
      </c>
      <c r="S21" s="60">
        <v>0</v>
      </c>
      <c r="T21" s="64">
        <v>0</v>
      </c>
      <c r="U21" s="65">
        <v>256.04577871679635</v>
      </c>
      <c r="V21" s="62">
        <v>114.96104236457862</v>
      </c>
      <c r="W21" s="62">
        <v>22.088890492846289</v>
      </c>
      <c r="X21" s="62">
        <v>9.9176088294091471</v>
      </c>
      <c r="Y21" s="66">
        <v>94.1567761502953</v>
      </c>
      <c r="Z21" s="66">
        <v>42.27510090646215</v>
      </c>
      <c r="AA21" s="67">
        <v>0</v>
      </c>
      <c r="AB21" s="68">
        <v>0</v>
      </c>
      <c r="AC21" s="69">
        <v>0</v>
      </c>
      <c r="AD21" s="69">
        <v>13.183405280113227</v>
      </c>
      <c r="AE21" s="68">
        <v>8.9979555799645627</v>
      </c>
      <c r="AF21" s="68">
        <v>4.039958626957227</v>
      </c>
      <c r="AG21" s="68">
        <v>0.69013765830638574</v>
      </c>
      <c r="AH21" s="69">
        <v>360.22574513753261</v>
      </c>
      <c r="AI21" s="69">
        <v>1149.3068589528402</v>
      </c>
      <c r="AJ21" s="69">
        <v>3063.5239039103185</v>
      </c>
      <c r="AK21" s="69">
        <v>812.44469168980913</v>
      </c>
      <c r="AL21" s="69">
        <v>3568.970239003499</v>
      </c>
      <c r="AM21" s="69">
        <v>2779.3861604054764</v>
      </c>
      <c r="AN21" s="69">
        <v>577.18545915285745</v>
      </c>
      <c r="AO21" s="69">
        <v>1793.4759941101072</v>
      </c>
      <c r="AP21" s="69">
        <v>404.65331427256262</v>
      </c>
      <c r="AQ21" s="69">
        <v>691.75543778737381</v>
      </c>
    </row>
    <row r="22" spans="1:43">
      <c r="A22" s="11">
        <v>41258</v>
      </c>
      <c r="B22" s="59"/>
      <c r="C22" s="60">
        <v>156.79160954157459</v>
      </c>
      <c r="D22" s="60">
        <v>1297.761227099101</v>
      </c>
      <c r="E22" s="60">
        <v>12.837126580377408</v>
      </c>
      <c r="F22" s="60">
        <v>0</v>
      </c>
      <c r="G22" s="60">
        <v>3017.0245100657289</v>
      </c>
      <c r="H22" s="61">
        <v>42.426680217186622</v>
      </c>
      <c r="I22" s="59">
        <v>210.10394767125453</v>
      </c>
      <c r="J22" s="60">
        <v>512.22653970718386</v>
      </c>
      <c r="K22" s="60">
        <v>14.16535848478477</v>
      </c>
      <c r="L22" s="50">
        <v>0.13147325515747035</v>
      </c>
      <c r="M22" s="60">
        <v>0</v>
      </c>
      <c r="N22" s="61">
        <v>0</v>
      </c>
      <c r="O22" s="59">
        <v>0</v>
      </c>
      <c r="P22" s="60">
        <v>0</v>
      </c>
      <c r="Q22" s="60">
        <v>0</v>
      </c>
      <c r="R22" s="63">
        <v>0</v>
      </c>
      <c r="S22" s="60">
        <v>0</v>
      </c>
      <c r="T22" s="64">
        <v>0</v>
      </c>
      <c r="U22" s="65">
        <v>257.64440025273581</v>
      </c>
      <c r="V22" s="62">
        <v>116.70711984054917</v>
      </c>
      <c r="W22" s="62">
        <v>22.383773298982671</v>
      </c>
      <c r="X22" s="62">
        <v>10.139345975792525</v>
      </c>
      <c r="Y22" s="66">
        <v>91.687778943524776</v>
      </c>
      <c r="Z22" s="66">
        <v>41.532502140853737</v>
      </c>
      <c r="AA22" s="67">
        <v>0</v>
      </c>
      <c r="AB22" s="68">
        <v>0</v>
      </c>
      <c r="AC22" s="69">
        <v>0</v>
      </c>
      <c r="AD22" s="69">
        <v>13.300793644454744</v>
      </c>
      <c r="AE22" s="68">
        <v>9.0517625167212294</v>
      </c>
      <c r="AF22" s="68">
        <v>4.1002448792634212</v>
      </c>
      <c r="AG22" s="68">
        <v>0.68824189678335801</v>
      </c>
      <c r="AH22" s="69">
        <v>361.38442560831697</v>
      </c>
      <c r="AI22" s="69">
        <v>1163.9159337361655</v>
      </c>
      <c r="AJ22" s="69">
        <v>3069.0059790293371</v>
      </c>
      <c r="AK22" s="69">
        <v>809.42198502222709</v>
      </c>
      <c r="AL22" s="69">
        <v>3552.2348625183108</v>
      </c>
      <c r="AM22" s="69">
        <v>2745.5213227589929</v>
      </c>
      <c r="AN22" s="69">
        <v>596.9416081110636</v>
      </c>
      <c r="AO22" s="69">
        <v>1796.6824123382567</v>
      </c>
      <c r="AP22" s="69">
        <v>409.31105219523113</v>
      </c>
      <c r="AQ22" s="69">
        <v>617.09082260131845</v>
      </c>
    </row>
    <row r="23" spans="1:43">
      <c r="A23" s="11">
        <v>41259</v>
      </c>
      <c r="B23" s="59"/>
      <c r="C23" s="60">
        <v>157.08054305712375</v>
      </c>
      <c r="D23" s="60">
        <v>1297.8398807525637</v>
      </c>
      <c r="E23" s="60">
        <v>12.825508824487493</v>
      </c>
      <c r="F23" s="60">
        <v>0</v>
      </c>
      <c r="G23" s="60">
        <v>2953.9140754699706</v>
      </c>
      <c r="H23" s="61">
        <v>42.393345258633282</v>
      </c>
      <c r="I23" s="59">
        <v>203.93634788195314</v>
      </c>
      <c r="J23" s="60">
        <v>492.19554917017643</v>
      </c>
      <c r="K23" s="60">
        <v>13.622942251960449</v>
      </c>
      <c r="L23" s="50">
        <v>0.14743193387985226</v>
      </c>
      <c r="M23" s="60">
        <v>0</v>
      </c>
      <c r="N23" s="61">
        <v>0</v>
      </c>
      <c r="O23" s="59">
        <v>0</v>
      </c>
      <c r="P23" s="60">
        <v>0</v>
      </c>
      <c r="Q23" s="60">
        <v>0</v>
      </c>
      <c r="R23" s="63">
        <v>0</v>
      </c>
      <c r="S23" s="60">
        <v>0</v>
      </c>
      <c r="T23" s="64">
        <v>0</v>
      </c>
      <c r="U23" s="65">
        <v>252.7779514633292</v>
      </c>
      <c r="V23" s="62">
        <v>112.28626025491316</v>
      </c>
      <c r="W23" s="62">
        <v>21.185339335184612</v>
      </c>
      <c r="X23" s="62">
        <v>9.4107200110144369</v>
      </c>
      <c r="Y23" s="66">
        <v>89.145055142155854</v>
      </c>
      <c r="Z23" s="66">
        <v>39.599042575447193</v>
      </c>
      <c r="AA23" s="67">
        <v>0</v>
      </c>
      <c r="AB23" s="68">
        <v>0</v>
      </c>
      <c r="AC23" s="69">
        <v>0</v>
      </c>
      <c r="AD23" s="69">
        <v>12.839837416675344</v>
      </c>
      <c r="AE23" s="68">
        <v>8.788179675965301</v>
      </c>
      <c r="AF23" s="68">
        <v>3.9037891736595278</v>
      </c>
      <c r="AG23" s="68">
        <v>0.69242052041634794</v>
      </c>
      <c r="AH23" s="69">
        <v>372.58605327606199</v>
      </c>
      <c r="AI23" s="69">
        <v>1182.6312841415406</v>
      </c>
      <c r="AJ23" s="69">
        <v>3099.4091997782384</v>
      </c>
      <c r="AK23" s="69">
        <v>812.98211288452137</v>
      </c>
      <c r="AL23" s="69">
        <v>3644.6404045104982</v>
      </c>
      <c r="AM23" s="69">
        <v>2778.2717686971027</v>
      </c>
      <c r="AN23" s="69">
        <v>609.6744054158529</v>
      </c>
      <c r="AO23" s="69">
        <v>1771.4264165242512</v>
      </c>
      <c r="AP23" s="69">
        <v>415.0781102339426</v>
      </c>
      <c r="AQ23" s="69">
        <v>624.72448422114041</v>
      </c>
    </row>
    <row r="24" spans="1:43">
      <c r="A24" s="11">
        <v>41260</v>
      </c>
      <c r="B24" s="59"/>
      <c r="C24" s="60">
        <v>156.90960895220408</v>
      </c>
      <c r="D24" s="60">
        <v>1324.4506553014121</v>
      </c>
      <c r="E24" s="60">
        <v>12.810864093899704</v>
      </c>
      <c r="F24" s="60">
        <v>0</v>
      </c>
      <c r="G24" s="60">
        <v>3008.7738344828476</v>
      </c>
      <c r="H24" s="61">
        <v>43.119430738687612</v>
      </c>
      <c r="I24" s="59">
        <v>200.79614888827047</v>
      </c>
      <c r="J24" s="60">
        <v>491.60975767771424</v>
      </c>
      <c r="K24" s="60">
        <v>13.59508497218293</v>
      </c>
      <c r="L24" s="50">
        <v>0.14027642011642405</v>
      </c>
      <c r="M24" s="60">
        <v>0</v>
      </c>
      <c r="N24" s="61">
        <v>0</v>
      </c>
      <c r="O24" s="59">
        <v>0</v>
      </c>
      <c r="P24" s="60">
        <v>0</v>
      </c>
      <c r="Q24" s="60">
        <v>0</v>
      </c>
      <c r="R24" s="63">
        <v>0</v>
      </c>
      <c r="S24" s="60">
        <v>0</v>
      </c>
      <c r="T24" s="64">
        <v>0</v>
      </c>
      <c r="U24" s="65">
        <v>255.28552146989071</v>
      </c>
      <c r="V24" s="62">
        <v>106.20772325226378</v>
      </c>
      <c r="W24" s="62">
        <v>21.60924393479689</v>
      </c>
      <c r="X24" s="62">
        <v>8.9902027592593274</v>
      </c>
      <c r="Y24" s="66">
        <v>90.298166360224343</v>
      </c>
      <c r="Z24" s="66">
        <v>37.567201648389229</v>
      </c>
      <c r="AA24" s="67">
        <v>0</v>
      </c>
      <c r="AB24" s="68">
        <v>0</v>
      </c>
      <c r="AC24" s="69">
        <v>0</v>
      </c>
      <c r="AD24" s="69">
        <v>12.804343213306549</v>
      </c>
      <c r="AE24" s="68">
        <v>8.9354171081454634</v>
      </c>
      <c r="AF24" s="68">
        <v>3.7174466530699273</v>
      </c>
      <c r="AG24" s="68">
        <v>0.70619721169645766</v>
      </c>
      <c r="AH24" s="69">
        <v>366.11969707806907</v>
      </c>
      <c r="AI24" s="69">
        <v>1184.5062976837157</v>
      </c>
      <c r="AJ24" s="69">
        <v>3075.0138998667398</v>
      </c>
      <c r="AK24" s="69">
        <v>812.26452865600572</v>
      </c>
      <c r="AL24" s="69">
        <v>3490.2223325093582</v>
      </c>
      <c r="AM24" s="69">
        <v>2711.0665430704748</v>
      </c>
      <c r="AN24" s="69">
        <v>598.74804477691669</v>
      </c>
      <c r="AO24" s="69">
        <v>1782.7691098531088</v>
      </c>
      <c r="AP24" s="69">
        <v>451.862522983551</v>
      </c>
      <c r="AQ24" s="69">
        <v>702.83142121632886</v>
      </c>
    </row>
    <row r="25" spans="1:43">
      <c r="A25" s="11">
        <v>41261</v>
      </c>
      <c r="B25" s="59"/>
      <c r="C25" s="60">
        <v>156.81465260982475</v>
      </c>
      <c r="D25" s="60">
        <v>1324.5315526326497</v>
      </c>
      <c r="E25" s="60">
        <v>12.875733338296422</v>
      </c>
      <c r="F25" s="60">
        <v>0</v>
      </c>
      <c r="G25" s="60">
        <v>3028.6491631825947</v>
      </c>
      <c r="H25" s="61">
        <v>42.398624960581557</v>
      </c>
      <c r="I25" s="59">
        <v>202.21544542312662</v>
      </c>
      <c r="J25" s="60">
        <v>491.76788120269782</v>
      </c>
      <c r="K25" s="60">
        <v>13.53220758636793</v>
      </c>
      <c r="L25" s="50">
        <v>0.15755321979522721</v>
      </c>
      <c r="M25" s="60">
        <v>0</v>
      </c>
      <c r="N25" s="61">
        <v>0</v>
      </c>
      <c r="O25" s="59">
        <v>0</v>
      </c>
      <c r="P25" s="60">
        <v>0</v>
      </c>
      <c r="Q25" s="60">
        <v>0</v>
      </c>
      <c r="R25" s="63">
        <v>0</v>
      </c>
      <c r="S25" s="60">
        <v>0</v>
      </c>
      <c r="T25" s="64">
        <v>0</v>
      </c>
      <c r="U25" s="65">
        <v>256.34585783123964</v>
      </c>
      <c r="V25" s="62">
        <v>116.7056803606571</v>
      </c>
      <c r="W25" s="62">
        <v>21.947726885878293</v>
      </c>
      <c r="X25" s="62">
        <v>9.992064706083827</v>
      </c>
      <c r="Y25" s="66">
        <v>89.605036882242899</v>
      </c>
      <c r="Z25" s="66">
        <v>40.794171130974036</v>
      </c>
      <c r="AA25" s="67">
        <v>0</v>
      </c>
      <c r="AB25" s="68">
        <v>0</v>
      </c>
      <c r="AC25" s="69">
        <v>0</v>
      </c>
      <c r="AD25" s="69">
        <v>13.258789171112884</v>
      </c>
      <c r="AE25" s="68">
        <v>8.9998635270028959</v>
      </c>
      <c r="AF25" s="68">
        <v>4.0973363289661737</v>
      </c>
      <c r="AG25" s="68">
        <v>0.68715936428970303</v>
      </c>
      <c r="AH25" s="69">
        <v>363.06616026560465</v>
      </c>
      <c r="AI25" s="69">
        <v>1168.5333575566608</v>
      </c>
      <c r="AJ25" s="69">
        <v>3094.8819136301681</v>
      </c>
      <c r="AK25" s="69">
        <v>814.95422541300456</v>
      </c>
      <c r="AL25" s="69">
        <v>3596.9721626281739</v>
      </c>
      <c r="AM25" s="69">
        <v>2674.7900285085038</v>
      </c>
      <c r="AN25" s="69">
        <v>637.45725750923157</v>
      </c>
      <c r="AO25" s="69">
        <v>1946.0015569051106</v>
      </c>
      <c r="AP25" s="69">
        <v>469.65748922030139</v>
      </c>
      <c r="AQ25" s="69">
        <v>658.2686655044555</v>
      </c>
    </row>
    <row r="26" spans="1:43">
      <c r="A26" s="11">
        <v>41262</v>
      </c>
      <c r="B26" s="59"/>
      <c r="C26" s="60">
        <v>156.98327026367176</v>
      </c>
      <c r="D26" s="60">
        <v>1325.5323383331283</v>
      </c>
      <c r="E26" s="60">
        <v>12.881671107312028</v>
      </c>
      <c r="F26" s="60">
        <v>0</v>
      </c>
      <c r="G26" s="60">
        <v>3026.2285051981503</v>
      </c>
      <c r="H26" s="61">
        <v>47.239190099636907</v>
      </c>
      <c r="I26" s="59">
        <v>183.42572569847096</v>
      </c>
      <c r="J26" s="60">
        <v>438.96178070704144</v>
      </c>
      <c r="K26" s="60">
        <v>12.028832237919184</v>
      </c>
      <c r="L26" s="50">
        <v>0.15261026620864862</v>
      </c>
      <c r="M26" s="60">
        <v>0</v>
      </c>
      <c r="N26" s="61">
        <v>0</v>
      </c>
      <c r="O26" s="59">
        <v>0</v>
      </c>
      <c r="P26" s="60">
        <v>0</v>
      </c>
      <c r="Q26" s="60">
        <v>0</v>
      </c>
      <c r="R26" s="63">
        <v>0</v>
      </c>
      <c r="S26" s="60">
        <v>0</v>
      </c>
      <c r="T26" s="64">
        <v>0</v>
      </c>
      <c r="U26" s="65">
        <v>223.25900017431022</v>
      </c>
      <c r="V26" s="62">
        <v>118.25849175972029</v>
      </c>
      <c r="W26" s="62">
        <v>19.50360486167974</v>
      </c>
      <c r="X26" s="62">
        <v>10.330902194397593</v>
      </c>
      <c r="Y26" s="66">
        <v>74.221332531430505</v>
      </c>
      <c r="Z26" s="66">
        <v>39.314441230636724</v>
      </c>
      <c r="AA26" s="67">
        <v>0</v>
      </c>
      <c r="AB26" s="68">
        <v>0</v>
      </c>
      <c r="AC26" s="69">
        <v>0</v>
      </c>
      <c r="AD26" s="69">
        <v>12.010115804937138</v>
      </c>
      <c r="AE26" s="68">
        <v>7.7402452129762462</v>
      </c>
      <c r="AF26" s="68">
        <v>4.0999454625448628</v>
      </c>
      <c r="AG26" s="68">
        <v>0.65372639893196516</v>
      </c>
      <c r="AH26" s="69">
        <v>440.71129530270895</v>
      </c>
      <c r="AI26" s="69">
        <v>1333.1892702102659</v>
      </c>
      <c r="AJ26" s="69">
        <v>3134.6396402994787</v>
      </c>
      <c r="AK26" s="69">
        <v>854.86669775644918</v>
      </c>
      <c r="AL26" s="69">
        <v>3729.8858197530112</v>
      </c>
      <c r="AM26" s="69">
        <v>2899.1092478434248</v>
      </c>
      <c r="AN26" s="69">
        <v>699.43179620107014</v>
      </c>
      <c r="AO26" s="69">
        <v>1742.1785008748375</v>
      </c>
      <c r="AP26" s="69">
        <v>555.42196984291081</v>
      </c>
      <c r="AQ26" s="69">
        <v>686.07327038447067</v>
      </c>
    </row>
    <row r="27" spans="1:43">
      <c r="A27" s="11">
        <v>41263</v>
      </c>
      <c r="B27" s="59"/>
      <c r="C27" s="60">
        <v>157.94442671934758</v>
      </c>
      <c r="D27" s="60">
        <v>1332.8987633387228</v>
      </c>
      <c r="E27" s="60">
        <v>12.827638537685063</v>
      </c>
      <c r="F27" s="60">
        <v>0</v>
      </c>
      <c r="G27" s="60">
        <v>3127.6091875711909</v>
      </c>
      <c r="H27" s="61">
        <v>52.820269115765925</v>
      </c>
      <c r="I27" s="59">
        <v>163.42829422950737</v>
      </c>
      <c r="J27" s="60">
        <v>388.99477936426786</v>
      </c>
      <c r="K27" s="60">
        <v>10.423368213077396</v>
      </c>
      <c r="L27" s="50">
        <v>0.14540767669677701</v>
      </c>
      <c r="M27" s="60">
        <v>0</v>
      </c>
      <c r="N27" s="61">
        <v>0</v>
      </c>
      <c r="O27" s="59">
        <v>0</v>
      </c>
      <c r="P27" s="60">
        <v>0</v>
      </c>
      <c r="Q27" s="60">
        <v>0</v>
      </c>
      <c r="R27" s="63">
        <v>0</v>
      </c>
      <c r="S27" s="60">
        <v>0</v>
      </c>
      <c r="T27" s="64">
        <v>0</v>
      </c>
      <c r="U27" s="65">
        <v>195.88029158156112</v>
      </c>
      <c r="V27" s="62">
        <v>110.88915371059747</v>
      </c>
      <c r="W27" s="62">
        <v>17.482050284971201</v>
      </c>
      <c r="X27" s="62">
        <v>9.8967065322106649</v>
      </c>
      <c r="Y27" s="62">
        <v>55.40333946713482</v>
      </c>
      <c r="Z27" s="62">
        <v>31.364204007698369</v>
      </c>
      <c r="AA27" s="72">
        <v>0</v>
      </c>
      <c r="AB27" s="69">
        <v>0</v>
      </c>
      <c r="AC27" s="69">
        <v>0</v>
      </c>
      <c r="AD27" s="69">
        <v>11.076663226882616</v>
      </c>
      <c r="AE27" s="69">
        <v>6.9787913008266838</v>
      </c>
      <c r="AF27" s="69">
        <v>3.9507408071695864</v>
      </c>
      <c r="AG27" s="69">
        <v>0.63852608070210592</v>
      </c>
      <c r="AH27" s="69">
        <v>395.74987394015</v>
      </c>
      <c r="AI27" s="69">
        <v>1282.0822898228964</v>
      </c>
      <c r="AJ27" s="69">
        <v>3128.023819096883</v>
      </c>
      <c r="AK27" s="69">
        <v>826.20547240575149</v>
      </c>
      <c r="AL27" s="69">
        <v>3849.4574562072758</v>
      </c>
      <c r="AM27" s="69">
        <v>3028.9881298065188</v>
      </c>
      <c r="AN27" s="69">
        <v>701.92086509068804</v>
      </c>
      <c r="AO27" s="69">
        <v>1722.0967958450317</v>
      </c>
      <c r="AP27" s="69">
        <v>535.93524211247779</v>
      </c>
      <c r="AQ27" s="69">
        <v>715.06969378789256</v>
      </c>
    </row>
    <row r="28" spans="1:43">
      <c r="A28" s="11">
        <v>41264</v>
      </c>
      <c r="B28" s="59"/>
      <c r="C28" s="60">
        <v>158.42616418997409</v>
      </c>
      <c r="D28" s="60">
        <v>1336.0525894800815</v>
      </c>
      <c r="E28" s="60">
        <v>12.868922292689462</v>
      </c>
      <c r="F28" s="60">
        <v>0</v>
      </c>
      <c r="G28" s="60">
        <v>3167.4237421671392</v>
      </c>
      <c r="H28" s="61">
        <v>53.032886946201344</v>
      </c>
      <c r="I28" s="59">
        <v>185.67518320083633</v>
      </c>
      <c r="J28" s="60">
        <v>441.51562665303595</v>
      </c>
      <c r="K28" s="60">
        <v>11.759627972543258</v>
      </c>
      <c r="L28" s="50">
        <v>0.15336347818374624</v>
      </c>
      <c r="M28" s="60">
        <v>0</v>
      </c>
      <c r="N28" s="61">
        <v>0</v>
      </c>
      <c r="O28" s="59">
        <v>0</v>
      </c>
      <c r="P28" s="60">
        <v>0</v>
      </c>
      <c r="Q28" s="60">
        <v>0</v>
      </c>
      <c r="R28" s="63">
        <v>0</v>
      </c>
      <c r="S28" s="60">
        <v>0</v>
      </c>
      <c r="T28" s="64">
        <v>0</v>
      </c>
      <c r="U28" s="65">
        <v>223.90723329047901</v>
      </c>
      <c r="V28" s="62">
        <v>113.91770423325592</v>
      </c>
      <c r="W28" s="62">
        <v>19.601747471985178</v>
      </c>
      <c r="X28" s="62">
        <v>9.9728179306815186</v>
      </c>
      <c r="Y28" s="66">
        <v>61.503427686413431</v>
      </c>
      <c r="Z28" s="66">
        <v>31.291214587171677</v>
      </c>
      <c r="AA28" s="67">
        <v>0</v>
      </c>
      <c r="AB28" s="68">
        <v>0</v>
      </c>
      <c r="AC28" s="69">
        <v>0</v>
      </c>
      <c r="AD28" s="69">
        <v>12.303092553880481</v>
      </c>
      <c r="AE28" s="68">
        <v>8.0607324528636823</v>
      </c>
      <c r="AF28" s="68">
        <v>4.1010740116531039</v>
      </c>
      <c r="AG28" s="68">
        <v>0.66279071915686427</v>
      </c>
      <c r="AH28" s="69">
        <v>344.39340497652699</v>
      </c>
      <c r="AI28" s="69">
        <v>1173.8915699640911</v>
      </c>
      <c r="AJ28" s="69">
        <v>3067.815471394857</v>
      </c>
      <c r="AK28" s="69">
        <v>813.56355635325122</v>
      </c>
      <c r="AL28" s="69">
        <v>3909.6612457275382</v>
      </c>
      <c r="AM28" s="69">
        <v>2917.7167040506997</v>
      </c>
      <c r="AN28" s="69">
        <v>605.22496649424238</v>
      </c>
      <c r="AO28" s="69">
        <v>1823.8634652455646</v>
      </c>
      <c r="AP28" s="69">
        <v>495.61976346969612</v>
      </c>
      <c r="AQ28" s="69">
        <v>735.05710770289102</v>
      </c>
    </row>
    <row r="29" spans="1:43">
      <c r="A29" s="11">
        <v>41265</v>
      </c>
      <c r="B29" s="59"/>
      <c r="C29" s="60">
        <v>157.67478940486887</v>
      </c>
      <c r="D29" s="60">
        <v>1330.9981670379616</v>
      </c>
      <c r="E29" s="60">
        <v>12.898864555855583</v>
      </c>
      <c r="F29" s="60">
        <v>0</v>
      </c>
      <c r="G29" s="60">
        <v>3139.197230275478</v>
      </c>
      <c r="H29" s="61">
        <v>52.36681839625048</v>
      </c>
      <c r="I29" s="59">
        <v>202.51833741664882</v>
      </c>
      <c r="J29" s="60">
        <v>511.73282359441117</v>
      </c>
      <c r="K29" s="60">
        <v>13.907736515998863</v>
      </c>
      <c r="L29" s="50">
        <v>0.14955034255981478</v>
      </c>
      <c r="M29" s="60">
        <v>0</v>
      </c>
      <c r="N29" s="61">
        <v>0</v>
      </c>
      <c r="O29" s="59">
        <v>0</v>
      </c>
      <c r="P29" s="60">
        <v>0</v>
      </c>
      <c r="Q29" s="60">
        <v>0</v>
      </c>
      <c r="R29" s="63">
        <v>0</v>
      </c>
      <c r="S29" s="60">
        <v>0</v>
      </c>
      <c r="T29" s="64">
        <v>0</v>
      </c>
      <c r="U29" s="65">
        <v>250.06914007781552</v>
      </c>
      <c r="V29" s="62">
        <v>113.75523840203442</v>
      </c>
      <c r="W29" s="62">
        <v>21.352909242815798</v>
      </c>
      <c r="X29" s="62">
        <v>9.7133348030775295</v>
      </c>
      <c r="Y29" s="66">
        <v>68.444092170277273</v>
      </c>
      <c r="Z29" s="66">
        <v>31.134885414561477</v>
      </c>
      <c r="AA29" s="67">
        <v>0</v>
      </c>
      <c r="AB29" s="68">
        <v>0</v>
      </c>
      <c r="AC29" s="69">
        <v>0</v>
      </c>
      <c r="AD29" s="69">
        <v>13.154217773675891</v>
      </c>
      <c r="AE29" s="68">
        <v>8.8998036163846592</v>
      </c>
      <c r="AF29" s="68">
        <v>4.0484774802604218</v>
      </c>
      <c r="AG29" s="68">
        <v>0.68733475508889064</v>
      </c>
      <c r="AH29" s="69">
        <v>338.07355144818627</v>
      </c>
      <c r="AI29" s="69">
        <v>1156.6705751419067</v>
      </c>
      <c r="AJ29" s="69">
        <v>3043.9667704264325</v>
      </c>
      <c r="AK29" s="69">
        <v>824.15004498163864</v>
      </c>
      <c r="AL29" s="69">
        <v>3829.4711324055997</v>
      </c>
      <c r="AM29" s="69">
        <v>2764.6272164662682</v>
      </c>
      <c r="AN29" s="69">
        <v>590.06357475916536</v>
      </c>
      <c r="AO29" s="69">
        <v>1929.1292555491129</v>
      </c>
      <c r="AP29" s="69">
        <v>485.31567042668667</v>
      </c>
      <c r="AQ29" s="69">
        <v>644.55324185689278</v>
      </c>
    </row>
    <row r="30" spans="1:43">
      <c r="A30" s="11">
        <v>41266</v>
      </c>
      <c r="B30" s="59"/>
      <c r="C30" s="60">
        <v>158.81547888119997</v>
      </c>
      <c r="D30" s="60">
        <v>1341.2593801498404</v>
      </c>
      <c r="E30" s="60">
        <v>12.897969178358711</v>
      </c>
      <c r="F30" s="60">
        <v>0</v>
      </c>
      <c r="G30" s="60">
        <v>3093.9623180389544</v>
      </c>
      <c r="H30" s="61">
        <v>51.871757516264978</v>
      </c>
      <c r="I30" s="59">
        <v>182.56837748686436</v>
      </c>
      <c r="J30" s="60">
        <v>461.08676369984943</v>
      </c>
      <c r="K30" s="60">
        <v>12.614663616319497</v>
      </c>
      <c r="L30" s="50">
        <v>0.14164161682128906</v>
      </c>
      <c r="M30" s="60">
        <v>0</v>
      </c>
      <c r="N30" s="61">
        <v>0</v>
      </c>
      <c r="O30" s="59">
        <v>0</v>
      </c>
      <c r="P30" s="60">
        <v>0</v>
      </c>
      <c r="Q30" s="60">
        <v>0</v>
      </c>
      <c r="R30" s="63">
        <v>0</v>
      </c>
      <c r="S30" s="60">
        <v>0</v>
      </c>
      <c r="T30" s="64">
        <v>0</v>
      </c>
      <c r="U30" s="65">
        <v>234.35689759296875</v>
      </c>
      <c r="V30" s="62">
        <v>116.03286329333244</v>
      </c>
      <c r="W30" s="62">
        <v>20.272275510221395</v>
      </c>
      <c r="X30" s="62">
        <v>10.037042634894751</v>
      </c>
      <c r="Y30" s="66">
        <v>66.656646974752562</v>
      </c>
      <c r="Z30" s="66">
        <v>33.002491863697699</v>
      </c>
      <c r="AA30" s="67">
        <v>0</v>
      </c>
      <c r="AB30" s="68">
        <v>0</v>
      </c>
      <c r="AC30" s="69">
        <v>0</v>
      </c>
      <c r="AD30" s="69">
        <v>12.685620750983549</v>
      </c>
      <c r="AE30" s="68">
        <v>8.2817471741722439</v>
      </c>
      <c r="AF30" s="68">
        <v>4.1003906757617923</v>
      </c>
      <c r="AG30" s="68">
        <v>0.6688463070386802</v>
      </c>
      <c r="AH30" s="69">
        <v>335.70653014183034</v>
      </c>
      <c r="AI30" s="69">
        <v>1151.2269305547077</v>
      </c>
      <c r="AJ30" s="69">
        <v>3049.96333173116</v>
      </c>
      <c r="AK30" s="69">
        <v>823.42584997812901</v>
      </c>
      <c r="AL30" s="69">
        <v>3773.4683550516766</v>
      </c>
      <c r="AM30" s="69">
        <v>2731.557688776652</v>
      </c>
      <c r="AN30" s="69">
        <v>588.25145637194328</v>
      </c>
      <c r="AO30" s="69">
        <v>1892.6405642191569</v>
      </c>
      <c r="AP30" s="69">
        <v>486.32204856872562</v>
      </c>
      <c r="AQ30" s="69">
        <v>642.53275213241591</v>
      </c>
    </row>
    <row r="31" spans="1:43">
      <c r="A31" s="11">
        <v>41267</v>
      </c>
      <c r="B31" s="59"/>
      <c r="C31" s="60">
        <v>158.79347010453509</v>
      </c>
      <c r="D31" s="60">
        <v>1340.2031604131037</v>
      </c>
      <c r="E31" s="60">
        <v>12.883240639170007</v>
      </c>
      <c r="F31" s="60">
        <v>0</v>
      </c>
      <c r="G31" s="60">
        <v>3099.2554508209237</v>
      </c>
      <c r="H31" s="61">
        <v>54.156025755405494</v>
      </c>
      <c r="I31" s="59">
        <v>176.3679051955541</v>
      </c>
      <c r="J31" s="60">
        <v>445.47203578948933</v>
      </c>
      <c r="K31" s="60">
        <v>12.110410265624504</v>
      </c>
      <c r="L31" s="50">
        <v>0.14616088867187482</v>
      </c>
      <c r="M31" s="60">
        <v>0</v>
      </c>
      <c r="N31" s="61">
        <v>0</v>
      </c>
      <c r="O31" s="59">
        <v>0</v>
      </c>
      <c r="P31" s="60">
        <v>0</v>
      </c>
      <c r="Q31" s="60">
        <v>0</v>
      </c>
      <c r="R31" s="63">
        <v>0</v>
      </c>
      <c r="S31" s="60">
        <v>0</v>
      </c>
      <c r="T31" s="64">
        <v>0</v>
      </c>
      <c r="U31" s="65">
        <v>224.95914631822356</v>
      </c>
      <c r="V31" s="62">
        <v>115.27062425740704</v>
      </c>
      <c r="W31" s="62">
        <v>19.795421656717934</v>
      </c>
      <c r="X31" s="62">
        <v>10.143311126281706</v>
      </c>
      <c r="Y31" s="66">
        <v>64.4507765646118</v>
      </c>
      <c r="Z31" s="66">
        <v>33.025024188027999</v>
      </c>
      <c r="AA31" s="67">
        <v>0</v>
      </c>
      <c r="AB31" s="68">
        <v>0</v>
      </c>
      <c r="AC31" s="69">
        <v>0</v>
      </c>
      <c r="AD31" s="69">
        <v>12.384789765543406</v>
      </c>
      <c r="AE31" s="68">
        <v>8.0003581955249921</v>
      </c>
      <c r="AF31" s="68">
        <v>4.0994389362435193</v>
      </c>
      <c r="AG31" s="68">
        <v>0.66119771335006317</v>
      </c>
      <c r="AH31" s="69">
        <v>363.04688658714292</v>
      </c>
      <c r="AI31" s="69">
        <v>1200.4092287699382</v>
      </c>
      <c r="AJ31" s="69">
        <v>3066.389867273966</v>
      </c>
      <c r="AK31" s="69">
        <v>828.13904867172243</v>
      </c>
      <c r="AL31" s="69">
        <v>3735.6156135559081</v>
      </c>
      <c r="AM31" s="69">
        <v>2902.7742418924963</v>
      </c>
      <c r="AN31" s="69">
        <v>623.48623927434278</v>
      </c>
      <c r="AO31" s="69">
        <v>1793.3832950592041</v>
      </c>
      <c r="AP31" s="69">
        <v>507.34643338521329</v>
      </c>
      <c r="AQ31" s="69">
        <v>671.28247995376591</v>
      </c>
    </row>
    <row r="32" spans="1:43">
      <c r="A32" s="11">
        <v>41268</v>
      </c>
      <c r="B32" s="59"/>
      <c r="C32" s="60">
        <v>158.43690168857552</v>
      </c>
      <c r="D32" s="60">
        <v>1337.5428384145105</v>
      </c>
      <c r="E32" s="60">
        <v>12.857487908502414</v>
      </c>
      <c r="F32" s="60">
        <v>0</v>
      </c>
      <c r="G32" s="60">
        <v>3085.4547067006356</v>
      </c>
      <c r="H32" s="61">
        <v>53.537739300727807</v>
      </c>
      <c r="I32" s="59">
        <v>176.21470360755904</v>
      </c>
      <c r="J32" s="60">
        <v>445.54874404271459</v>
      </c>
      <c r="K32" s="60">
        <v>12.060340566436434</v>
      </c>
      <c r="L32" s="50">
        <v>0.15138629674911433</v>
      </c>
      <c r="M32" s="60">
        <v>0</v>
      </c>
      <c r="N32" s="61">
        <v>0</v>
      </c>
      <c r="O32" s="59">
        <v>0</v>
      </c>
      <c r="P32" s="60">
        <v>0</v>
      </c>
      <c r="Q32" s="60">
        <v>0</v>
      </c>
      <c r="R32" s="63">
        <v>0</v>
      </c>
      <c r="S32" s="60">
        <v>0</v>
      </c>
      <c r="T32" s="64">
        <v>0</v>
      </c>
      <c r="U32" s="65">
        <v>222.02447783618743</v>
      </c>
      <c r="V32" s="62">
        <v>113.85962239964321</v>
      </c>
      <c r="W32" s="62">
        <v>19.887901664241763</v>
      </c>
      <c r="X32" s="62">
        <v>10.199005964930265</v>
      </c>
      <c r="Y32" s="66">
        <v>64.3153337271835</v>
      </c>
      <c r="Z32" s="66">
        <v>32.982487715102735</v>
      </c>
      <c r="AA32" s="67">
        <v>0</v>
      </c>
      <c r="AB32" s="68">
        <v>0</v>
      </c>
      <c r="AC32" s="69">
        <v>0</v>
      </c>
      <c r="AD32" s="69">
        <v>12.388655540015938</v>
      </c>
      <c r="AE32" s="68">
        <v>7.9947150330851056</v>
      </c>
      <c r="AF32" s="68">
        <v>4.0998868400962269</v>
      </c>
      <c r="AG32" s="68">
        <v>0.66101514683279083</v>
      </c>
      <c r="AH32" s="69">
        <v>371.7979647795359</v>
      </c>
      <c r="AI32" s="69">
        <v>1246.3728369394939</v>
      </c>
      <c r="AJ32" s="69">
        <v>3033.5867781321208</v>
      </c>
      <c r="AK32" s="69">
        <v>855.37708454132087</v>
      </c>
      <c r="AL32" s="69">
        <v>3806.481019846598</v>
      </c>
      <c r="AM32" s="69">
        <v>3009.5312746683758</v>
      </c>
      <c r="AN32" s="69">
        <v>689.28734556833922</v>
      </c>
      <c r="AO32" s="69">
        <v>1729.6035630544027</v>
      </c>
      <c r="AP32" s="69">
        <v>547.77808005015049</v>
      </c>
      <c r="AQ32" s="69">
        <v>672.14120521545419</v>
      </c>
    </row>
    <row r="33" spans="1:43">
      <c r="A33" s="11">
        <v>41269</v>
      </c>
      <c r="B33" s="59"/>
      <c r="C33" s="60">
        <v>158.52497363885237</v>
      </c>
      <c r="D33" s="60">
        <v>1337.3669502894097</v>
      </c>
      <c r="E33" s="60">
        <v>12.82583522498609</v>
      </c>
      <c r="F33" s="60">
        <v>0</v>
      </c>
      <c r="G33" s="60">
        <v>3074.291850916547</v>
      </c>
      <c r="H33" s="61">
        <v>53.527359259128616</v>
      </c>
      <c r="I33" s="59">
        <v>180.84452389876029</v>
      </c>
      <c r="J33" s="60">
        <v>456.90096365610742</v>
      </c>
      <c r="K33" s="60">
        <v>12.326569786667838</v>
      </c>
      <c r="L33" s="50">
        <v>0.14823222160339314</v>
      </c>
      <c r="M33" s="60">
        <v>0</v>
      </c>
      <c r="N33" s="61">
        <v>0</v>
      </c>
      <c r="O33" s="59">
        <v>0</v>
      </c>
      <c r="P33" s="60">
        <v>0</v>
      </c>
      <c r="Q33" s="60">
        <v>0</v>
      </c>
      <c r="R33" s="63">
        <v>0</v>
      </c>
      <c r="S33" s="60">
        <v>0</v>
      </c>
      <c r="T33" s="64">
        <v>0</v>
      </c>
      <c r="U33" s="65">
        <v>220.21808183125509</v>
      </c>
      <c r="V33" s="62">
        <v>111.48300692572749</v>
      </c>
      <c r="W33" s="62">
        <v>19.319255342483508</v>
      </c>
      <c r="X33" s="62">
        <v>9.7801627333959775</v>
      </c>
      <c r="Y33" s="66">
        <v>63.625347737993799</v>
      </c>
      <c r="Z33" s="66">
        <v>32.209639751388785</v>
      </c>
      <c r="AA33" s="67">
        <v>0</v>
      </c>
      <c r="AB33" s="68">
        <v>0</v>
      </c>
      <c r="AC33" s="69">
        <v>0</v>
      </c>
      <c r="AD33" s="69">
        <v>12.186813536617487</v>
      </c>
      <c r="AE33" s="68">
        <v>7.9924068434380171</v>
      </c>
      <c r="AF33" s="68">
        <v>4.0460689697723637</v>
      </c>
      <c r="AG33" s="68">
        <v>0.66390521254090795</v>
      </c>
      <c r="AH33" s="69">
        <v>396.05010993480681</v>
      </c>
      <c r="AI33" s="69">
        <v>1284.7123657862344</v>
      </c>
      <c r="AJ33" s="69">
        <v>3055.4416445414226</v>
      </c>
      <c r="AK33" s="69">
        <v>830.57308549880963</v>
      </c>
      <c r="AL33" s="69">
        <v>3871.7407976786299</v>
      </c>
      <c r="AM33" s="69">
        <v>3000.8680375417066</v>
      </c>
      <c r="AN33" s="69">
        <v>700.4204162279766</v>
      </c>
      <c r="AO33" s="69">
        <v>1715.174997584025</v>
      </c>
      <c r="AP33" s="69">
        <v>551.78261766433718</v>
      </c>
      <c r="AQ33" s="69">
        <v>694.73321704864509</v>
      </c>
    </row>
    <row r="34" spans="1:43">
      <c r="A34" s="11">
        <v>41270</v>
      </c>
      <c r="B34" s="59"/>
      <c r="C34" s="60">
        <v>158.50881447792045</v>
      </c>
      <c r="D34" s="60">
        <v>1338.9099283218402</v>
      </c>
      <c r="E34" s="60">
        <v>12.826300680637369</v>
      </c>
      <c r="F34" s="60">
        <v>0</v>
      </c>
      <c r="G34" s="60">
        <v>3065.9356789906738</v>
      </c>
      <c r="H34" s="61">
        <v>53.740136961142291</v>
      </c>
      <c r="I34" s="59">
        <v>173.05571359793348</v>
      </c>
      <c r="J34" s="60">
        <v>436.88936141331976</v>
      </c>
      <c r="K34" s="60">
        <v>11.552284618218756</v>
      </c>
      <c r="L34" s="50">
        <v>0.15891841650009128</v>
      </c>
      <c r="M34" s="60">
        <v>0</v>
      </c>
      <c r="N34" s="61">
        <v>0</v>
      </c>
      <c r="O34" s="59">
        <v>0</v>
      </c>
      <c r="P34" s="60">
        <v>0</v>
      </c>
      <c r="Q34" s="60">
        <v>0</v>
      </c>
      <c r="R34" s="63">
        <v>0</v>
      </c>
      <c r="S34" s="60">
        <v>0</v>
      </c>
      <c r="T34" s="64">
        <v>0</v>
      </c>
      <c r="U34" s="65">
        <v>217.46677931747803</v>
      </c>
      <c r="V34" s="62">
        <v>111.43623244958832</v>
      </c>
      <c r="W34" s="62">
        <v>19.178303152866189</v>
      </c>
      <c r="X34" s="62">
        <v>9.8275141372809376</v>
      </c>
      <c r="Y34" s="66">
        <v>63.508385373611631</v>
      </c>
      <c r="Z34" s="66">
        <v>32.543523278376085</v>
      </c>
      <c r="AA34" s="67">
        <v>0</v>
      </c>
      <c r="AB34" s="68">
        <v>0</v>
      </c>
      <c r="AC34" s="69">
        <v>0</v>
      </c>
      <c r="AD34" s="69">
        <v>12.22894143859544</v>
      </c>
      <c r="AE34" s="68">
        <v>8.0013607723472884</v>
      </c>
      <c r="AF34" s="68">
        <v>4.1001273929688802</v>
      </c>
      <c r="AG34" s="68">
        <v>0.66118816653309032</v>
      </c>
      <c r="AH34" s="69">
        <v>384.40992936293281</v>
      </c>
      <c r="AI34" s="69">
        <v>1268.5013516743982</v>
      </c>
      <c r="AJ34" s="69">
        <v>3120.1369731903073</v>
      </c>
      <c r="AK34" s="69">
        <v>835.68404293060303</v>
      </c>
      <c r="AL34" s="69">
        <v>3940.7219085693359</v>
      </c>
      <c r="AM34" s="69">
        <v>2896.2295742034912</v>
      </c>
      <c r="AN34" s="69">
        <v>699.35481847127289</v>
      </c>
      <c r="AO34" s="69">
        <v>1706.4883683522544</v>
      </c>
      <c r="AP34" s="69">
        <v>544.18341725667324</v>
      </c>
      <c r="AQ34" s="69">
        <v>717.3114831606548</v>
      </c>
    </row>
    <row r="35" spans="1:43">
      <c r="A35" s="11">
        <v>41271</v>
      </c>
      <c r="B35" s="59"/>
      <c r="C35" s="60">
        <v>158.55468855698876</v>
      </c>
      <c r="D35" s="60">
        <v>1338.0655553817721</v>
      </c>
      <c r="E35" s="60">
        <v>12.833003383874876</v>
      </c>
      <c r="F35" s="60">
        <v>0</v>
      </c>
      <c r="G35" s="60">
        <v>3091.0252844492429</v>
      </c>
      <c r="H35" s="61">
        <v>53.595169556141038</v>
      </c>
      <c r="I35" s="59">
        <v>174.66343913078282</v>
      </c>
      <c r="J35" s="60">
        <v>400.32949180603009</v>
      </c>
      <c r="K35" s="60">
        <v>13.987252723673929</v>
      </c>
      <c r="L35" s="50">
        <v>0.14804391860961888</v>
      </c>
      <c r="M35" s="60">
        <v>0</v>
      </c>
      <c r="N35" s="61">
        <v>0</v>
      </c>
      <c r="O35" s="59">
        <v>0</v>
      </c>
      <c r="P35" s="60">
        <v>0</v>
      </c>
      <c r="Q35" s="60">
        <v>0</v>
      </c>
      <c r="R35" s="63">
        <v>0</v>
      </c>
      <c r="S35" s="60">
        <v>0</v>
      </c>
      <c r="T35" s="64">
        <v>0</v>
      </c>
      <c r="U35" s="65">
        <v>212.27062078824017</v>
      </c>
      <c r="V35" s="62">
        <v>108.81193017187806</v>
      </c>
      <c r="W35" s="62">
        <v>18.843612314446226</v>
      </c>
      <c r="X35" s="62">
        <v>9.6594140994713555</v>
      </c>
      <c r="Y35" s="66">
        <v>62.369952673996167</v>
      </c>
      <c r="Z35" s="66">
        <v>31.971428311581917</v>
      </c>
      <c r="AA35" s="67">
        <v>0</v>
      </c>
      <c r="AB35" s="68">
        <v>0</v>
      </c>
      <c r="AC35" s="69">
        <v>0</v>
      </c>
      <c r="AD35" s="69">
        <v>11.941967245605262</v>
      </c>
      <c r="AE35" s="68">
        <v>7.8104757033930445</v>
      </c>
      <c r="AF35" s="68">
        <v>4.0037238016775856</v>
      </c>
      <c r="AG35" s="68">
        <v>0.66110917629593136</v>
      </c>
      <c r="AH35" s="69">
        <v>401.42789853413905</v>
      </c>
      <c r="AI35" s="69">
        <v>1281.7244241078695</v>
      </c>
      <c r="AJ35" s="69">
        <v>3118.180629984538</v>
      </c>
      <c r="AK35" s="69">
        <v>836.61317310333277</v>
      </c>
      <c r="AL35" s="69">
        <v>3926.2874331156413</v>
      </c>
      <c r="AM35" s="69">
        <v>2929.7367149353026</v>
      </c>
      <c r="AN35" s="69">
        <v>687.09027989705419</v>
      </c>
      <c r="AO35" s="69">
        <v>1690.2927803039549</v>
      </c>
      <c r="AP35" s="69">
        <v>540.0469213167828</v>
      </c>
      <c r="AQ35" s="69">
        <v>712.59840707778926</v>
      </c>
    </row>
    <row r="36" spans="1:43">
      <c r="A36" s="11">
        <v>41272</v>
      </c>
      <c r="B36" s="59"/>
      <c r="C36" s="60">
        <v>157.46243808269497</v>
      </c>
      <c r="D36" s="60">
        <v>1330.4315549214687</v>
      </c>
      <c r="E36" s="60">
        <v>12.827536715567113</v>
      </c>
      <c r="F36" s="60">
        <v>0</v>
      </c>
      <c r="G36" s="60">
        <v>3090.8031028747387</v>
      </c>
      <c r="H36" s="61">
        <v>53.38633362452201</v>
      </c>
      <c r="I36" s="59">
        <v>187.50699357986454</v>
      </c>
      <c r="J36" s="60">
        <v>395.00738326708461</v>
      </c>
      <c r="K36" s="60">
        <v>17.01132318973541</v>
      </c>
      <c r="L36" s="50">
        <v>0.13858169317245436</v>
      </c>
      <c r="M36" s="60">
        <v>0</v>
      </c>
      <c r="N36" s="61">
        <v>0</v>
      </c>
      <c r="O36" s="59">
        <v>0</v>
      </c>
      <c r="P36" s="60">
        <v>0</v>
      </c>
      <c r="Q36" s="60">
        <v>0</v>
      </c>
      <c r="R36" s="63">
        <v>0</v>
      </c>
      <c r="S36" s="60">
        <v>0</v>
      </c>
      <c r="T36" s="64">
        <v>0</v>
      </c>
      <c r="U36" s="65">
        <v>222.94881412223012</v>
      </c>
      <c r="V36" s="62">
        <v>110.05075074796875</v>
      </c>
      <c r="W36" s="62">
        <v>19.600150970772258</v>
      </c>
      <c r="X36" s="62">
        <v>9.6749172566777997</v>
      </c>
      <c r="Y36" s="66">
        <v>60.622904689532625</v>
      </c>
      <c r="Z36" s="66">
        <v>29.924340256629328</v>
      </c>
      <c r="AA36" s="67">
        <v>0</v>
      </c>
      <c r="AB36" s="68">
        <v>0</v>
      </c>
      <c r="AC36" s="69">
        <v>0</v>
      </c>
      <c r="AD36" s="69">
        <v>12.378845192988718</v>
      </c>
      <c r="AE36" s="68">
        <v>8.1980100506593967</v>
      </c>
      <c r="AF36" s="68">
        <v>4.0466560195284851</v>
      </c>
      <c r="AG36" s="68">
        <v>0.66951683318004984</v>
      </c>
      <c r="AH36" s="69">
        <v>402.06569315592458</v>
      </c>
      <c r="AI36" s="69">
        <v>1281.353456179301</v>
      </c>
      <c r="AJ36" s="69">
        <v>3088.2239922841395</v>
      </c>
      <c r="AK36" s="69">
        <v>835.94004141489677</v>
      </c>
      <c r="AL36" s="69">
        <v>3971.2353914896644</v>
      </c>
      <c r="AM36" s="69">
        <v>2857.01337483724</v>
      </c>
      <c r="AN36" s="69">
        <v>679.09170751571651</v>
      </c>
      <c r="AO36" s="69">
        <v>1737.509769439697</v>
      </c>
      <c r="AP36" s="69">
        <v>528.31112991968791</v>
      </c>
      <c r="AQ36" s="69">
        <v>689.9103854497273</v>
      </c>
    </row>
    <row r="37" spans="1:43">
      <c r="A37" s="11">
        <v>41273</v>
      </c>
      <c r="B37" s="59"/>
      <c r="C37" s="60">
        <v>156.87992952664644</v>
      </c>
      <c r="D37" s="60">
        <v>1325.2825941085832</v>
      </c>
      <c r="E37" s="60">
        <v>12.843522719542177</v>
      </c>
      <c r="F37" s="60">
        <v>0</v>
      </c>
      <c r="G37" s="60">
        <v>3099.1623608906821</v>
      </c>
      <c r="H37" s="61">
        <v>53.045567886034739</v>
      </c>
      <c r="I37" s="59">
        <v>212.25178737640437</v>
      </c>
      <c r="J37" s="60">
        <v>453.56364638010564</v>
      </c>
      <c r="K37" s="60">
        <v>19.622242445747052</v>
      </c>
      <c r="L37" s="60">
        <v>0.14526644945144637</v>
      </c>
      <c r="M37" s="60">
        <v>0</v>
      </c>
      <c r="N37" s="61">
        <v>0</v>
      </c>
      <c r="O37" s="59">
        <v>0</v>
      </c>
      <c r="P37" s="60">
        <v>0</v>
      </c>
      <c r="Q37" s="60">
        <v>0</v>
      </c>
      <c r="R37" s="63">
        <v>0</v>
      </c>
      <c r="S37" s="60">
        <v>0</v>
      </c>
      <c r="T37" s="64">
        <v>0</v>
      </c>
      <c r="U37" s="65">
        <v>268.78461021886898</v>
      </c>
      <c r="V37" s="62">
        <v>107.34961556289093</v>
      </c>
      <c r="W37" s="62">
        <v>23.030440245795457</v>
      </c>
      <c r="X37" s="62">
        <v>9.1981044026929002</v>
      </c>
      <c r="Y37" s="66">
        <v>70.643010170152877</v>
      </c>
      <c r="Z37" s="66">
        <v>28.214040892431033</v>
      </c>
      <c r="AA37" s="67">
        <v>0</v>
      </c>
      <c r="AB37" s="68">
        <v>0</v>
      </c>
      <c r="AC37" s="69">
        <v>0</v>
      </c>
      <c r="AD37" s="69">
        <v>13.974765063987835</v>
      </c>
      <c r="AE37" s="68">
        <v>9.8881670843574536</v>
      </c>
      <c r="AF37" s="68">
        <v>3.9492251221639583</v>
      </c>
      <c r="AG37" s="68">
        <v>0.71459758723159328</v>
      </c>
      <c r="AH37" s="69">
        <v>414.83940194447831</v>
      </c>
      <c r="AI37" s="69">
        <v>1285.58196366628</v>
      </c>
      <c r="AJ37" s="69">
        <v>3090.2926614125568</v>
      </c>
      <c r="AK37" s="69">
        <v>837.0603476206461</v>
      </c>
      <c r="AL37" s="69">
        <v>3956.4979764302579</v>
      </c>
      <c r="AM37" s="69">
        <v>2839.82155749003</v>
      </c>
      <c r="AN37" s="69">
        <v>663.66429122289026</v>
      </c>
      <c r="AO37" s="69">
        <v>1903.035896428426</v>
      </c>
      <c r="AP37" s="69">
        <v>521.03868535359697</v>
      </c>
      <c r="AQ37" s="69">
        <v>690.47360162734981</v>
      </c>
    </row>
    <row r="38" spans="1:43" ht="15.75" thickBot="1">
      <c r="A38" s="11">
        <v>41274</v>
      </c>
      <c r="B38" s="73"/>
      <c r="C38" s="74">
        <v>157.05592997868825</v>
      </c>
      <c r="D38" s="74">
        <v>1324.8596584955872</v>
      </c>
      <c r="E38" s="74">
        <v>12.84864516903956</v>
      </c>
      <c r="F38" s="74">
        <v>0</v>
      </c>
      <c r="G38" s="74">
        <v>3071.6493569691788</v>
      </c>
      <c r="H38" s="75">
        <v>53.188430448373268</v>
      </c>
      <c r="I38" s="76">
        <v>161.45410959720616</v>
      </c>
      <c r="J38" s="74">
        <v>382.40015846888218</v>
      </c>
      <c r="K38" s="74">
        <v>16.763880187272939</v>
      </c>
      <c r="L38" s="74">
        <v>0.1374989509582516</v>
      </c>
      <c r="M38" s="74">
        <v>0</v>
      </c>
      <c r="N38" s="75">
        <v>0</v>
      </c>
      <c r="O38" s="76">
        <v>0</v>
      </c>
      <c r="P38" s="74">
        <v>0</v>
      </c>
      <c r="Q38" s="74">
        <v>0</v>
      </c>
      <c r="R38" s="77">
        <v>0</v>
      </c>
      <c r="S38" s="74">
        <v>0</v>
      </c>
      <c r="T38" s="78">
        <v>0</v>
      </c>
      <c r="U38" s="79">
        <v>226.80501471619706</v>
      </c>
      <c r="V38" s="80">
        <v>93.286549758965606</v>
      </c>
      <c r="W38" s="81">
        <v>19.56316725401463</v>
      </c>
      <c r="X38" s="81">
        <v>8.0464727720778804</v>
      </c>
      <c r="Y38" s="80">
        <v>60.173985058217404</v>
      </c>
      <c r="Z38" s="80">
        <v>24.749997077237349</v>
      </c>
      <c r="AA38" s="82">
        <v>0</v>
      </c>
      <c r="AB38" s="83">
        <v>0</v>
      </c>
      <c r="AC38" s="84">
        <v>0</v>
      </c>
      <c r="AD38" s="85">
        <v>11.910966664552696</v>
      </c>
      <c r="AE38" s="83">
        <v>8.3442831882154245</v>
      </c>
      <c r="AF38" s="83">
        <v>3.4320642769490273</v>
      </c>
      <c r="AG38" s="83">
        <v>0.70856292351245598</v>
      </c>
      <c r="AH38" s="84">
        <v>417.04831293423968</v>
      </c>
      <c r="AI38" s="84">
        <v>1299.9866842269898</v>
      </c>
      <c r="AJ38" s="84">
        <v>3110.8033454895017</v>
      </c>
      <c r="AK38" s="84">
        <v>840.18954779307046</v>
      </c>
      <c r="AL38" s="84">
        <v>3963.062772623698</v>
      </c>
      <c r="AM38" s="84">
        <v>2827.510915883382</v>
      </c>
      <c r="AN38" s="84">
        <v>692.75883286794021</v>
      </c>
      <c r="AO38" s="84">
        <v>1745.5992596944172</v>
      </c>
      <c r="AP38" s="84">
        <v>525.95041651725774</v>
      </c>
      <c r="AQ38" s="84">
        <v>704.70586671829221</v>
      </c>
    </row>
    <row r="39" spans="1:43" ht="15.75" thickTop="1">
      <c r="A39" s="46" t="s">
        <v>170</v>
      </c>
      <c r="B39" s="29">
        <f>SUM(B8:B38)</f>
        <v>0</v>
      </c>
      <c r="C39" s="30">
        <f t="shared" ref="C39:AC39" si="0">SUM(C8:C38)</f>
        <v>4845.8312856991997</v>
      </c>
      <c r="D39" s="30">
        <f t="shared" si="0"/>
        <v>41537.468500645933</v>
      </c>
      <c r="E39" s="30">
        <f t="shared" si="0"/>
        <v>398.38220223784435</v>
      </c>
      <c r="F39" s="30">
        <f t="shared" si="0"/>
        <v>0</v>
      </c>
      <c r="G39" s="30">
        <f t="shared" si="0"/>
        <v>95486.917894108978</v>
      </c>
      <c r="H39" s="31">
        <f t="shared" si="0"/>
        <v>1417.3584192842259</v>
      </c>
      <c r="I39" s="29">
        <f t="shared" si="0"/>
        <v>6499.1690125505102</v>
      </c>
      <c r="J39" s="30">
        <f t="shared" si="0"/>
        <v>16281.672179841993</v>
      </c>
      <c r="K39" s="30">
        <f t="shared" si="0"/>
        <v>420.41315991828861</v>
      </c>
      <c r="L39" s="30">
        <f t="shared" si="0"/>
        <v>131.10993492960944</v>
      </c>
      <c r="M39" s="30">
        <f t="shared" si="0"/>
        <v>0</v>
      </c>
      <c r="N39" s="31">
        <f t="shared" si="0"/>
        <v>0</v>
      </c>
      <c r="O39" s="260">
        <f t="shared" si="0"/>
        <v>0</v>
      </c>
      <c r="P39" s="261">
        <f t="shared" si="0"/>
        <v>0</v>
      </c>
      <c r="Q39" s="261">
        <f t="shared" si="0"/>
        <v>0</v>
      </c>
      <c r="R39" s="261">
        <f t="shared" si="0"/>
        <v>0</v>
      </c>
      <c r="S39" s="261">
        <f t="shared" si="0"/>
        <v>0</v>
      </c>
      <c r="T39" s="262">
        <f t="shared" si="0"/>
        <v>0</v>
      </c>
      <c r="U39" s="260">
        <f t="shared" si="0"/>
        <v>7665.78746327514</v>
      </c>
      <c r="V39" s="261">
        <f t="shared" si="0"/>
        <v>3528.5895529512923</v>
      </c>
      <c r="W39" s="261">
        <f t="shared" si="0"/>
        <v>655.36409286206992</v>
      </c>
      <c r="X39" s="261">
        <f t="shared" si="0"/>
        <v>302.14695585622326</v>
      </c>
      <c r="Y39" s="261">
        <f t="shared" si="0"/>
        <v>2561.6259470008295</v>
      </c>
      <c r="Z39" s="261">
        <f t="shared" si="0"/>
        <v>1173.5207501786476</v>
      </c>
      <c r="AA39" s="269">
        <f t="shared" si="0"/>
        <v>0</v>
      </c>
      <c r="AB39" s="272">
        <f t="shared" si="0"/>
        <v>0</v>
      </c>
      <c r="AC39" s="272">
        <f t="shared" si="0"/>
        <v>0</v>
      </c>
      <c r="AD39" s="275" t="s">
        <v>29</v>
      </c>
      <c r="AE39" s="275" t="s">
        <v>29</v>
      </c>
      <c r="AF39" s="275" t="s">
        <v>29</v>
      </c>
      <c r="AG39" s="275" t="s">
        <v>158</v>
      </c>
      <c r="AH39" s="272">
        <f t="shared" ref="AH39:AQ39" si="1">SUM(AH8:AH38)</f>
        <v>10759.947913996379</v>
      </c>
      <c r="AI39" s="272">
        <f t="shared" si="1"/>
        <v>35940.014726384485</v>
      </c>
      <c r="AJ39" s="272">
        <f t="shared" si="1"/>
        <v>95615.751053873697</v>
      </c>
      <c r="AK39" s="272">
        <f t="shared" si="1"/>
        <v>25562.759420394894</v>
      </c>
      <c r="AL39" s="272">
        <f t="shared" si="1"/>
        <v>113761.33166961672</v>
      </c>
      <c r="AM39" s="272">
        <f t="shared" si="1"/>
        <v>86169.508547083518</v>
      </c>
      <c r="AN39" s="272">
        <f t="shared" si="1"/>
        <v>18891.103408273058</v>
      </c>
      <c r="AO39" s="272">
        <f t="shared" si="1"/>
        <v>55520.608088493369</v>
      </c>
      <c r="AP39" s="272">
        <f t="shared" si="1"/>
        <v>14518.622307868802</v>
      </c>
      <c r="AQ39" s="272">
        <f t="shared" si="1"/>
        <v>21377.966143480939</v>
      </c>
    </row>
    <row r="40" spans="1:43" ht="15.75" thickBot="1">
      <c r="A40" s="47" t="s">
        <v>171</v>
      </c>
      <c r="B40" s="32">
        <f>Projection!$AD$30</f>
        <v>0.91139353199999984</v>
      </c>
      <c r="C40" s="33">
        <f>Projection!$AD$28</f>
        <v>1.4375491199999999</v>
      </c>
      <c r="D40" s="33">
        <f>Projection!$AD$31</f>
        <v>2.1834120000000001</v>
      </c>
      <c r="E40" s="33">
        <f>Projection!$AD$26</f>
        <v>4.7363493840000004</v>
      </c>
      <c r="F40" s="33">
        <f>Projection!$AC$23</f>
        <v>5.8379999999999994E-2</v>
      </c>
      <c r="G40" s="33">
        <f>Projection!$AD$24</f>
        <v>5.3200000000000004E-2</v>
      </c>
      <c r="H40" s="34">
        <f>Projection!$AD$29</f>
        <v>3.6371774160000006</v>
      </c>
      <c r="I40" s="32">
        <f>Projection!$AD$30</f>
        <v>0.91139353199999984</v>
      </c>
      <c r="J40" s="33">
        <f>Projection!$AD$28</f>
        <v>1.4375491199999999</v>
      </c>
      <c r="K40" s="33">
        <f>Projection!$AD$26</f>
        <v>4.7363493840000004</v>
      </c>
      <c r="L40" s="33">
        <f>Projection!$AD$25</f>
        <v>0.37613399999999997</v>
      </c>
      <c r="M40" s="33">
        <f>Projection!$AC$23</f>
        <v>5.8379999999999994E-2</v>
      </c>
      <c r="N40" s="34">
        <f>Projection!$AC$23</f>
        <v>5.8379999999999994E-2</v>
      </c>
      <c r="O40" s="263">
        <v>15.77</v>
      </c>
      <c r="P40" s="264">
        <v>15.77</v>
      </c>
      <c r="Q40" s="264">
        <v>15.77</v>
      </c>
      <c r="R40" s="264">
        <v>15.77</v>
      </c>
      <c r="S40" s="264">
        <f>Projection!$AD$28</f>
        <v>1.4375491199999999</v>
      </c>
      <c r="T40" s="265">
        <f>Projection!$AD$28</f>
        <v>1.4375491199999999</v>
      </c>
      <c r="U40" s="263">
        <f>Projection!$AD$27</f>
        <v>0.26250000000000001</v>
      </c>
      <c r="V40" s="264">
        <f>Projection!$AD$27</f>
        <v>0.26250000000000001</v>
      </c>
      <c r="W40" s="264">
        <f>Projection!$AD$22</f>
        <v>1.1499999999999999</v>
      </c>
      <c r="X40" s="264">
        <f>Projection!$AD$22</f>
        <v>1.1499999999999999</v>
      </c>
      <c r="Y40" s="264">
        <f>Projection!$AD$31</f>
        <v>2.1834120000000001</v>
      </c>
      <c r="Z40" s="264">
        <f>Projection!$AD$31</f>
        <v>2.1834120000000001</v>
      </c>
      <c r="AA40" s="270">
        <v>0</v>
      </c>
      <c r="AB40" s="273">
        <f>Projection!$AD$27</f>
        <v>0.26250000000000001</v>
      </c>
      <c r="AC40" s="273">
        <f>Projection!$AD$30</f>
        <v>0.91139353199999984</v>
      </c>
      <c r="AD40" s="276">
        <f>SUM(AD8:AD38)</f>
        <v>396.56536710593423</v>
      </c>
      <c r="AE40" s="276">
        <f>SUM(AE8:AE38)</f>
        <v>267.51357360880837</v>
      </c>
      <c r="AF40" s="276">
        <f>SUM(AF8:AF38)</f>
        <v>123.29488115319198</v>
      </c>
      <c r="AG40" s="276">
        <f>IF(SUM(AE40:AF40)&gt;0, AE40/(AE40+AF40), "")</f>
        <v>0.68451327075746682</v>
      </c>
      <c r="AH40" s="303">
        <v>0.08</v>
      </c>
      <c r="AI40" s="303">
        <v>0.08</v>
      </c>
      <c r="AJ40" s="303">
        <v>0.08</v>
      </c>
      <c r="AK40" s="303">
        <v>0.08</v>
      </c>
      <c r="AL40" s="303">
        <v>0.08</v>
      </c>
      <c r="AM40" s="303">
        <v>0.08</v>
      </c>
      <c r="AN40" s="303">
        <v>0.08</v>
      </c>
      <c r="AO40" s="303">
        <v>0.08</v>
      </c>
      <c r="AP40" s="303">
        <v>0.08</v>
      </c>
      <c r="AQ40" s="303">
        <v>0.08</v>
      </c>
    </row>
    <row r="41" spans="1:43" ht="16.5" thickTop="1" thickBot="1">
      <c r="A41" s="48" t="s">
        <v>26</v>
      </c>
      <c r="B41" s="35">
        <f t="shared" ref="B41:AC41" si="2">B40*B39</f>
        <v>0</v>
      </c>
      <c r="C41" s="36">
        <f t="shared" si="2"/>
        <v>6966.1205004253525</v>
      </c>
      <c r="D41" s="36">
        <f t="shared" si="2"/>
        <v>90693.407173932341</v>
      </c>
      <c r="E41" s="36">
        <f t="shared" si="2"/>
        <v>1886.8772981657776</v>
      </c>
      <c r="F41" s="36">
        <f t="shared" si="2"/>
        <v>0</v>
      </c>
      <c r="G41" s="36">
        <f t="shared" si="2"/>
        <v>5079.9040319665983</v>
      </c>
      <c r="H41" s="37">
        <f t="shared" si="2"/>
        <v>5155.184032998046</v>
      </c>
      <c r="I41" s="35">
        <f t="shared" si="2"/>
        <v>5923.3006014133607</v>
      </c>
      <c r="J41" s="36">
        <f t="shared" si="2"/>
        <v>23405.703514260338</v>
      </c>
      <c r="K41" s="36">
        <f t="shared" si="2"/>
        <v>1991.2236110044798</v>
      </c>
      <c r="L41" s="36">
        <f t="shared" si="2"/>
        <v>49.314904264813713</v>
      </c>
      <c r="M41" s="36">
        <f t="shared" si="2"/>
        <v>0</v>
      </c>
      <c r="N41" s="37">
        <f t="shared" si="2"/>
        <v>0</v>
      </c>
      <c r="O41" s="266">
        <f t="shared" si="2"/>
        <v>0</v>
      </c>
      <c r="P41" s="267">
        <f t="shared" si="2"/>
        <v>0</v>
      </c>
      <c r="Q41" s="267">
        <f t="shared" si="2"/>
        <v>0</v>
      </c>
      <c r="R41" s="267">
        <f t="shared" si="2"/>
        <v>0</v>
      </c>
      <c r="S41" s="267">
        <f t="shared" si="2"/>
        <v>0</v>
      </c>
      <c r="T41" s="268">
        <f t="shared" si="2"/>
        <v>0</v>
      </c>
      <c r="U41" s="266">
        <f t="shared" si="2"/>
        <v>2012.2692091097244</v>
      </c>
      <c r="V41" s="267">
        <f t="shared" si="2"/>
        <v>926.25475764971429</v>
      </c>
      <c r="W41" s="267">
        <f t="shared" si="2"/>
        <v>753.66870679138037</v>
      </c>
      <c r="X41" s="267">
        <f t="shared" si="2"/>
        <v>347.46899923465674</v>
      </c>
      <c r="Y41" s="267">
        <f t="shared" si="2"/>
        <v>5593.0848321929752</v>
      </c>
      <c r="Z41" s="267">
        <f t="shared" si="2"/>
        <v>2562.2792881890614</v>
      </c>
      <c r="AA41" s="271">
        <f t="shared" si="2"/>
        <v>0</v>
      </c>
      <c r="AB41" s="274">
        <f t="shared" si="2"/>
        <v>0</v>
      </c>
      <c r="AC41" s="274">
        <f t="shared" si="2"/>
        <v>0</v>
      </c>
      <c r="AH41" s="277">
        <f t="shared" ref="AH41:AQ41" si="3">AH40*AH39</f>
        <v>860.79583311971032</v>
      </c>
      <c r="AI41" s="277">
        <f t="shared" si="3"/>
        <v>2875.201178110759</v>
      </c>
      <c r="AJ41" s="277">
        <f t="shared" si="3"/>
        <v>7649.2600843098962</v>
      </c>
      <c r="AK41" s="277">
        <f t="shared" si="3"/>
        <v>2045.0207536315916</v>
      </c>
      <c r="AL41" s="277">
        <f t="shared" si="3"/>
        <v>9100.9065335693376</v>
      </c>
      <c r="AM41" s="277">
        <f t="shared" si="3"/>
        <v>6893.5606837666819</v>
      </c>
      <c r="AN41" s="277">
        <f t="shared" si="3"/>
        <v>1511.2882726618448</v>
      </c>
      <c r="AO41" s="277">
        <f t="shared" si="3"/>
        <v>4441.6486470794698</v>
      </c>
      <c r="AP41" s="277">
        <f t="shared" si="3"/>
        <v>1161.4897846295041</v>
      </c>
      <c r="AQ41" s="277">
        <f t="shared" si="3"/>
        <v>1710.2372914784751</v>
      </c>
    </row>
    <row r="42" spans="1:43" ht="49.5" customHeight="1" thickTop="1" thickBot="1">
      <c r="A42" s="740" t="s">
        <v>218</v>
      </c>
      <c r="B42" s="741"/>
      <c r="C42" s="741"/>
      <c r="D42" s="741"/>
      <c r="E42" s="741"/>
      <c r="F42" s="741"/>
      <c r="G42" s="741"/>
      <c r="H42" s="741"/>
      <c r="I42" s="741"/>
      <c r="J42" s="741"/>
      <c r="K42" s="723"/>
      <c r="L42" s="44"/>
      <c r="M42" s="44"/>
      <c r="N42" s="44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  <c r="AA42" s="45"/>
      <c r="AB42" s="45"/>
      <c r="AC42" s="45"/>
      <c r="AG42" s="295" t="s">
        <v>183</v>
      </c>
      <c r="AH42" s="294">
        <v>984.42</v>
      </c>
      <c r="AI42" s="277" t="s">
        <v>196</v>
      </c>
      <c r="AJ42" s="277">
        <v>2966.15</v>
      </c>
      <c r="AK42" s="277">
        <v>913.7</v>
      </c>
      <c r="AL42" s="277">
        <v>2401.06</v>
      </c>
      <c r="AM42" s="277">
        <v>5661.48</v>
      </c>
      <c r="AN42" s="277">
        <v>864.11</v>
      </c>
      <c r="AO42" s="277" t="s">
        <v>196</v>
      </c>
      <c r="AP42" s="277">
        <v>455.94</v>
      </c>
      <c r="AQ42" s="277">
        <v>417.3</v>
      </c>
    </row>
    <row r="43" spans="1:43" ht="38.25" customHeight="1" thickTop="1" thickBot="1">
      <c r="A43" s="726" t="s">
        <v>49</v>
      </c>
      <c r="B43" s="722"/>
      <c r="C43" s="288"/>
      <c r="D43" s="722" t="s">
        <v>47</v>
      </c>
      <c r="E43" s="722"/>
      <c r="F43" s="288"/>
      <c r="G43" s="722" t="s">
        <v>48</v>
      </c>
      <c r="H43" s="722"/>
      <c r="I43" s="289"/>
      <c r="J43" s="722" t="s">
        <v>50</v>
      </c>
      <c r="K43" s="723"/>
      <c r="L43" s="44"/>
      <c r="M43" s="44"/>
      <c r="N43" s="44"/>
      <c r="O43" s="45"/>
      <c r="P43" s="45"/>
      <c r="Q43" s="45"/>
      <c r="R43" s="729" t="s">
        <v>165</v>
      </c>
      <c r="S43" s="730"/>
      <c r="T43" s="730"/>
      <c r="U43" s="731"/>
      <c r="AC43" s="45"/>
    </row>
    <row r="44" spans="1:43" ht="24.75" thickTop="1" thickBot="1">
      <c r="A44" s="281" t="s">
        <v>135</v>
      </c>
      <c r="B44" s="282">
        <f>SUM(B41:AC41)</f>
        <v>153346.06146159861</v>
      </c>
      <c r="C44" s="12"/>
      <c r="D44" s="281" t="s">
        <v>135</v>
      </c>
      <c r="E44" s="282">
        <f>SUM(B41:H41)+P41+R41+T41+V41+X41+Z41</f>
        <v>113617.49608256156</v>
      </c>
      <c r="F44" s="12"/>
      <c r="G44" s="281" t="s">
        <v>135</v>
      </c>
      <c r="H44" s="282">
        <f>SUM(I41:N41)+O41+Q41+S41+U41+W41+Y41</f>
        <v>39728.565379037071</v>
      </c>
      <c r="I44" s="12"/>
      <c r="J44" s="281" t="s">
        <v>197</v>
      </c>
      <c r="K44" s="282">
        <v>131919.96</v>
      </c>
      <c r="L44" s="12"/>
      <c r="M44" s="12"/>
      <c r="N44" s="12"/>
      <c r="O44" s="12"/>
      <c r="P44" s="12"/>
      <c r="Q44" s="12"/>
      <c r="R44" s="308" t="s">
        <v>135</v>
      </c>
      <c r="S44" s="309"/>
      <c r="T44" s="304" t="s">
        <v>166</v>
      </c>
      <c r="U44" s="254" t="s">
        <v>167</v>
      </c>
    </row>
    <row r="45" spans="1:43" ht="24" thickBot="1">
      <c r="A45" s="283" t="s">
        <v>182</v>
      </c>
      <c r="B45" s="284">
        <f>SUM(AH41:AQ41)</f>
        <v>38249.40906235727</v>
      </c>
      <c r="C45" s="12"/>
      <c r="D45" s="283" t="s">
        <v>182</v>
      </c>
      <c r="E45" s="284">
        <f>AH41*(1-$AG$40)+AI41+AJ41*0.5+AL41+AM41*(1-$AG$40)+AN41*(1-$AG$40)+AO41*(1-$AG$40)+AP41*0.5+AQ41*0.5</f>
        <v>21561.070464978351</v>
      </c>
      <c r="F45" s="24"/>
      <c r="G45" s="283" t="s">
        <v>182</v>
      </c>
      <c r="H45" s="284">
        <f>AH41*AG40+AJ41*0.5+AK41+AM41*AG40+AN41*AG40+AO41*AG40+AP41*0.5+AQ41*0.5</f>
        <v>16688.338597378915</v>
      </c>
      <c r="I45" s="12"/>
      <c r="J45" s="12"/>
      <c r="K45" s="287"/>
      <c r="L45" s="12"/>
      <c r="M45" s="12"/>
      <c r="N45" s="12"/>
      <c r="O45" s="12"/>
      <c r="P45" s="12"/>
      <c r="Q45" s="12"/>
      <c r="R45" s="306" t="s">
        <v>140</v>
      </c>
      <c r="S45" s="307"/>
      <c r="T45" s="253">
        <f>$W$39+$X$39</f>
        <v>957.51104871829318</v>
      </c>
      <c r="U45" s="255">
        <f>(T45*8.34*0.895)/27000</f>
        <v>0.26470924892399839</v>
      </c>
    </row>
    <row r="46" spans="1:43" ht="32.25" thickBot="1">
      <c r="A46" s="285" t="s">
        <v>183</v>
      </c>
      <c r="B46" s="286">
        <f>SUM(AH42:AQ42)</f>
        <v>14664.16</v>
      </c>
      <c r="C46" s="12"/>
      <c r="D46" s="285" t="s">
        <v>183</v>
      </c>
      <c r="E46" s="286">
        <f>AH42*(1-$AG$40)+AJ42*0.5+AL42+AM42*(1-$AG$40)+AN42*(1-$AG$40)+AP42*0.5+AQ42*0.5</f>
        <v>6690.0634914787161</v>
      </c>
      <c r="F46" s="23"/>
      <c r="G46" s="285" t="s">
        <v>183</v>
      </c>
      <c r="H46" s="286">
        <f>AH42*AG40+AJ42*0.5+AK42+AM42*AG40+AN42*AG40+AP42*0.5+AQ42*0.5</f>
        <v>7974.0965085212829</v>
      </c>
      <c r="I46" s="12"/>
      <c r="J46" s="724" t="s">
        <v>198</v>
      </c>
      <c r="K46" s="725"/>
      <c r="L46" s="12"/>
      <c r="M46" s="12"/>
      <c r="N46" s="12"/>
      <c r="O46" s="12"/>
      <c r="P46" s="12"/>
      <c r="Q46" s="12"/>
      <c r="R46" s="306" t="s">
        <v>144</v>
      </c>
      <c r="S46" s="307"/>
      <c r="T46" s="253">
        <f>$M$39+$N$39+$F$39</f>
        <v>0</v>
      </c>
      <c r="U46" s="256">
        <f>(((T46*8.34)*0.005)/(8.34*1.055))/400</f>
        <v>0</v>
      </c>
    </row>
    <row r="47" spans="1:43" ht="24.75" thickTop="1" thickBot="1">
      <c r="A47" s="285" t="s">
        <v>184</v>
      </c>
      <c r="B47" s="286">
        <f>K44</f>
        <v>131919.96</v>
      </c>
      <c r="C47" s="12"/>
      <c r="D47" s="285" t="s">
        <v>186</v>
      </c>
      <c r="E47" s="286">
        <f>K44*0.5</f>
        <v>65959.98</v>
      </c>
      <c r="F47" s="24"/>
      <c r="G47" s="285" t="s">
        <v>184</v>
      </c>
      <c r="H47" s="286">
        <f>K44*0.5</f>
        <v>65959.98</v>
      </c>
      <c r="I47" s="12"/>
      <c r="J47" s="281" t="s">
        <v>197</v>
      </c>
      <c r="K47" s="282">
        <v>57292.47</v>
      </c>
      <c r="L47" s="12"/>
      <c r="M47" s="12"/>
      <c r="N47" s="12"/>
      <c r="O47" s="12"/>
      <c r="P47" s="12"/>
      <c r="Q47" s="12"/>
      <c r="R47" s="306" t="s">
        <v>147</v>
      </c>
      <c r="S47" s="307"/>
      <c r="T47" s="253">
        <f>$G$39</f>
        <v>95486.917894108978</v>
      </c>
      <c r="U47" s="255">
        <f>T47/40000</f>
        <v>2.3871729473527243</v>
      </c>
    </row>
    <row r="48" spans="1:43" ht="24" thickBot="1">
      <c r="A48" s="285" t="s">
        <v>185</v>
      </c>
      <c r="B48" s="286">
        <f>K47</f>
        <v>57292.47</v>
      </c>
      <c r="C48" s="12"/>
      <c r="D48" s="285" t="s">
        <v>185</v>
      </c>
      <c r="E48" s="286">
        <f>K47*0.5</f>
        <v>28646.235000000001</v>
      </c>
      <c r="F48" s="23"/>
      <c r="G48" s="285" t="s">
        <v>185</v>
      </c>
      <c r="H48" s="286">
        <f>K47*0.5</f>
        <v>28646.235000000001</v>
      </c>
      <c r="I48" s="12"/>
      <c r="J48" s="12"/>
      <c r="K48" s="86"/>
      <c r="L48" s="12"/>
      <c r="M48" s="12"/>
      <c r="N48" s="12"/>
      <c r="O48" s="12"/>
      <c r="P48" s="12"/>
      <c r="Q48" s="12"/>
      <c r="R48" s="306" t="s">
        <v>149</v>
      </c>
      <c r="S48" s="307"/>
      <c r="T48" s="253">
        <f>$L$39</f>
        <v>131.10993492960944</v>
      </c>
      <c r="U48" s="255">
        <f>T48*9.34*0.107</f>
        <v>131.02864676995307</v>
      </c>
    </row>
    <row r="49" spans="1:25" ht="48" thickTop="1" thickBot="1">
      <c r="A49" s="290" t="s">
        <v>193</v>
      </c>
      <c r="B49" s="291">
        <f>AD40</f>
        <v>396.56536710593423</v>
      </c>
      <c r="C49" s="12"/>
      <c r="D49" s="290" t="s">
        <v>194</v>
      </c>
      <c r="E49" s="291">
        <f>AF40</f>
        <v>123.29488115319198</v>
      </c>
      <c r="F49" s="23"/>
      <c r="G49" s="290" t="s">
        <v>195</v>
      </c>
      <c r="H49" s="291">
        <f>AE40</f>
        <v>267.51357360880837</v>
      </c>
      <c r="I49" s="12"/>
      <c r="J49" s="12"/>
      <c r="K49" s="86"/>
      <c r="L49" s="12"/>
      <c r="M49" s="12"/>
      <c r="N49" s="12"/>
      <c r="O49" s="12"/>
      <c r="P49" s="12"/>
      <c r="Q49" s="12"/>
      <c r="R49" s="306" t="s">
        <v>151</v>
      </c>
      <c r="S49" s="307"/>
      <c r="T49" s="253">
        <f>$E$39+$K$39</f>
        <v>818.79536215613302</v>
      </c>
      <c r="U49" s="255">
        <f>(T49*8.34*1.04)/45000</f>
        <v>0.1578200767377208</v>
      </c>
    </row>
    <row r="50" spans="1:25" ht="48" thickTop="1" thickBot="1">
      <c r="A50" s="290" t="s">
        <v>189</v>
      </c>
      <c r="B50" s="292">
        <f>(SUM(B44:B48)/AD40)</f>
        <v>997.24306086041463</v>
      </c>
      <c r="C50" s="12"/>
      <c r="D50" s="290" t="s">
        <v>187</v>
      </c>
      <c r="E50" s="292">
        <f>SUM(E44:E48)/AF40</f>
        <v>1917.9615798096456</v>
      </c>
      <c r="F50" s="23"/>
      <c r="G50" s="290" t="s">
        <v>188</v>
      </c>
      <c r="H50" s="292">
        <f>SUM(H44:H48)/AE40</f>
        <v>594.35195508039067</v>
      </c>
      <c r="I50" s="12"/>
      <c r="J50" s="12"/>
      <c r="K50" s="86"/>
      <c r="L50" s="12"/>
      <c r="M50" s="12"/>
      <c r="N50" s="12"/>
      <c r="O50" s="12"/>
      <c r="P50" s="12"/>
      <c r="Q50" s="12"/>
      <c r="R50" s="306" t="s">
        <v>152</v>
      </c>
      <c r="S50" s="307"/>
      <c r="T50" s="253">
        <f>$U$39+$V$39+$AB$39</f>
        <v>11194.377016226432</v>
      </c>
      <c r="U50" s="255">
        <f>T50/2000/8</f>
        <v>0.69964856351415194</v>
      </c>
    </row>
    <row r="51" spans="1:25" ht="48" thickTop="1" thickBot="1">
      <c r="A51" s="280" t="s">
        <v>190</v>
      </c>
      <c r="B51" s="293">
        <f>B50/1000</f>
        <v>0.99724306086041459</v>
      </c>
      <c r="C51" s="12"/>
      <c r="D51" s="280" t="s">
        <v>191</v>
      </c>
      <c r="E51" s="293">
        <f>E50/1000</f>
        <v>1.9179615798096457</v>
      </c>
      <c r="F51" s="12"/>
      <c r="G51" s="280" t="s">
        <v>192</v>
      </c>
      <c r="H51" s="293">
        <f>H50/1000</f>
        <v>0.59435195508039063</v>
      </c>
      <c r="I51" s="12"/>
      <c r="J51" s="12"/>
      <c r="K51" s="86"/>
      <c r="L51" s="12"/>
      <c r="M51" s="12"/>
      <c r="N51" s="12"/>
      <c r="O51" s="12"/>
      <c r="P51" s="12"/>
      <c r="Q51" s="12"/>
      <c r="R51" s="306" t="s">
        <v>153</v>
      </c>
      <c r="S51" s="307"/>
      <c r="T51" s="253">
        <f>$C$39+$J$39+$S$39+$T$39</f>
        <v>21127.503465541195</v>
      </c>
      <c r="U51" s="255">
        <f>(T51*8.34*1.4)/45000</f>
        <v>5.4818828991924216</v>
      </c>
    </row>
    <row r="52" spans="1:25" ht="16.5" thickTop="1" thickBot="1">
      <c r="A52" s="301"/>
      <c r="B52" s="12"/>
      <c r="C52" s="12"/>
      <c r="D52" s="12"/>
      <c r="E52" s="12"/>
      <c r="F52" s="12"/>
      <c r="G52" s="12"/>
      <c r="H52" s="12"/>
      <c r="I52" s="12"/>
      <c r="J52" s="12"/>
      <c r="K52" s="86"/>
      <c r="L52" s="12"/>
      <c r="M52" s="12"/>
      <c r="N52" s="12"/>
      <c r="O52" s="12"/>
      <c r="P52" s="12"/>
      <c r="Q52" s="12"/>
      <c r="R52" s="306" t="s">
        <v>154</v>
      </c>
      <c r="S52" s="307"/>
      <c r="T52" s="253">
        <f>$H$39</f>
        <v>1417.3584192842259</v>
      </c>
      <c r="U52" s="255">
        <f>(T52*8.34*1.135)/45000</f>
        <v>0.29814606802450122</v>
      </c>
    </row>
    <row r="53" spans="1:25" ht="33" thickTop="1" thickBot="1">
      <c r="A53" s="732" t="s">
        <v>51</v>
      </c>
      <c r="B53" s="733"/>
      <c r="C53" s="733"/>
      <c r="D53" s="733"/>
      <c r="E53" s="734"/>
      <c r="F53" s="12"/>
      <c r="G53" s="12"/>
      <c r="H53" s="12"/>
      <c r="I53" s="12"/>
      <c r="J53" s="12"/>
      <c r="K53" s="86"/>
      <c r="L53" s="12"/>
      <c r="M53" s="12"/>
      <c r="N53" s="12"/>
      <c r="O53" s="12"/>
      <c r="P53" s="12"/>
      <c r="Q53" s="12"/>
      <c r="R53" s="306" t="s">
        <v>155</v>
      </c>
      <c r="S53" s="307"/>
      <c r="T53" s="253">
        <f>$B$39+$I$39+$AC$39</f>
        <v>6499.1690125505102</v>
      </c>
      <c r="U53" s="255">
        <f>(T53*8.34*1.029*0.03)/3300</f>
        <v>0.50704507801860654</v>
      </c>
    </row>
    <row r="54" spans="1:25" ht="54.75" customHeight="1" thickBot="1">
      <c r="A54" s="735" t="s">
        <v>199</v>
      </c>
      <c r="B54" s="736"/>
      <c r="C54" s="736"/>
      <c r="D54" s="736"/>
      <c r="E54" s="737"/>
      <c r="F54" s="87"/>
      <c r="G54" s="87"/>
      <c r="H54" s="87"/>
      <c r="I54" s="87"/>
      <c r="J54" s="87"/>
      <c r="K54" s="88"/>
      <c r="L54" s="12"/>
      <c r="M54" s="12"/>
      <c r="N54" s="12"/>
      <c r="O54" s="12"/>
      <c r="P54" s="12"/>
      <c r="Q54" s="12"/>
      <c r="R54" s="738" t="s">
        <v>157</v>
      </c>
      <c r="S54" s="770"/>
      <c r="T54" s="314">
        <f>$D$39+$Y$39+$Z$39</f>
        <v>45272.615197825413</v>
      </c>
      <c r="U54" s="315">
        <f>(T54*1.54*8.34)/45000</f>
        <v>12.921408012328676</v>
      </c>
      <c r="V54" s="313"/>
      <c r="W54" s="12"/>
      <c r="X54" s="12"/>
      <c r="Y54" s="12"/>
    </row>
    <row r="55" spans="1:25" ht="15.75" thickTop="1"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317"/>
      <c r="T55" s="769"/>
      <c r="U55" s="769"/>
      <c r="V55" s="311"/>
      <c r="W55" s="312"/>
      <c r="X55" s="310"/>
      <c r="Y55" s="310"/>
    </row>
    <row r="56" spans="1:25"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310"/>
      <c r="T56" s="768"/>
      <c r="U56" s="768"/>
      <c r="V56" s="311"/>
      <c r="W56" s="312"/>
      <c r="X56" s="310"/>
      <c r="Y56" s="310"/>
    </row>
    <row r="57" spans="1:25"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310"/>
      <c r="T57" s="768"/>
      <c r="U57" s="768"/>
      <c r="V57" s="311"/>
      <c r="W57" s="312"/>
      <c r="X57" s="310"/>
      <c r="Y57" s="310"/>
    </row>
    <row r="58" spans="1:25"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310"/>
      <c r="T58" s="768"/>
      <c r="U58" s="768"/>
      <c r="V58" s="311"/>
      <c r="W58" s="312"/>
      <c r="X58" s="310"/>
      <c r="Y58" s="310"/>
    </row>
    <row r="59" spans="1:25"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310"/>
      <c r="T59" s="768"/>
      <c r="U59" s="768"/>
      <c r="V59" s="311"/>
      <c r="W59" s="312"/>
      <c r="X59" s="310"/>
      <c r="Y59" s="310"/>
    </row>
    <row r="60" spans="1:25">
      <c r="S60" s="310"/>
      <c r="T60" s="768"/>
      <c r="U60" s="768"/>
      <c r="V60" s="311"/>
      <c r="W60" s="312"/>
      <c r="X60" s="310"/>
      <c r="Y60" s="310"/>
    </row>
    <row r="61" spans="1:25">
      <c r="S61" s="310"/>
      <c r="T61" s="768"/>
      <c r="U61" s="768"/>
      <c r="V61" s="311"/>
      <c r="W61" s="312"/>
      <c r="X61" s="310"/>
      <c r="Y61" s="310"/>
    </row>
    <row r="62" spans="1:25">
      <c r="S62" s="310"/>
      <c r="T62" s="768"/>
      <c r="U62" s="768"/>
      <c r="V62" s="311"/>
      <c r="W62" s="312"/>
      <c r="X62" s="310"/>
      <c r="Y62" s="310"/>
    </row>
    <row r="63" spans="1:25">
      <c r="S63" s="310"/>
      <c r="T63" s="310"/>
      <c r="U63" s="310"/>
      <c r="V63" s="310"/>
      <c r="W63" s="310"/>
      <c r="X63" s="310"/>
      <c r="Y63" s="310"/>
    </row>
    <row r="64" spans="1:25">
      <c r="S64" s="310"/>
      <c r="T64" s="310"/>
      <c r="U64" s="310"/>
      <c r="V64" s="310"/>
      <c r="W64" s="310"/>
      <c r="X64" s="310"/>
      <c r="Y64" s="310"/>
    </row>
    <row r="65" spans="19:25">
      <c r="S65" s="310"/>
      <c r="T65" s="310"/>
      <c r="U65" s="310"/>
      <c r="V65" s="310"/>
      <c r="W65" s="310"/>
      <c r="X65" s="310"/>
      <c r="Y65" s="310"/>
    </row>
  </sheetData>
  <sheetProtection selectLockedCells="1" selectUnlockedCells="1"/>
  <customSheetViews>
    <customSheetView guid="{322E6371-A03C-4BCA-B267-212DFC76880A}" scale="80" fitToPage="1">
      <selection activeCell="F43" sqref="F43"/>
      <pageMargins left="0.33" right="0.19" top="0.75" bottom="0.75" header="0.3" footer="0.3"/>
      <pageSetup scale="55" orientation="landscape" r:id="rId1"/>
    </customSheetView>
  </customSheetViews>
  <mergeCells count="38">
    <mergeCell ref="J46:K46"/>
    <mergeCell ref="A53:E53"/>
    <mergeCell ref="A54:E54"/>
    <mergeCell ref="R54:S54"/>
    <mergeCell ref="AM4:AM5"/>
    <mergeCell ref="A43:B43"/>
    <mergeCell ref="D43:E43"/>
    <mergeCell ref="G43:H43"/>
    <mergeCell ref="B4:H5"/>
    <mergeCell ref="I4:N5"/>
    <mergeCell ref="A42:K42"/>
    <mergeCell ref="J43:K43"/>
    <mergeCell ref="AN4:AN5"/>
    <mergeCell ref="AO4:AO5"/>
    <mergeCell ref="AP4:AP5"/>
    <mergeCell ref="AQ4:AQ5"/>
    <mergeCell ref="AH4:AH5"/>
    <mergeCell ref="AI4:AI5"/>
    <mergeCell ref="AJ4:AJ5"/>
    <mergeCell ref="AK4:AK5"/>
    <mergeCell ref="AL4:AL5"/>
    <mergeCell ref="T61:U61"/>
    <mergeCell ref="T62:U62"/>
    <mergeCell ref="T56:U56"/>
    <mergeCell ref="T57:U57"/>
    <mergeCell ref="T58:U58"/>
    <mergeCell ref="T59:U59"/>
    <mergeCell ref="T60:U60"/>
    <mergeCell ref="T55:U55"/>
    <mergeCell ref="AD4:AD5"/>
    <mergeCell ref="AE4:AE5"/>
    <mergeCell ref="AF4:AF5"/>
    <mergeCell ref="AG4:AG5"/>
    <mergeCell ref="O4:T5"/>
    <mergeCell ref="U4:AA5"/>
    <mergeCell ref="AB4:AB5"/>
    <mergeCell ref="AC4:AC5"/>
    <mergeCell ref="R43:U43"/>
  </mergeCells>
  <pageMargins left="0.33" right="0.19" top="0.75" bottom="0.75" header="0.3" footer="0.3"/>
  <pageSetup scale="54" orientation="landscape"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H59"/>
  <sheetViews>
    <sheetView topLeftCell="C1" zoomScale="80" zoomScaleNormal="80" workbookViewId="0">
      <selection activeCell="N40" sqref="N40"/>
    </sheetView>
  </sheetViews>
  <sheetFormatPr defaultRowHeight="15"/>
  <cols>
    <col min="1" max="1" width="10.140625" customWidth="1"/>
    <col min="2" max="2" width="25.5703125" bestFit="1" customWidth="1"/>
    <col min="3" max="3" width="10.85546875" bestFit="1" customWidth="1"/>
    <col min="4" max="4" width="9.85546875" bestFit="1" customWidth="1"/>
    <col min="5" max="5" width="10.85546875" bestFit="1" customWidth="1"/>
    <col min="6" max="9" width="8.7109375" customWidth="1"/>
    <col min="10" max="11" width="9.28515625" bestFit="1" customWidth="1"/>
    <col min="12" max="34" width="8.7109375" customWidth="1"/>
  </cols>
  <sheetData>
    <row r="1" spans="1:34" ht="28.5" customHeight="1" thickTop="1" thickBot="1">
      <c r="A1" s="533">
        <v>2012</v>
      </c>
      <c r="B1" s="534"/>
      <c r="C1" s="498" t="s">
        <v>89</v>
      </c>
      <c r="D1" s="499"/>
      <c r="E1" s="499"/>
      <c r="F1" s="499"/>
      <c r="G1" s="499"/>
      <c r="H1" s="499"/>
      <c r="I1" s="499"/>
      <c r="J1" s="499"/>
      <c r="K1" s="499"/>
      <c r="L1" s="499"/>
      <c r="M1" s="499"/>
      <c r="N1" s="499"/>
      <c r="O1" s="499"/>
      <c r="P1" s="499"/>
      <c r="Q1" s="499"/>
      <c r="R1" s="499"/>
      <c r="S1" s="499"/>
      <c r="T1" s="499"/>
      <c r="U1" s="499"/>
      <c r="V1" s="500"/>
      <c r="W1" s="500"/>
      <c r="X1" s="500"/>
      <c r="Y1" s="500"/>
      <c r="Z1" s="500"/>
      <c r="AA1" s="500"/>
      <c r="AB1" s="500"/>
      <c r="AC1" s="499"/>
      <c r="AD1" s="499"/>
      <c r="AE1" s="499"/>
      <c r="AF1" s="499"/>
      <c r="AG1" s="499"/>
      <c r="AH1" s="501"/>
    </row>
    <row r="2" spans="1:34" ht="28.5" customHeight="1" thickTop="1" thickBot="1">
      <c r="A2" s="502"/>
      <c r="B2" s="503"/>
      <c r="C2" s="509" t="s">
        <v>66</v>
      </c>
      <c r="D2" s="510"/>
      <c r="E2" s="510"/>
      <c r="F2" s="510"/>
      <c r="G2" s="510"/>
      <c r="H2" s="510"/>
      <c r="I2" s="511"/>
      <c r="J2" s="512" t="s">
        <v>71</v>
      </c>
      <c r="K2" s="513"/>
      <c r="L2" s="513"/>
      <c r="M2" s="513"/>
      <c r="N2" s="513"/>
      <c r="O2" s="514"/>
      <c r="P2" s="515" t="s">
        <v>73</v>
      </c>
      <c r="Q2" s="516"/>
      <c r="R2" s="516"/>
      <c r="S2" s="516"/>
      <c r="T2" s="516"/>
      <c r="U2" s="517"/>
      <c r="V2" s="518" t="s">
        <v>82</v>
      </c>
      <c r="W2" s="519"/>
      <c r="X2" s="519"/>
      <c r="Y2" s="519"/>
      <c r="Z2" s="519"/>
      <c r="AA2" s="519"/>
      <c r="AB2" s="520"/>
      <c r="AC2" s="521" t="s">
        <v>83</v>
      </c>
      <c r="AD2" s="522"/>
      <c r="AE2" s="506" t="s">
        <v>85</v>
      </c>
      <c r="AF2" s="507"/>
      <c r="AG2" s="507"/>
      <c r="AH2" s="508"/>
    </row>
    <row r="3" spans="1:34" ht="119.25" customHeight="1" thickBot="1">
      <c r="A3" s="504"/>
      <c r="B3" s="505"/>
      <c r="C3" s="225" t="s">
        <v>67</v>
      </c>
      <c r="D3" s="225" t="s">
        <v>68</v>
      </c>
      <c r="E3" s="225" t="s">
        <v>11</v>
      </c>
      <c r="F3" s="225" t="s">
        <v>12</v>
      </c>
      <c r="G3" s="225" t="s">
        <v>13</v>
      </c>
      <c r="H3" s="225" t="s">
        <v>69</v>
      </c>
      <c r="I3" s="226" t="s">
        <v>70</v>
      </c>
      <c r="J3" s="227" t="s">
        <v>67</v>
      </c>
      <c r="K3" s="227" t="s">
        <v>72</v>
      </c>
      <c r="L3" s="228" t="s">
        <v>17</v>
      </c>
      <c r="M3" s="227" t="s">
        <v>18</v>
      </c>
      <c r="N3" s="227" t="s">
        <v>19</v>
      </c>
      <c r="O3" s="227" t="s">
        <v>13</v>
      </c>
      <c r="P3" s="229" t="s">
        <v>35</v>
      </c>
      <c r="Q3" s="230" t="s">
        <v>36</v>
      </c>
      <c r="R3" s="229" t="s">
        <v>74</v>
      </c>
      <c r="S3" s="229" t="s">
        <v>75</v>
      </c>
      <c r="T3" s="229" t="s">
        <v>76</v>
      </c>
      <c r="U3" s="229" t="s">
        <v>77</v>
      </c>
      <c r="V3" s="231" t="s">
        <v>78</v>
      </c>
      <c r="W3" s="231" t="s">
        <v>79</v>
      </c>
      <c r="X3" s="231" t="s">
        <v>80</v>
      </c>
      <c r="Y3" s="231" t="s">
        <v>81</v>
      </c>
      <c r="Z3" s="231" t="s">
        <v>45</v>
      </c>
      <c r="AA3" s="231" t="s">
        <v>46</v>
      </c>
      <c r="AB3" s="231" t="s">
        <v>20</v>
      </c>
      <c r="AC3" s="232" t="s">
        <v>7</v>
      </c>
      <c r="AD3" s="233" t="s">
        <v>84</v>
      </c>
      <c r="AE3" s="234" t="s">
        <v>27</v>
      </c>
      <c r="AF3" s="234" t="s">
        <v>31</v>
      </c>
      <c r="AG3" s="234" t="s">
        <v>32</v>
      </c>
      <c r="AH3" s="235" t="s">
        <v>33</v>
      </c>
    </row>
    <row r="4" spans="1:34" ht="15.75" customHeight="1" thickTop="1">
      <c r="A4" s="530" t="s">
        <v>86</v>
      </c>
      <c r="B4" s="89" t="s">
        <v>52</v>
      </c>
      <c r="C4" s="101">
        <f>JANUARY!B39</f>
        <v>0</v>
      </c>
      <c r="D4" s="101">
        <f>JANUARY!C39</f>
        <v>0</v>
      </c>
      <c r="E4" s="101">
        <f>JANUARY!D39</f>
        <v>0</v>
      </c>
      <c r="F4" s="101">
        <f>JANUARY!E39</f>
        <v>1.1471474468708034</v>
      </c>
      <c r="G4" s="101">
        <f>JANUARY!F39</f>
        <v>0</v>
      </c>
      <c r="H4" s="101">
        <f>JANUARY!G39</f>
        <v>0</v>
      </c>
      <c r="I4" s="101">
        <f>JANUARY!H39</f>
        <v>0</v>
      </c>
      <c r="J4" s="101">
        <f>JANUARY!I39</f>
        <v>2110.4001681009941</v>
      </c>
      <c r="K4" s="101">
        <f>JANUARY!J39</f>
        <v>7130.6607482234631</v>
      </c>
      <c r="L4" s="236">
        <f>JANUARY!K39</f>
        <v>125.812868889173</v>
      </c>
      <c r="M4" s="101">
        <f>JANUARY!L39</f>
        <v>0</v>
      </c>
      <c r="N4" s="101">
        <f>JANUARY!M39</f>
        <v>5.1015452762444813</v>
      </c>
      <c r="O4" s="101">
        <f>JANUARY!N39</f>
        <v>294.05505951841667</v>
      </c>
      <c r="P4" s="101">
        <f>JANUARY!O39</f>
        <v>0</v>
      </c>
      <c r="Q4" s="101">
        <f>JANUARY!P39</f>
        <v>0</v>
      </c>
      <c r="R4" s="101">
        <f>JANUARY!Q39</f>
        <v>0</v>
      </c>
      <c r="S4" s="101">
        <f>JANUARY!R39</f>
        <v>0</v>
      </c>
      <c r="T4" s="101">
        <f>JANUARY!S39</f>
        <v>0</v>
      </c>
      <c r="U4" s="101">
        <f>JANUARY!T39</f>
        <v>0</v>
      </c>
      <c r="V4" s="101">
        <f>JANUARY!U39</f>
        <v>2029.3395345793747</v>
      </c>
      <c r="W4" s="101">
        <f>JANUARY!V39</f>
        <v>5.4442945453855723E-3</v>
      </c>
      <c r="X4" s="101">
        <f>JANUARY!W39</f>
        <v>241.64734076658891</v>
      </c>
      <c r="Y4" s="101">
        <f>JANUARY!X39</f>
        <v>0</v>
      </c>
      <c r="Z4" s="101">
        <f>JANUARY!Y39</f>
        <v>1904.1370641311016</v>
      </c>
      <c r="AA4" s="101">
        <f>JANUARY!Z39</f>
        <v>0</v>
      </c>
      <c r="AB4" s="101">
        <f>JANUARY!AA39</f>
        <v>0</v>
      </c>
      <c r="AC4" s="102">
        <f>JANUARY!AB39</f>
        <v>0</v>
      </c>
      <c r="AD4" s="102">
        <f>JANUARY!AC39</f>
        <v>0</v>
      </c>
      <c r="AE4" s="237">
        <f>JANUARY!AD40</f>
        <v>94.750178150004785</v>
      </c>
      <c r="AF4" s="237">
        <f>JANUARY!AE40</f>
        <v>93.080046786272391</v>
      </c>
      <c r="AG4" s="237">
        <f>JANUARY!AF40</f>
        <v>0</v>
      </c>
      <c r="AH4" s="238">
        <f>JANUARY!AG40</f>
        <v>1</v>
      </c>
    </row>
    <row r="5" spans="1:34" ht="15.75" customHeight="1">
      <c r="A5" s="531"/>
      <c r="B5" s="90" t="s">
        <v>53</v>
      </c>
      <c r="C5" s="103">
        <f>FEBRUARY!B39</f>
        <v>0</v>
      </c>
      <c r="D5" s="103">
        <f>FEBRUARY!C39</f>
        <v>0</v>
      </c>
      <c r="E5" s="103">
        <f>FEBRUARY!D39</f>
        <v>0</v>
      </c>
      <c r="F5" s="103">
        <f>FEBRUARY!E39</f>
        <v>0</v>
      </c>
      <c r="G5" s="103">
        <f>FEBRUARY!F39</f>
        <v>0</v>
      </c>
      <c r="H5" s="103">
        <f>FEBRUARY!G39</f>
        <v>0</v>
      </c>
      <c r="I5" s="103">
        <f>FEBRUARY!H39</f>
        <v>0</v>
      </c>
      <c r="J5" s="103">
        <f>FEBRUARY!I39</f>
        <v>0</v>
      </c>
      <c r="K5" s="103">
        <f>FEBRUARY!J39</f>
        <v>0</v>
      </c>
      <c r="L5" s="104">
        <f>FEBRUARY!K39</f>
        <v>0</v>
      </c>
      <c r="M5" s="103">
        <f>FEBRUARY!L39</f>
        <v>0</v>
      </c>
      <c r="N5" s="103">
        <f>FEBRUARY!M39</f>
        <v>0</v>
      </c>
      <c r="O5" s="103">
        <f>FEBRUARY!N39</f>
        <v>0</v>
      </c>
      <c r="P5" s="103">
        <f>FEBRUARY!O39</f>
        <v>0</v>
      </c>
      <c r="Q5" s="103">
        <f>FEBRUARY!P39</f>
        <v>0</v>
      </c>
      <c r="R5" s="103">
        <f>FEBRUARY!Q39</f>
        <v>0</v>
      </c>
      <c r="S5" s="103">
        <f>FEBRUARY!R39</f>
        <v>0</v>
      </c>
      <c r="T5" s="103">
        <f>FEBRUARY!S39</f>
        <v>0</v>
      </c>
      <c r="U5" s="103">
        <f>FEBRUARY!T39</f>
        <v>0</v>
      </c>
      <c r="V5" s="103">
        <f>FEBRUARY!U39</f>
        <v>0</v>
      </c>
      <c r="W5" s="103">
        <f>FEBRUARY!V39</f>
        <v>0</v>
      </c>
      <c r="X5" s="103">
        <f>FEBRUARY!W39</f>
        <v>0</v>
      </c>
      <c r="Y5" s="103">
        <f>FEBRUARY!X39</f>
        <v>0</v>
      </c>
      <c r="Z5" s="103">
        <f>FEBRUARY!Y39</f>
        <v>0</v>
      </c>
      <c r="AA5" s="103">
        <f>FEBRUARY!Z39</f>
        <v>0</v>
      </c>
      <c r="AB5" s="103">
        <f>FEBRUARY!AA39</f>
        <v>0</v>
      </c>
      <c r="AC5" s="105">
        <f>FEBRUARY!AB39</f>
        <v>0</v>
      </c>
      <c r="AD5" s="105">
        <f>FEBRUARY!AC39</f>
        <v>0</v>
      </c>
      <c r="AE5" s="99">
        <f>FEBRUARY!AD40</f>
        <v>0</v>
      </c>
      <c r="AF5" s="99">
        <f>FEBRUARY!AE40</f>
        <v>0</v>
      </c>
      <c r="AG5" s="99">
        <f>FEBRUARY!AF40</f>
        <v>0</v>
      </c>
      <c r="AH5" s="91">
        <f>FEBRUARY!AG40</f>
        <v>0.5</v>
      </c>
    </row>
    <row r="6" spans="1:34" ht="15.75" customHeight="1">
      <c r="A6" s="531"/>
      <c r="B6" s="90" t="s">
        <v>54</v>
      </c>
      <c r="C6" s="103">
        <f>MARCH!B39</f>
        <v>0</v>
      </c>
      <c r="D6" s="103">
        <f>MARCH!C39</f>
        <v>0</v>
      </c>
      <c r="E6" s="103">
        <f>MARCH!D39</f>
        <v>0</v>
      </c>
      <c r="F6" s="103">
        <f>MARCH!E39</f>
        <v>0</v>
      </c>
      <c r="G6" s="103">
        <f>MARCH!F39</f>
        <v>0</v>
      </c>
      <c r="H6" s="103">
        <f>MARCH!G39</f>
        <v>0</v>
      </c>
      <c r="I6" s="103">
        <f>MARCH!H39</f>
        <v>0</v>
      </c>
      <c r="J6" s="103">
        <f>MARCH!I39</f>
        <v>0</v>
      </c>
      <c r="K6" s="103">
        <f>MARCH!J39</f>
        <v>0</v>
      </c>
      <c r="L6" s="104">
        <f>MARCH!K39</f>
        <v>0</v>
      </c>
      <c r="M6" s="103">
        <f>MARCH!L39</f>
        <v>0</v>
      </c>
      <c r="N6" s="103">
        <f>MARCH!M39</f>
        <v>0</v>
      </c>
      <c r="O6" s="103">
        <f>MARCH!N39</f>
        <v>0</v>
      </c>
      <c r="P6" s="103">
        <f>MARCH!O39</f>
        <v>0</v>
      </c>
      <c r="Q6" s="103">
        <f>MARCH!P39</f>
        <v>0</v>
      </c>
      <c r="R6" s="103">
        <f>MARCH!Q39</f>
        <v>0</v>
      </c>
      <c r="S6" s="103">
        <f>MARCH!R39</f>
        <v>0</v>
      </c>
      <c r="T6" s="103">
        <f>MARCH!S39</f>
        <v>0</v>
      </c>
      <c r="U6" s="103">
        <f>MARCH!T39</f>
        <v>0</v>
      </c>
      <c r="V6" s="103">
        <f>MARCH!U39</f>
        <v>0</v>
      </c>
      <c r="W6" s="103">
        <f>MARCH!V39</f>
        <v>0</v>
      </c>
      <c r="X6" s="103">
        <f>MARCH!W39</f>
        <v>0</v>
      </c>
      <c r="Y6" s="103">
        <f>MARCH!X39</f>
        <v>0</v>
      </c>
      <c r="Z6" s="103">
        <f>MARCH!Y39</f>
        <v>0</v>
      </c>
      <c r="AA6" s="103">
        <f>MARCH!Z39</f>
        <v>0</v>
      </c>
      <c r="AB6" s="103">
        <f>MARCH!AA39</f>
        <v>0</v>
      </c>
      <c r="AC6" s="105">
        <f>MARCH!AB39</f>
        <v>0</v>
      </c>
      <c r="AD6" s="105">
        <f>MARCH!AC39</f>
        <v>0</v>
      </c>
      <c r="AE6" s="99">
        <f>MARCH!AD40</f>
        <v>0</v>
      </c>
      <c r="AF6" s="99">
        <f>MARCH!AE40</f>
        <v>0</v>
      </c>
      <c r="AG6" s="99">
        <f>MARCH!AF40</f>
        <v>0</v>
      </c>
      <c r="AH6" s="91">
        <f>MARCH!AG40</f>
        <v>0.5</v>
      </c>
    </row>
    <row r="7" spans="1:34" ht="15.75" customHeight="1">
      <c r="A7" s="531"/>
      <c r="B7" s="90" t="s">
        <v>55</v>
      </c>
      <c r="C7" s="103">
        <f>APRIL!B39</f>
        <v>0</v>
      </c>
      <c r="D7" s="103">
        <f>APRIL!C39</f>
        <v>0</v>
      </c>
      <c r="E7" s="103">
        <f>APRIL!D39</f>
        <v>0</v>
      </c>
      <c r="F7" s="103">
        <f>APRIL!E39</f>
        <v>0</v>
      </c>
      <c r="G7" s="103">
        <f>APRIL!F39</f>
        <v>0</v>
      </c>
      <c r="H7" s="103">
        <f>APRIL!G39</f>
        <v>0</v>
      </c>
      <c r="I7" s="103">
        <f>APRIL!H39</f>
        <v>0</v>
      </c>
      <c r="J7" s="103">
        <f>APRIL!I39</f>
        <v>83.773042122522924</v>
      </c>
      <c r="K7" s="103">
        <f>APRIL!J39</f>
        <v>313.0764639377598</v>
      </c>
      <c r="L7" s="104">
        <f>APRIL!K39</f>
        <v>2.9285905202229756</v>
      </c>
      <c r="M7" s="103">
        <f>APRIL!L39</f>
        <v>0</v>
      </c>
      <c r="N7" s="103">
        <f>APRIL!M39</f>
        <v>0</v>
      </c>
      <c r="O7" s="103">
        <f>APRIL!N39</f>
        <v>0</v>
      </c>
      <c r="P7" s="103">
        <f>APRIL!O39</f>
        <v>0</v>
      </c>
      <c r="Q7" s="103">
        <f>APRIL!P39</f>
        <v>0</v>
      </c>
      <c r="R7" s="103">
        <f>APRIL!Q39</f>
        <v>0</v>
      </c>
      <c r="S7" s="103">
        <f>APRIL!R39</f>
        <v>0</v>
      </c>
      <c r="T7" s="103">
        <f>APRIL!S39</f>
        <v>0</v>
      </c>
      <c r="U7" s="103">
        <f>APRIL!T39</f>
        <v>0</v>
      </c>
      <c r="V7" s="103">
        <f>APRIL!U39</f>
        <v>0</v>
      </c>
      <c r="W7" s="103">
        <f>APRIL!V39</f>
        <v>303.07058227062214</v>
      </c>
      <c r="X7" s="103">
        <f>APRIL!W39</f>
        <v>0</v>
      </c>
      <c r="Y7" s="103">
        <f>APRIL!X39</f>
        <v>0</v>
      </c>
      <c r="Z7" s="103">
        <f>APRIL!Y39</f>
        <v>0</v>
      </c>
      <c r="AA7" s="103">
        <f>APRIL!Z39</f>
        <v>0</v>
      </c>
      <c r="AB7" s="103">
        <f>APRIL!AA39</f>
        <v>0</v>
      </c>
      <c r="AC7" s="105">
        <f>APRIL!AB39</f>
        <v>0</v>
      </c>
      <c r="AD7" s="105">
        <f>APRIL!AC39</f>
        <v>0</v>
      </c>
      <c r="AE7" s="99">
        <f>APRIL!AD40</f>
        <v>0</v>
      </c>
      <c r="AF7" s="99">
        <f>APRIL!AE40</f>
        <v>0</v>
      </c>
      <c r="AG7" s="99">
        <f>APRIL!AF40</f>
        <v>0</v>
      </c>
      <c r="AH7" s="91">
        <f>APRIL!AG40</f>
        <v>0.5</v>
      </c>
    </row>
    <row r="8" spans="1:34" ht="15.75" customHeight="1">
      <c r="A8" s="531"/>
      <c r="B8" s="90" t="s">
        <v>56</v>
      </c>
      <c r="C8" s="103">
        <f>MAY!B39</f>
        <v>0</v>
      </c>
      <c r="D8" s="103">
        <f>MAY!C39</f>
        <v>0</v>
      </c>
      <c r="E8" s="103">
        <f>MAY!D39</f>
        <v>0</v>
      </c>
      <c r="F8" s="103">
        <f>MAY!E39</f>
        <v>0</v>
      </c>
      <c r="G8" s="103">
        <f>MAY!F39</f>
        <v>0</v>
      </c>
      <c r="H8" s="103">
        <f>MAY!G39</f>
        <v>0</v>
      </c>
      <c r="I8" s="103">
        <f>MAY!H39</f>
        <v>0</v>
      </c>
      <c r="J8" s="103">
        <f>MAY!I39</f>
        <v>8787.6916610876742</v>
      </c>
      <c r="K8" s="103">
        <f>MAY!J39</f>
        <v>23557.475732004656</v>
      </c>
      <c r="L8" s="104">
        <f>MAY!K39</f>
        <v>330.0416077777744</v>
      </c>
      <c r="M8" s="103">
        <f>MAY!L39</f>
        <v>0</v>
      </c>
      <c r="N8" s="103">
        <f>MAY!M39</f>
        <v>0</v>
      </c>
      <c r="O8" s="103">
        <f>MAY!N39</f>
        <v>0</v>
      </c>
      <c r="P8" s="103">
        <f>MAY!O39</f>
        <v>0</v>
      </c>
      <c r="Q8" s="103">
        <f>MAY!P39</f>
        <v>0</v>
      </c>
      <c r="R8" s="103">
        <f>MAY!Q39</f>
        <v>0</v>
      </c>
      <c r="S8" s="103">
        <f>MAY!R39</f>
        <v>0</v>
      </c>
      <c r="T8" s="103">
        <f>MAY!S39</f>
        <v>0</v>
      </c>
      <c r="U8" s="103">
        <f>MAY!T39</f>
        <v>0</v>
      </c>
      <c r="V8" s="103">
        <f>MAY!U39</f>
        <v>8118.5243720114149</v>
      </c>
      <c r="W8" s="103">
        <f>MAY!V39</f>
        <v>0</v>
      </c>
      <c r="X8" s="103">
        <f>MAY!W39</f>
        <v>825.78389975229913</v>
      </c>
      <c r="Y8" s="103">
        <f>MAY!X39</f>
        <v>0</v>
      </c>
      <c r="Z8" s="103">
        <f>MAY!Y39</f>
        <v>6011.2796154181178</v>
      </c>
      <c r="AA8" s="103">
        <f>MAY!Z39</f>
        <v>0</v>
      </c>
      <c r="AB8" s="103">
        <f>MAY!AA39</f>
        <v>0</v>
      </c>
      <c r="AC8" s="105">
        <f>MAY!AB39</f>
        <v>0</v>
      </c>
      <c r="AD8" s="105">
        <f>MAY!AC39</f>
        <v>0</v>
      </c>
      <c r="AE8" s="99">
        <f>MAY!AD40</f>
        <v>294.33877994633394</v>
      </c>
      <c r="AF8" s="99">
        <f>MAY!AE40</f>
        <v>291.05783376612965</v>
      </c>
      <c r="AG8" s="99">
        <f>MAY!AF40</f>
        <v>0</v>
      </c>
      <c r="AH8" s="91">
        <f>MAY!AG40</f>
        <v>1</v>
      </c>
    </row>
    <row r="9" spans="1:34" ht="15.75" customHeight="1">
      <c r="A9" s="531"/>
      <c r="B9" s="90" t="s">
        <v>57</v>
      </c>
      <c r="C9" s="103">
        <f>JUNE!B39</f>
        <v>0</v>
      </c>
      <c r="D9" s="103">
        <f>JUNE!C39</f>
        <v>0</v>
      </c>
      <c r="E9" s="103">
        <f>JUNE!D39</f>
        <v>0</v>
      </c>
      <c r="F9" s="103">
        <f>JUNE!E39</f>
        <v>0</v>
      </c>
      <c r="G9" s="103">
        <f>JUNE!F39</f>
        <v>0</v>
      </c>
      <c r="H9" s="103">
        <f>JUNE!G39</f>
        <v>0</v>
      </c>
      <c r="I9" s="103">
        <f>JUNE!H39</f>
        <v>0</v>
      </c>
      <c r="J9" s="103">
        <f>JUNE!I39</f>
        <v>19186.003209908809</v>
      </c>
      <c r="K9" s="103">
        <f>JUNE!J39</f>
        <v>51053.222556412271</v>
      </c>
      <c r="L9" s="104">
        <f>JUNE!K39</f>
        <v>686.55815010567528</v>
      </c>
      <c r="M9" s="103">
        <f>JUNE!L39</f>
        <v>0</v>
      </c>
      <c r="N9" s="103">
        <f>JUNE!M39</f>
        <v>0</v>
      </c>
      <c r="O9" s="103">
        <f>JUNE!N39</f>
        <v>0</v>
      </c>
      <c r="P9" s="103">
        <f>JUNE!O39</f>
        <v>0</v>
      </c>
      <c r="Q9" s="103">
        <f>JUNE!P39</f>
        <v>0</v>
      </c>
      <c r="R9" s="103">
        <f>JUNE!Q39</f>
        <v>0</v>
      </c>
      <c r="S9" s="103">
        <f>JUNE!R39</f>
        <v>0</v>
      </c>
      <c r="T9" s="103">
        <f>JUNE!S39</f>
        <v>0</v>
      </c>
      <c r="U9" s="103">
        <f>JUNE!T39</f>
        <v>0</v>
      </c>
      <c r="V9" s="103">
        <f>JUNE!U39</f>
        <v>16699.045866436485</v>
      </c>
      <c r="W9" s="103">
        <f>JUNE!V39</f>
        <v>0</v>
      </c>
      <c r="X9" s="103">
        <f>JUNE!W39</f>
        <v>1739.6356156527991</v>
      </c>
      <c r="Y9" s="103">
        <f>JUNE!X39</f>
        <v>0</v>
      </c>
      <c r="Z9" s="103">
        <f>JUNE!Y39</f>
        <v>17578.666707253466</v>
      </c>
      <c r="AA9" s="103">
        <f>JUNE!Z39</f>
        <v>0</v>
      </c>
      <c r="AB9" s="103">
        <f>JUNE!AA39</f>
        <v>0</v>
      </c>
      <c r="AC9" s="105">
        <f>JUNE!AB39</f>
        <v>0</v>
      </c>
      <c r="AD9" s="105">
        <f>JUNE!AC39</f>
        <v>0</v>
      </c>
      <c r="AE9" s="99">
        <f>JUNE!AD40</f>
        <v>670.05057388212936</v>
      </c>
      <c r="AF9" s="99">
        <f>JUNE!AE40</f>
        <v>659.41706724454741</v>
      </c>
      <c r="AG9" s="99">
        <f>JUNE!AF40</f>
        <v>0</v>
      </c>
      <c r="AH9" s="91">
        <f>JUNE!AG40</f>
        <v>1</v>
      </c>
    </row>
    <row r="10" spans="1:34" ht="15.75" customHeight="1">
      <c r="A10" s="531"/>
      <c r="B10" s="90" t="s">
        <v>58</v>
      </c>
      <c r="C10" s="103">
        <f>JULY!B39</f>
        <v>0</v>
      </c>
      <c r="D10" s="103">
        <f>JULY!C39</f>
        <v>1707.1634788672104</v>
      </c>
      <c r="E10" s="103">
        <f>JULY!D39</f>
        <v>22669.362663118038</v>
      </c>
      <c r="F10" s="103">
        <f>JULY!E39</f>
        <v>297.06276819457611</v>
      </c>
      <c r="G10" s="103">
        <f>JULY!F39</f>
        <v>0</v>
      </c>
      <c r="H10" s="103">
        <f>JULY!G39</f>
        <v>104634.43515548707</v>
      </c>
      <c r="I10" s="103">
        <f>JULY!H39</f>
        <v>614.88477915724127</v>
      </c>
      <c r="J10" s="103">
        <f>JULY!I39</f>
        <v>18574.314251915603</v>
      </c>
      <c r="K10" s="103">
        <f>JULY!J39</f>
        <v>38877.255737082152</v>
      </c>
      <c r="L10" s="104">
        <f>JULY!K39</f>
        <v>758.10886627634318</v>
      </c>
      <c r="M10" s="103">
        <f>JULY!L39</f>
        <v>0</v>
      </c>
      <c r="N10" s="103">
        <f>JULY!M39</f>
        <v>0</v>
      </c>
      <c r="O10" s="103">
        <f>JULY!N39</f>
        <v>0</v>
      </c>
      <c r="P10" s="103">
        <f>JULY!O39</f>
        <v>0</v>
      </c>
      <c r="Q10" s="103">
        <f>JULY!P39</f>
        <v>0</v>
      </c>
      <c r="R10" s="103">
        <f>JULY!Q39</f>
        <v>0</v>
      </c>
      <c r="S10" s="103">
        <f>JULY!R39</f>
        <v>0</v>
      </c>
      <c r="T10" s="103">
        <f>JULY!S39</f>
        <v>0</v>
      </c>
      <c r="U10" s="103">
        <f>JULY!T39</f>
        <v>0</v>
      </c>
      <c r="V10" s="103">
        <f>JULY!U39</f>
        <v>15717.794784707514</v>
      </c>
      <c r="W10" s="103">
        <f>JULY!V39</f>
        <v>2204.3151689715028</v>
      </c>
      <c r="X10" s="103">
        <f>JULY!W39</f>
        <v>1398.4627663841259</v>
      </c>
      <c r="Y10" s="103">
        <f>JULY!X39</f>
        <v>195.56838347311728</v>
      </c>
      <c r="Z10" s="103">
        <f>JULY!Y39</f>
        <v>14923.231183804915</v>
      </c>
      <c r="AA10" s="103">
        <f>JULY!Z39</f>
        <v>2157.515623674944</v>
      </c>
      <c r="AB10" s="103">
        <f>JULY!AA39</f>
        <v>0</v>
      </c>
      <c r="AC10" s="105">
        <f>JULY!AB39</f>
        <v>0</v>
      </c>
      <c r="AD10" s="105">
        <f>JULY!AC39</f>
        <v>0</v>
      </c>
      <c r="AE10" s="99">
        <f>JULY!AD40</f>
        <v>697.72728563050407</v>
      </c>
      <c r="AF10" s="99">
        <f>JULY!AE40</f>
        <v>604.147445653207</v>
      </c>
      <c r="AG10" s="99">
        <f>JULY!AF40</f>
        <v>82.777403582551599</v>
      </c>
      <c r="AH10" s="91">
        <f>JULY!AG40</f>
        <v>0.87949569203291156</v>
      </c>
    </row>
    <row r="11" spans="1:34" ht="15.75" customHeight="1">
      <c r="A11" s="531"/>
      <c r="B11" s="90" t="s">
        <v>59</v>
      </c>
      <c r="C11" s="103">
        <f>AUGUST!B39</f>
        <v>0</v>
      </c>
      <c r="D11" s="103">
        <f>AUGUST!C39</f>
        <v>3989.6138995289784</v>
      </c>
      <c r="E11" s="103">
        <f>AUGUST!D39</f>
        <v>47817.651614944116</v>
      </c>
      <c r="F11" s="103">
        <f>AUGUST!E39</f>
        <v>439.77052163581146</v>
      </c>
      <c r="G11" s="103">
        <f>AUGUST!F39</f>
        <v>0</v>
      </c>
      <c r="H11" s="103">
        <f>AUGUST!G39</f>
        <v>138040.0369677227</v>
      </c>
      <c r="I11" s="103">
        <f>AUGUST!H39</f>
        <v>1092.1339846869328</v>
      </c>
      <c r="J11" s="103">
        <f>AUGUST!I39</f>
        <v>24188.098259957638</v>
      </c>
      <c r="K11" s="103">
        <f>AUGUST!J39</f>
        <v>53540.723302201448</v>
      </c>
      <c r="L11" s="104">
        <f>AUGUST!K39</f>
        <v>847.96613510946167</v>
      </c>
      <c r="M11" s="103">
        <f>AUGUST!L39</f>
        <v>0.37426203489302723</v>
      </c>
      <c r="N11" s="103">
        <f>AUGUST!M39</f>
        <v>0</v>
      </c>
      <c r="O11" s="103">
        <f>AUGUST!N39</f>
        <v>0</v>
      </c>
      <c r="P11" s="103">
        <f>AUGUST!O39</f>
        <v>0</v>
      </c>
      <c r="Q11" s="103">
        <f>AUGUST!P39</f>
        <v>0</v>
      </c>
      <c r="R11" s="103">
        <f>AUGUST!Q39</f>
        <v>0</v>
      </c>
      <c r="S11" s="103">
        <f>AUGUST!R39</f>
        <v>0</v>
      </c>
      <c r="T11" s="103">
        <f>AUGUST!S39</f>
        <v>0</v>
      </c>
      <c r="U11" s="103">
        <f>AUGUST!T39</f>
        <v>0</v>
      </c>
      <c r="V11" s="103">
        <f>AUGUST!U39</f>
        <v>15964.64214447475</v>
      </c>
      <c r="W11" s="103">
        <f>AUGUST!V39</f>
        <v>3713.5567099292703</v>
      </c>
      <c r="X11" s="103">
        <f>AUGUST!W39</f>
        <v>1375.3943974935846</v>
      </c>
      <c r="Y11" s="103">
        <f>AUGUST!X39</f>
        <v>319.65557249746496</v>
      </c>
      <c r="Z11" s="103">
        <f>AUGUST!Y39</f>
        <v>13693.711298682563</v>
      </c>
      <c r="AA11" s="103">
        <f>AUGUST!Z39</f>
        <v>3192.6953912315348</v>
      </c>
      <c r="AB11" s="103">
        <f>AUGUST!AA39</f>
        <v>0</v>
      </c>
      <c r="AC11" s="105">
        <f>AUGUST!AB39</f>
        <v>0</v>
      </c>
      <c r="AD11" s="105">
        <f>AUGUST!AC39</f>
        <v>0</v>
      </c>
      <c r="AE11" s="99">
        <f>AUGUST!AD40</f>
        <v>735.76167713569214</v>
      </c>
      <c r="AF11" s="99">
        <f>AUGUST!AE40</f>
        <v>587.37384484938593</v>
      </c>
      <c r="AG11" s="99">
        <f>AUGUST!AF40</f>
        <v>136.56027361652403</v>
      </c>
      <c r="AH11" s="91">
        <f>AUGUST!AG40</f>
        <v>0.81136367228290174</v>
      </c>
    </row>
    <row r="12" spans="1:34" ht="15.75" customHeight="1">
      <c r="A12" s="531"/>
      <c r="B12" s="90" t="s">
        <v>60</v>
      </c>
      <c r="C12" s="103">
        <f>SEPTEMBER!B39</f>
        <v>0</v>
      </c>
      <c r="D12" s="103">
        <f>SEPTEMBER!C39</f>
        <v>3742.6068500002243</v>
      </c>
      <c r="E12" s="103">
        <f>SEPTEMBER!D39</f>
        <v>41862.113697946093</v>
      </c>
      <c r="F12" s="103">
        <f>SEPTEMBER!E39</f>
        <v>368.37862503926021</v>
      </c>
      <c r="G12" s="103">
        <f>SEPTEMBER!F39</f>
        <v>0</v>
      </c>
      <c r="H12" s="103">
        <f>SEPTEMBER!G39</f>
        <v>116144.54864323931</v>
      </c>
      <c r="I12" s="103">
        <f>SEPTEMBER!H39</f>
        <v>873.87474720776208</v>
      </c>
      <c r="J12" s="103">
        <f>SEPTEMBER!I39</f>
        <v>18126.959832251079</v>
      </c>
      <c r="K12" s="103">
        <f>SEPTEMBER!J39</f>
        <v>41452.215621248855</v>
      </c>
      <c r="L12" s="104">
        <f>SEPTEMBER!K39</f>
        <v>756.22326984604138</v>
      </c>
      <c r="M12" s="103">
        <f>SEPTEMBER!L39</f>
        <v>0</v>
      </c>
      <c r="N12" s="103">
        <f>SEPTEMBER!M39</f>
        <v>0</v>
      </c>
      <c r="O12" s="103">
        <f>SEPTEMBER!N39</f>
        <v>0</v>
      </c>
      <c r="P12" s="103">
        <f>SEPTEMBER!O39</f>
        <v>0</v>
      </c>
      <c r="Q12" s="103">
        <f>SEPTEMBER!P39</f>
        <v>0</v>
      </c>
      <c r="R12" s="103">
        <f>SEPTEMBER!Q39</f>
        <v>0</v>
      </c>
      <c r="S12" s="103">
        <f>SEPTEMBER!R39</f>
        <v>0</v>
      </c>
      <c r="T12" s="103">
        <f>SEPTEMBER!S39</f>
        <v>0</v>
      </c>
      <c r="U12" s="103">
        <f>SEPTEMBER!T39</f>
        <v>0</v>
      </c>
      <c r="V12" s="103">
        <f>SEPTEMBER!U39</f>
        <v>13751.147914638805</v>
      </c>
      <c r="W12" s="103">
        <f>SEPTEMBER!V39</f>
        <v>3060.0414455559312</v>
      </c>
      <c r="X12" s="103">
        <f>SEPTEMBER!W39</f>
        <v>1226.8768248320846</v>
      </c>
      <c r="Y12" s="103">
        <f>SEPTEMBER!X39</f>
        <v>273.76239124226305</v>
      </c>
      <c r="Z12" s="103">
        <f>SEPTEMBER!Y39</f>
        <v>10703.203416742261</v>
      </c>
      <c r="AA12" s="103">
        <f>SEPTEMBER!Z39</f>
        <v>2339.9012721485155</v>
      </c>
      <c r="AB12" s="103">
        <f>SEPTEMBER!AA39</f>
        <v>0</v>
      </c>
      <c r="AC12" s="105">
        <f>SEPTEMBER!AB39</f>
        <v>0</v>
      </c>
      <c r="AD12" s="105">
        <f>SEPTEMBER!AC39</f>
        <v>0</v>
      </c>
      <c r="AE12" s="99">
        <f>SEPTEMBER!AD40</f>
        <v>624.66999315222097</v>
      </c>
      <c r="AF12" s="99">
        <f>SEPTEMBER!AE40</f>
        <v>502.29999602619239</v>
      </c>
      <c r="AG12" s="99">
        <f>SEPTEMBER!AF40</f>
        <v>112.04271093719788</v>
      </c>
      <c r="AH12" s="91">
        <f>SEPTEMBER!AG40</f>
        <v>0.81762180999753498</v>
      </c>
    </row>
    <row r="13" spans="1:34" ht="15.75" customHeight="1">
      <c r="A13" s="531"/>
      <c r="B13" s="90" t="s">
        <v>61</v>
      </c>
      <c r="C13" s="103">
        <f>OCTOBER!B39</f>
        <v>0</v>
      </c>
      <c r="D13" s="103">
        <f>OCTOBER!C39</f>
        <v>3837.4164100130424</v>
      </c>
      <c r="E13" s="103">
        <f>OCTOBER!D39</f>
        <v>37728.882915494833</v>
      </c>
      <c r="F13" s="103">
        <f>OCTOBER!E39</f>
        <v>353.88130971590704</v>
      </c>
      <c r="G13" s="103">
        <f>OCTOBER!F39</f>
        <v>5.4733580827713029</v>
      </c>
      <c r="H13" s="103">
        <f>OCTOBER!G39</f>
        <v>101156.7927974702</v>
      </c>
      <c r="I13" s="103">
        <f>OCTOBER!H39</f>
        <v>859.86328043639787</v>
      </c>
      <c r="J13" s="103">
        <f>OCTOBER!I39</f>
        <v>9896.2194736639667</v>
      </c>
      <c r="K13" s="103">
        <f>OCTOBER!J39</f>
        <v>20795.373439772917</v>
      </c>
      <c r="L13" s="104">
        <f>OCTOBER!K39</f>
        <v>418.43015963137145</v>
      </c>
      <c r="M13" s="103">
        <f>OCTOBER!L39</f>
        <v>0</v>
      </c>
      <c r="N13" s="103">
        <f>OCTOBER!M39</f>
        <v>672.5541216403243</v>
      </c>
      <c r="O13" s="103">
        <f>OCTOBER!N39</f>
        <v>3.6298819864789649</v>
      </c>
      <c r="P13" s="103">
        <f>OCTOBER!O39</f>
        <v>0</v>
      </c>
      <c r="Q13" s="103">
        <f>OCTOBER!P39</f>
        <v>0</v>
      </c>
      <c r="R13" s="103">
        <f>OCTOBER!Q39</f>
        <v>0</v>
      </c>
      <c r="S13" s="103">
        <f>OCTOBER!R39</f>
        <v>0</v>
      </c>
      <c r="T13" s="103">
        <f>OCTOBER!S39</f>
        <v>0</v>
      </c>
      <c r="U13" s="103">
        <f>OCTOBER!T39</f>
        <v>0</v>
      </c>
      <c r="V13" s="103">
        <f>OCTOBER!U39</f>
        <v>8055.9200396963424</v>
      </c>
      <c r="W13" s="103">
        <f>OCTOBER!V39</f>
        <v>3201.1057008079292</v>
      </c>
      <c r="X13" s="103">
        <f>OCTOBER!W39</f>
        <v>692.39009614481085</v>
      </c>
      <c r="Y13" s="103">
        <f>OCTOBER!X39</f>
        <v>275.73503636823597</v>
      </c>
      <c r="Z13" s="103">
        <f>OCTOBER!Y39</f>
        <v>4946.5108631494795</v>
      </c>
      <c r="AA13" s="103">
        <f>OCTOBER!Z39</f>
        <v>1619.876023097517</v>
      </c>
      <c r="AB13" s="103">
        <f>OCTOBER!AA39</f>
        <v>0</v>
      </c>
      <c r="AC13" s="105">
        <f>OCTOBER!AB39</f>
        <v>30.172602107789846</v>
      </c>
      <c r="AD13" s="105">
        <f>OCTOBER!AC39</f>
        <v>0</v>
      </c>
      <c r="AE13" s="99">
        <f>OCTOBER!AD40</f>
        <v>390.51578976677513</v>
      </c>
      <c r="AF13" s="99">
        <f>OCTOBER!AE40</f>
        <v>275.30496366007628</v>
      </c>
      <c r="AG13" s="99">
        <f>OCTOBER!AF40</f>
        <v>108.6245748938115</v>
      </c>
      <c r="AH13" s="91">
        <f>OCTOBER!AG40</f>
        <v>0.71707158739867294</v>
      </c>
    </row>
    <row r="14" spans="1:34" ht="15.75" customHeight="1">
      <c r="A14" s="531"/>
      <c r="B14" s="90" t="s">
        <v>62</v>
      </c>
      <c r="C14" s="103">
        <f>NOVEMBER!B39</f>
        <v>0</v>
      </c>
      <c r="D14" s="103">
        <f>NOVEMBER!C39</f>
        <v>4965.6120992024644</v>
      </c>
      <c r="E14" s="103">
        <f>NOVEMBER!D39</f>
        <v>43680.743600751957</v>
      </c>
      <c r="F14" s="103">
        <f>NOVEMBER!E39</f>
        <v>405.028661809862</v>
      </c>
      <c r="G14" s="103">
        <f>NOVEMBER!F39</f>
        <v>0</v>
      </c>
      <c r="H14" s="103">
        <f>NOVEMBER!G39</f>
        <v>100110.16705869036</v>
      </c>
      <c r="I14" s="103">
        <f>NOVEMBER!H39</f>
        <v>1006.9637416263436</v>
      </c>
      <c r="J14" s="103">
        <f>NOVEMBER!I39</f>
        <v>8107.2147394140529</v>
      </c>
      <c r="K14" s="103">
        <f>NOVEMBER!J39</f>
        <v>17490.147485812511</v>
      </c>
      <c r="L14" s="104">
        <f>NOVEMBER!K39</f>
        <v>381.428292440375</v>
      </c>
      <c r="M14" s="103">
        <f>NOVEMBER!L39</f>
        <v>0.16395552158355631</v>
      </c>
      <c r="N14" s="103">
        <f>NOVEMBER!M39</f>
        <v>0</v>
      </c>
      <c r="O14" s="103">
        <f>NOVEMBER!N39</f>
        <v>0</v>
      </c>
      <c r="P14" s="103">
        <f>NOVEMBER!O39</f>
        <v>0</v>
      </c>
      <c r="Q14" s="103">
        <f>NOVEMBER!P39</f>
        <v>0</v>
      </c>
      <c r="R14" s="103">
        <f>NOVEMBER!Q39</f>
        <v>0</v>
      </c>
      <c r="S14" s="103">
        <f>NOVEMBER!R39</f>
        <v>0</v>
      </c>
      <c r="T14" s="103">
        <f>NOVEMBER!S39</f>
        <v>0</v>
      </c>
      <c r="U14" s="103">
        <f>NOVEMBER!T39</f>
        <v>0</v>
      </c>
      <c r="V14" s="103">
        <f>NOVEMBER!U39</f>
        <v>7558.7359717502823</v>
      </c>
      <c r="W14" s="103">
        <f>NOVEMBER!V39</f>
        <v>3869.1666105189547</v>
      </c>
      <c r="X14" s="103">
        <f>NOVEMBER!W39</f>
        <v>600.10097524696675</v>
      </c>
      <c r="Y14" s="103">
        <f>NOVEMBER!X39</f>
        <v>307.2868892433836</v>
      </c>
      <c r="Z14" s="103">
        <f>NOVEMBER!Y39</f>
        <v>2750.1082181175725</v>
      </c>
      <c r="AA14" s="103">
        <f>NOVEMBER!Z39</f>
        <v>1409.5783637324791</v>
      </c>
      <c r="AB14" s="103">
        <f>NOVEMBER!AA39</f>
        <v>0</v>
      </c>
      <c r="AC14" s="105">
        <f>NOVEMBER!AB39</f>
        <v>0</v>
      </c>
      <c r="AD14" s="105">
        <f>NOVEMBER!AC39</f>
        <v>0</v>
      </c>
      <c r="AE14" s="99">
        <f>NOVEMBER!AD40</f>
        <v>380.94833567291499</v>
      </c>
      <c r="AF14" s="99">
        <f>NOVEMBER!AE40</f>
        <v>247.89204054368099</v>
      </c>
      <c r="AG14" s="99">
        <f>NOVEMBER!AF40</f>
        <v>126.94659719501722</v>
      </c>
      <c r="AH14" s="91">
        <f>NOVEMBER!AG40</f>
        <v>0.66133001133273706</v>
      </c>
    </row>
    <row r="15" spans="1:34" ht="15.75" customHeight="1">
      <c r="A15" s="532"/>
      <c r="B15" s="92" t="s">
        <v>63</v>
      </c>
      <c r="C15" s="106">
        <f>DECEMBER!B39</f>
        <v>0</v>
      </c>
      <c r="D15" s="106">
        <f>DECEMBER!C39</f>
        <v>4845.8312856991997</v>
      </c>
      <c r="E15" s="106">
        <f>DECEMBER!D39</f>
        <v>41537.468500645933</v>
      </c>
      <c r="F15" s="106">
        <f>DECEMBER!E39</f>
        <v>398.38220223784435</v>
      </c>
      <c r="G15" s="106">
        <f>DECEMBER!F39</f>
        <v>0</v>
      </c>
      <c r="H15" s="106">
        <f>DECEMBER!G39</f>
        <v>95486.917894108978</v>
      </c>
      <c r="I15" s="106">
        <f>DECEMBER!H39</f>
        <v>1417.3584192842259</v>
      </c>
      <c r="J15" s="106">
        <f>DECEMBER!I39</f>
        <v>6499.1690125505102</v>
      </c>
      <c r="K15" s="106">
        <f>DECEMBER!J39</f>
        <v>16281.672179841993</v>
      </c>
      <c r="L15" s="107">
        <f>DECEMBER!K39</f>
        <v>420.41315991828861</v>
      </c>
      <c r="M15" s="106">
        <f>DECEMBER!L39</f>
        <v>131.10993492960944</v>
      </c>
      <c r="N15" s="106">
        <f>DECEMBER!M39</f>
        <v>0</v>
      </c>
      <c r="O15" s="106">
        <f>DECEMBER!N39</f>
        <v>0</v>
      </c>
      <c r="P15" s="106">
        <f>DECEMBER!O39</f>
        <v>0</v>
      </c>
      <c r="Q15" s="106">
        <f>DECEMBER!P39</f>
        <v>0</v>
      </c>
      <c r="R15" s="106">
        <f>DECEMBER!Q39</f>
        <v>0</v>
      </c>
      <c r="S15" s="106">
        <f>DECEMBER!R39</f>
        <v>0</v>
      </c>
      <c r="T15" s="106">
        <f>DECEMBER!S39</f>
        <v>0</v>
      </c>
      <c r="U15" s="106">
        <f>DECEMBER!T39</f>
        <v>0</v>
      </c>
      <c r="V15" s="106">
        <f>DECEMBER!U39</f>
        <v>7665.78746327514</v>
      </c>
      <c r="W15" s="106">
        <f>DECEMBER!V39</f>
        <v>3528.5895529512923</v>
      </c>
      <c r="X15" s="106">
        <f>DECEMBER!W39</f>
        <v>655.36409286206992</v>
      </c>
      <c r="Y15" s="106">
        <f>DECEMBER!X39</f>
        <v>302.14695585622326</v>
      </c>
      <c r="Z15" s="106">
        <f>DECEMBER!Y39</f>
        <v>2561.6259470008295</v>
      </c>
      <c r="AA15" s="106">
        <f>DECEMBER!Z39</f>
        <v>1173.5207501786476</v>
      </c>
      <c r="AB15" s="106">
        <f>DECEMBER!AA39</f>
        <v>0</v>
      </c>
      <c r="AC15" s="108">
        <f>DECEMBER!AB39</f>
        <v>0</v>
      </c>
      <c r="AD15" s="108">
        <f>DECEMBER!AC39</f>
        <v>0</v>
      </c>
      <c r="AE15" s="100">
        <f>DECEMBER!AD40</f>
        <v>396.56536710593423</v>
      </c>
      <c r="AF15" s="100">
        <f>DECEMBER!AE40</f>
        <v>267.51357360880837</v>
      </c>
      <c r="AG15" s="100">
        <f>DECEMBER!AF40</f>
        <v>123.29488115319198</v>
      </c>
      <c r="AH15" s="93">
        <f>DECEMBER!AG40</f>
        <v>0.68451327075746682</v>
      </c>
    </row>
    <row r="16" spans="1:34" ht="15.75" customHeight="1">
      <c r="A16" s="535" t="s">
        <v>159</v>
      </c>
      <c r="B16" s="536"/>
      <c r="C16" s="142" t="s">
        <v>100</v>
      </c>
      <c r="D16" s="142" t="s">
        <v>100</v>
      </c>
      <c r="E16" s="142" t="s">
        <v>100</v>
      </c>
      <c r="F16" s="142" t="s">
        <v>100</v>
      </c>
      <c r="G16" s="142" t="s">
        <v>100</v>
      </c>
      <c r="H16" s="142" t="s">
        <v>101</v>
      </c>
      <c r="I16" s="142" t="s">
        <v>100</v>
      </c>
      <c r="J16" s="142" t="s">
        <v>100</v>
      </c>
      <c r="K16" s="142" t="s">
        <v>100</v>
      </c>
      <c r="L16" s="144" t="s">
        <v>100</v>
      </c>
      <c r="M16" s="144" t="s">
        <v>100</v>
      </c>
      <c r="N16" s="144" t="s">
        <v>100</v>
      </c>
      <c r="O16" s="144" t="s">
        <v>100</v>
      </c>
      <c r="P16" s="144" t="s">
        <v>100</v>
      </c>
      <c r="Q16" s="144" t="s">
        <v>100</v>
      </c>
      <c r="R16" s="144" t="s">
        <v>100</v>
      </c>
      <c r="S16" s="144" t="s">
        <v>100</v>
      </c>
      <c r="T16" s="144" t="s">
        <v>100</v>
      </c>
      <c r="U16" s="144" t="s">
        <v>100</v>
      </c>
      <c r="V16" s="142" t="s">
        <v>101</v>
      </c>
      <c r="W16" s="142" t="s">
        <v>101</v>
      </c>
      <c r="X16" s="144" t="s">
        <v>100</v>
      </c>
      <c r="Y16" s="144" t="s">
        <v>100</v>
      </c>
      <c r="Z16" s="144" t="s">
        <v>100</v>
      </c>
      <c r="AA16" s="144" t="s">
        <v>100</v>
      </c>
      <c r="AB16" s="144" t="s">
        <v>100</v>
      </c>
      <c r="AC16" s="142" t="s">
        <v>101</v>
      </c>
      <c r="AD16" s="173" t="s">
        <v>100</v>
      </c>
      <c r="AE16" s="239" t="s">
        <v>28</v>
      </c>
      <c r="AF16" s="239" t="s">
        <v>28</v>
      </c>
      <c r="AG16" s="239" t="s">
        <v>28</v>
      </c>
      <c r="AH16" s="240" t="s">
        <v>34</v>
      </c>
    </row>
    <row r="17" spans="1:34" ht="15.75" customHeight="1" thickBot="1">
      <c r="A17" s="94" t="s">
        <v>65</v>
      </c>
      <c r="B17" s="95" t="s">
        <v>64</v>
      </c>
      <c r="C17" s="109">
        <f>SUM(C4:C15)</f>
        <v>0</v>
      </c>
      <c r="D17" s="109">
        <f t="shared" ref="D17:AG17" si="0">SUM(D4:D15)</f>
        <v>23088.244023311119</v>
      </c>
      <c r="E17" s="109">
        <f t="shared" si="0"/>
        <v>235296.22299290099</v>
      </c>
      <c r="F17" s="109">
        <f t="shared" si="0"/>
        <v>2263.6512360801321</v>
      </c>
      <c r="G17" s="109">
        <f t="shared" si="0"/>
        <v>5.4733580827713029</v>
      </c>
      <c r="H17" s="109">
        <f t="shared" si="0"/>
        <v>655572.89851671853</v>
      </c>
      <c r="I17" s="109">
        <f t="shared" si="0"/>
        <v>5865.0789523989042</v>
      </c>
      <c r="J17" s="109">
        <f t="shared" si="0"/>
        <v>115559.84365097285</v>
      </c>
      <c r="K17" s="109">
        <f t="shared" si="0"/>
        <v>270491.82326653803</v>
      </c>
      <c r="L17" s="109">
        <f t="shared" si="0"/>
        <v>4727.911100514727</v>
      </c>
      <c r="M17" s="109">
        <f t="shared" si="0"/>
        <v>131.64815248608602</v>
      </c>
      <c r="N17" s="109">
        <f t="shared" si="0"/>
        <v>677.65566691656875</v>
      </c>
      <c r="O17" s="109">
        <f t="shared" si="0"/>
        <v>297.68494150489562</v>
      </c>
      <c r="P17" s="109">
        <f t="shared" si="0"/>
        <v>0</v>
      </c>
      <c r="Q17" s="109">
        <f t="shared" si="0"/>
        <v>0</v>
      </c>
      <c r="R17" s="109">
        <f t="shared" si="0"/>
        <v>0</v>
      </c>
      <c r="S17" s="109">
        <f t="shared" si="0"/>
        <v>0</v>
      </c>
      <c r="T17" s="109">
        <f t="shared" si="0"/>
        <v>0</v>
      </c>
      <c r="U17" s="109">
        <f t="shared" si="0"/>
        <v>0</v>
      </c>
      <c r="V17" s="109">
        <f t="shared" si="0"/>
        <v>95560.938091570104</v>
      </c>
      <c r="W17" s="109">
        <f t="shared" si="0"/>
        <v>19879.851215300048</v>
      </c>
      <c r="X17" s="109">
        <f t="shared" si="0"/>
        <v>8755.6560091353294</v>
      </c>
      <c r="Y17" s="109">
        <f t="shared" si="0"/>
        <v>1674.155228680688</v>
      </c>
      <c r="Z17" s="109">
        <f t="shared" si="0"/>
        <v>75072.4743143003</v>
      </c>
      <c r="AA17" s="109">
        <f t="shared" si="0"/>
        <v>11893.087424063639</v>
      </c>
      <c r="AB17" s="109">
        <f t="shared" si="0"/>
        <v>0</v>
      </c>
      <c r="AC17" s="109">
        <f t="shared" si="0"/>
        <v>30.172602107789846</v>
      </c>
      <c r="AD17" s="109">
        <f t="shared" si="0"/>
        <v>0</v>
      </c>
      <c r="AE17" s="96">
        <f t="shared" si="0"/>
        <v>4285.3279804425101</v>
      </c>
      <c r="AF17" s="96">
        <f t="shared" si="0"/>
        <v>3528.0868121383</v>
      </c>
      <c r="AG17" s="96">
        <f t="shared" si="0"/>
        <v>690.24644137829421</v>
      </c>
      <c r="AH17" s="223">
        <f>IF(SUM(AF17:AG17)&gt;0, AF17/(AF17+AG17), "")</f>
        <v>0.83636986461350016</v>
      </c>
    </row>
    <row r="18" spans="1:34" ht="15.75" customHeight="1" thickTop="1">
      <c r="A18" s="530" t="s">
        <v>87</v>
      </c>
      <c r="B18" s="89" t="s">
        <v>52</v>
      </c>
      <c r="C18" s="110">
        <f>JANUARY!B41</f>
        <v>0</v>
      </c>
      <c r="D18" s="110">
        <f>JANUARY!C41</f>
        <v>0</v>
      </c>
      <c r="E18" s="110">
        <f>JANUARY!D41</f>
        <v>0</v>
      </c>
      <c r="F18" s="110">
        <f>JANUARY!E41</f>
        <v>5.433291103343703</v>
      </c>
      <c r="G18" s="110">
        <f>JANUARY!F41</f>
        <v>0</v>
      </c>
      <c r="H18" s="110">
        <f>JANUARY!G41</f>
        <v>0</v>
      </c>
      <c r="I18" s="110">
        <f>JANUARY!H41</f>
        <v>0</v>
      </c>
      <c r="J18" s="110">
        <f>JANUARY!I41</f>
        <v>1923.4050631389584</v>
      </c>
      <c r="K18" s="110">
        <f>JANUARY!J41</f>
        <v>10250.67508362718</v>
      </c>
      <c r="L18" s="111">
        <f>JANUARY!K41</f>
        <v>595.89370406250737</v>
      </c>
      <c r="M18" s="110">
        <f>JANUARY!L41</f>
        <v>0</v>
      </c>
      <c r="N18" s="110">
        <f>JANUARY!M41</f>
        <v>0.2978282132271528</v>
      </c>
      <c r="O18" s="112">
        <f>JANUARY!N41</f>
        <v>17.166934374685162</v>
      </c>
      <c r="P18" s="112">
        <f>JANUARY!O41</f>
        <v>0</v>
      </c>
      <c r="Q18" s="110">
        <f>JANUARY!P41</f>
        <v>0</v>
      </c>
      <c r="R18" s="110">
        <f>JANUARY!Q41</f>
        <v>0</v>
      </c>
      <c r="S18" s="110">
        <f>JANUARY!R41</f>
        <v>0</v>
      </c>
      <c r="T18" s="110">
        <f>JANUARY!S41</f>
        <v>0</v>
      </c>
      <c r="U18" s="110">
        <f>JANUARY!T41</f>
        <v>0</v>
      </c>
      <c r="V18" s="110">
        <f>JANUARY!U41</f>
        <v>603.72851153736394</v>
      </c>
      <c r="W18" s="110">
        <f>JANUARY!V41</f>
        <v>1.6196776272522078E-3</v>
      </c>
      <c r="X18" s="110">
        <f>JANUARY!W41</f>
        <v>277.29032352966078</v>
      </c>
      <c r="Y18" s="110">
        <f>JANUARY!X41</f>
        <v>0</v>
      </c>
      <c r="Z18" s="110">
        <f>JANUARY!Y41</f>
        <v>4157.5157154686167</v>
      </c>
      <c r="AA18" s="110">
        <f>JANUARY!Z41</f>
        <v>0</v>
      </c>
      <c r="AB18" s="110">
        <f>JANUARY!AA41</f>
        <v>0</v>
      </c>
      <c r="AC18" s="113">
        <f>JANUARY!AB41</f>
        <v>0</v>
      </c>
      <c r="AD18" s="113">
        <f>JANUARY!AC41</f>
        <v>0</v>
      </c>
      <c r="AE18" s="123"/>
      <c r="AF18" s="123"/>
      <c r="AG18" s="123"/>
      <c r="AH18" s="124"/>
    </row>
    <row r="19" spans="1:34" ht="15.75" customHeight="1">
      <c r="A19" s="531"/>
      <c r="B19" s="90" t="s">
        <v>53</v>
      </c>
      <c r="C19" s="114">
        <f>FEBRUARY!B41</f>
        <v>0</v>
      </c>
      <c r="D19" s="114">
        <f>FEBRUARY!C41</f>
        <v>0</v>
      </c>
      <c r="E19" s="114">
        <f>FEBRUARY!D41</f>
        <v>0</v>
      </c>
      <c r="F19" s="114">
        <f>FEBRUARY!E41</f>
        <v>0</v>
      </c>
      <c r="G19" s="114">
        <f>FEBRUARY!F41</f>
        <v>0</v>
      </c>
      <c r="H19" s="114">
        <f>FEBRUARY!G41</f>
        <v>0</v>
      </c>
      <c r="I19" s="114">
        <f>FEBRUARY!H41</f>
        <v>0</v>
      </c>
      <c r="J19" s="114">
        <f>FEBRUARY!I41</f>
        <v>0</v>
      </c>
      <c r="K19" s="114">
        <f>FEBRUARY!J41</f>
        <v>0</v>
      </c>
      <c r="L19" s="115">
        <f>FEBRUARY!K41</f>
        <v>0</v>
      </c>
      <c r="M19" s="114">
        <f>FEBRUARY!L41</f>
        <v>0</v>
      </c>
      <c r="N19" s="114">
        <f>FEBRUARY!M41</f>
        <v>0</v>
      </c>
      <c r="O19" s="116">
        <f>FEBRUARY!N41</f>
        <v>0</v>
      </c>
      <c r="P19" s="116">
        <f>FEBRUARY!O41</f>
        <v>0</v>
      </c>
      <c r="Q19" s="114">
        <f>FEBRUARY!P41</f>
        <v>0</v>
      </c>
      <c r="R19" s="114">
        <f>FEBRUARY!Q41</f>
        <v>0</v>
      </c>
      <c r="S19" s="114">
        <f>FEBRUARY!R41</f>
        <v>0</v>
      </c>
      <c r="T19" s="114">
        <f>FEBRUARY!S41</f>
        <v>0</v>
      </c>
      <c r="U19" s="114">
        <f>FEBRUARY!T41</f>
        <v>0</v>
      </c>
      <c r="V19" s="114">
        <f>FEBRUARY!U41</f>
        <v>0</v>
      </c>
      <c r="W19" s="114">
        <f>FEBRUARY!V41</f>
        <v>0</v>
      </c>
      <c r="X19" s="114">
        <f>FEBRUARY!W41</f>
        <v>0</v>
      </c>
      <c r="Y19" s="114">
        <f>FEBRUARY!X41</f>
        <v>0</v>
      </c>
      <c r="Z19" s="114">
        <f>FEBRUARY!Y41</f>
        <v>0</v>
      </c>
      <c r="AA19" s="114">
        <f>FEBRUARY!Z41</f>
        <v>0</v>
      </c>
      <c r="AB19" s="114">
        <f>FEBRUARY!AA41</f>
        <v>0</v>
      </c>
      <c r="AC19" s="117">
        <f>FEBRUARY!AB41</f>
        <v>0</v>
      </c>
      <c r="AD19" s="117">
        <f>FEBRUARY!AC41</f>
        <v>0</v>
      </c>
      <c r="AE19" s="125"/>
      <c r="AF19" s="125"/>
      <c r="AG19" s="125"/>
      <c r="AH19" s="126"/>
    </row>
    <row r="20" spans="1:34" ht="15.75" customHeight="1">
      <c r="A20" s="531"/>
      <c r="B20" s="90" t="s">
        <v>54</v>
      </c>
      <c r="C20" s="114">
        <f>MARCH!B41</f>
        <v>0</v>
      </c>
      <c r="D20" s="114">
        <f>MARCH!C41</f>
        <v>0</v>
      </c>
      <c r="E20" s="114">
        <f>MARCH!D41</f>
        <v>0</v>
      </c>
      <c r="F20" s="114">
        <f>MARCH!E41</f>
        <v>0</v>
      </c>
      <c r="G20" s="114">
        <f>MARCH!F41</f>
        <v>0</v>
      </c>
      <c r="H20" s="114">
        <f>MARCH!G41</f>
        <v>0</v>
      </c>
      <c r="I20" s="114">
        <f>MARCH!H41</f>
        <v>0</v>
      </c>
      <c r="J20" s="114">
        <f>MARCH!I41</f>
        <v>0</v>
      </c>
      <c r="K20" s="114">
        <f>MARCH!J41</f>
        <v>0</v>
      </c>
      <c r="L20" s="115">
        <f>MARCH!K41</f>
        <v>0</v>
      </c>
      <c r="M20" s="114">
        <f>MARCH!L41</f>
        <v>0</v>
      </c>
      <c r="N20" s="114">
        <f>MARCH!M41</f>
        <v>0</v>
      </c>
      <c r="O20" s="116">
        <f>MARCH!N41</f>
        <v>0</v>
      </c>
      <c r="P20" s="116">
        <f>MARCH!O41</f>
        <v>0</v>
      </c>
      <c r="Q20" s="114">
        <f>MARCH!P41</f>
        <v>0</v>
      </c>
      <c r="R20" s="114">
        <f>MARCH!Q41</f>
        <v>0</v>
      </c>
      <c r="S20" s="114">
        <f>MARCH!R41</f>
        <v>0</v>
      </c>
      <c r="T20" s="114">
        <f>MARCH!S41</f>
        <v>0</v>
      </c>
      <c r="U20" s="114">
        <f>MARCH!T41</f>
        <v>0</v>
      </c>
      <c r="V20" s="114">
        <f>MARCH!U41</f>
        <v>0</v>
      </c>
      <c r="W20" s="114">
        <f>MARCH!V41</f>
        <v>0</v>
      </c>
      <c r="X20" s="114">
        <f>MARCH!W41</f>
        <v>0</v>
      </c>
      <c r="Y20" s="114">
        <f>MARCH!X41</f>
        <v>0</v>
      </c>
      <c r="Z20" s="114">
        <f>MARCH!Y41</f>
        <v>0</v>
      </c>
      <c r="AA20" s="114">
        <f>MARCH!Z41</f>
        <v>0</v>
      </c>
      <c r="AB20" s="114">
        <f>MARCH!AA41</f>
        <v>0</v>
      </c>
      <c r="AC20" s="117">
        <f>MARCH!AB41</f>
        <v>0</v>
      </c>
      <c r="AD20" s="117">
        <f>MARCH!AC41</f>
        <v>0</v>
      </c>
      <c r="AE20" s="125"/>
      <c r="AF20" s="125"/>
      <c r="AG20" s="125"/>
      <c r="AH20" s="126"/>
    </row>
    <row r="21" spans="1:34" ht="15.75" customHeight="1">
      <c r="A21" s="531"/>
      <c r="B21" s="90" t="s">
        <v>55</v>
      </c>
      <c r="C21" s="114">
        <f>APRIL!B41</f>
        <v>0</v>
      </c>
      <c r="D21" s="114">
        <f>APRIL!C41</f>
        <v>0</v>
      </c>
      <c r="E21" s="114">
        <f>APRIL!D41</f>
        <v>0</v>
      </c>
      <c r="F21" s="114">
        <f>APRIL!E41</f>
        <v>0</v>
      </c>
      <c r="G21" s="114">
        <f>APRIL!F41</f>
        <v>0</v>
      </c>
      <c r="H21" s="114">
        <f>APRIL!G41</f>
        <v>0</v>
      </c>
      <c r="I21" s="114">
        <f>APRIL!H41</f>
        <v>0</v>
      </c>
      <c r="J21" s="114">
        <f>APRIL!I41</f>
        <v>76.350208746430937</v>
      </c>
      <c r="K21" s="114">
        <f>APRIL!J41</f>
        <v>450.06279522643831</v>
      </c>
      <c r="L21" s="115">
        <f>APRIL!K41</f>
        <v>13.870827906446332</v>
      </c>
      <c r="M21" s="114">
        <f>APRIL!L41</f>
        <v>0</v>
      </c>
      <c r="N21" s="114">
        <f>APRIL!M41</f>
        <v>0</v>
      </c>
      <c r="O21" s="116">
        <f>APRIL!N41</f>
        <v>0</v>
      </c>
      <c r="P21" s="116">
        <f>APRIL!O41</f>
        <v>0</v>
      </c>
      <c r="Q21" s="114">
        <f>APRIL!P41</f>
        <v>0</v>
      </c>
      <c r="R21" s="114">
        <f>APRIL!Q41</f>
        <v>0</v>
      </c>
      <c r="S21" s="114">
        <f>APRIL!R41</f>
        <v>0</v>
      </c>
      <c r="T21" s="114">
        <f>APRIL!S41</f>
        <v>0</v>
      </c>
      <c r="U21" s="114">
        <f>APRIL!T41</f>
        <v>0</v>
      </c>
      <c r="V21" s="114">
        <f>APRIL!U41</f>
        <v>0</v>
      </c>
      <c r="W21" s="114">
        <f>APRIL!V41</f>
        <v>90.163498225510082</v>
      </c>
      <c r="X21" s="114">
        <f>APRIL!W41</f>
        <v>0</v>
      </c>
      <c r="Y21" s="114">
        <f>APRIL!X41</f>
        <v>0</v>
      </c>
      <c r="Z21" s="114">
        <f>APRIL!Y41</f>
        <v>0</v>
      </c>
      <c r="AA21" s="114">
        <f>APRIL!Z41</f>
        <v>0</v>
      </c>
      <c r="AB21" s="114">
        <f>APRIL!AA41</f>
        <v>0</v>
      </c>
      <c r="AC21" s="117">
        <f>APRIL!AB41</f>
        <v>0</v>
      </c>
      <c r="AD21" s="117">
        <f>APRIL!AC41</f>
        <v>0</v>
      </c>
      <c r="AE21" s="125"/>
      <c r="AF21" s="125"/>
      <c r="AG21" s="125"/>
      <c r="AH21" s="126"/>
    </row>
    <row r="22" spans="1:34" ht="15.75" customHeight="1">
      <c r="A22" s="531"/>
      <c r="B22" s="90" t="s">
        <v>56</v>
      </c>
      <c r="C22" s="114">
        <f>MAY!B41</f>
        <v>0</v>
      </c>
      <c r="D22" s="114">
        <f>MAY!C41</f>
        <v>0</v>
      </c>
      <c r="E22" s="114">
        <f>MAY!D41</f>
        <v>0</v>
      </c>
      <c r="F22" s="114">
        <f>MAY!E41</f>
        <v>0</v>
      </c>
      <c r="G22" s="114">
        <f>MAY!F41</f>
        <v>0</v>
      </c>
      <c r="H22" s="114">
        <f>MAY!G41</f>
        <v>0</v>
      </c>
      <c r="I22" s="114">
        <f>MAY!H41</f>
        <v>0</v>
      </c>
      <c r="J22" s="114">
        <f>MAY!I41</f>
        <v>8009.0453411256412</v>
      </c>
      <c r="K22" s="114">
        <f>MAY!J41</f>
        <v>33865.028507964649</v>
      </c>
      <c r="L22" s="115">
        <f>MAY!K41</f>
        <v>1563.1923656926315</v>
      </c>
      <c r="M22" s="114">
        <f>MAY!L41</f>
        <v>0</v>
      </c>
      <c r="N22" s="114">
        <f>MAY!M41</f>
        <v>0</v>
      </c>
      <c r="O22" s="116">
        <f>MAY!N41</f>
        <v>0</v>
      </c>
      <c r="P22" s="116">
        <f>MAY!O41</f>
        <v>0</v>
      </c>
      <c r="Q22" s="114">
        <f>MAY!P41</f>
        <v>0</v>
      </c>
      <c r="R22" s="114">
        <f>MAY!Q41</f>
        <v>0</v>
      </c>
      <c r="S22" s="114">
        <f>MAY!R41</f>
        <v>0</v>
      </c>
      <c r="T22" s="114">
        <f>MAY!S41</f>
        <v>0</v>
      </c>
      <c r="U22" s="114">
        <f>MAY!T41</f>
        <v>0</v>
      </c>
      <c r="V22" s="114">
        <f>MAY!U41</f>
        <v>2415.2610006733958</v>
      </c>
      <c r="W22" s="114">
        <f>MAY!V41</f>
        <v>0</v>
      </c>
      <c r="X22" s="114">
        <f>MAY!W41</f>
        <v>947.58702496576325</v>
      </c>
      <c r="Y22" s="114">
        <f>MAY!X41</f>
        <v>0</v>
      </c>
      <c r="Z22" s="114">
        <f>MAY!Y41</f>
        <v>13511.132402002222</v>
      </c>
      <c r="AA22" s="114">
        <f>MAY!Z41</f>
        <v>0</v>
      </c>
      <c r="AB22" s="114">
        <f>MAY!AA41</f>
        <v>0</v>
      </c>
      <c r="AC22" s="117">
        <f>MAY!AB41</f>
        <v>0</v>
      </c>
      <c r="AD22" s="117">
        <f>MAY!AC41</f>
        <v>0</v>
      </c>
      <c r="AE22" s="125"/>
      <c r="AF22" s="125"/>
      <c r="AG22" s="125"/>
      <c r="AH22" s="126"/>
    </row>
    <row r="23" spans="1:34" ht="15.75" customHeight="1">
      <c r="A23" s="531"/>
      <c r="B23" s="90" t="s">
        <v>57</v>
      </c>
      <c r="C23" s="114">
        <f>JUNE!B41</f>
        <v>0</v>
      </c>
      <c r="D23" s="114">
        <f>JUNE!C41</f>
        <v>0</v>
      </c>
      <c r="E23" s="114">
        <f>JUNE!D41</f>
        <v>0</v>
      </c>
      <c r="F23" s="114">
        <f>JUNE!E41</f>
        <v>0</v>
      </c>
      <c r="G23" s="114">
        <f>JUNE!F41</f>
        <v>0</v>
      </c>
      <c r="H23" s="114">
        <f>JUNE!G41</f>
        <v>0</v>
      </c>
      <c r="I23" s="114">
        <f>JUNE!H41</f>
        <v>0</v>
      </c>
      <c r="J23" s="114">
        <f>JUNE!I41</f>
        <v>17485.999230442125</v>
      </c>
      <c r="K23" s="114">
        <f>JUNE!J41</f>
        <v>73391.515159134608</v>
      </c>
      <c r="L23" s="115">
        <f>JUNE!K41</f>
        <v>3251.7792713331951</v>
      </c>
      <c r="M23" s="114">
        <f>JUNE!L41</f>
        <v>0</v>
      </c>
      <c r="N23" s="114">
        <f>JUNE!M41</f>
        <v>0</v>
      </c>
      <c r="O23" s="116">
        <f>JUNE!N41</f>
        <v>0</v>
      </c>
      <c r="P23" s="116">
        <f>JUNE!O41</f>
        <v>0</v>
      </c>
      <c r="Q23" s="114">
        <f>JUNE!P41</f>
        <v>0</v>
      </c>
      <c r="R23" s="114">
        <f>JUNE!Q41</f>
        <v>0</v>
      </c>
      <c r="S23" s="114">
        <f>JUNE!R41</f>
        <v>0</v>
      </c>
      <c r="T23" s="114">
        <f>JUNE!S41</f>
        <v>0</v>
      </c>
      <c r="U23" s="114">
        <f>JUNE!T41</f>
        <v>0</v>
      </c>
      <c r="V23" s="114">
        <f>JUNE!U41</f>
        <v>4967.9661452648543</v>
      </c>
      <c r="W23" s="114">
        <f>JUNE!V41</f>
        <v>0</v>
      </c>
      <c r="X23" s="114">
        <f>JUNE!W41</f>
        <v>1996.2318689615868</v>
      </c>
      <c r="Y23" s="114">
        <f>JUNE!X41</f>
        <v>0</v>
      </c>
      <c r="Z23" s="114">
        <f>JUNE!Y41</f>
        <v>39510.338651224098</v>
      </c>
      <c r="AA23" s="114">
        <f>JUNE!Z41</f>
        <v>0</v>
      </c>
      <c r="AB23" s="114">
        <f>JUNE!AA41</f>
        <v>0</v>
      </c>
      <c r="AC23" s="117">
        <f>JUNE!AB41</f>
        <v>0</v>
      </c>
      <c r="AD23" s="117">
        <f>JUNE!AC41</f>
        <v>0</v>
      </c>
      <c r="AE23" s="125"/>
      <c r="AF23" s="125"/>
      <c r="AG23" s="125"/>
      <c r="AH23" s="126"/>
    </row>
    <row r="24" spans="1:34" ht="15.75" customHeight="1">
      <c r="A24" s="531"/>
      <c r="B24" s="90" t="s">
        <v>58</v>
      </c>
      <c r="C24" s="114">
        <f>JULY!B41</f>
        <v>0</v>
      </c>
      <c r="D24" s="114">
        <f>JULY!C41</f>
        <v>2454.1313567416969</v>
      </c>
      <c r="E24" s="114">
        <f>JULY!D41</f>
        <v>45420.371302803564</v>
      </c>
      <c r="F24" s="114">
        <f>JULY!E41</f>
        <v>1406.9930591477155</v>
      </c>
      <c r="G24" s="114">
        <f>JULY!F41</f>
        <v>0</v>
      </c>
      <c r="H24" s="114">
        <f>JULY!G41</f>
        <v>5566.5519502719126</v>
      </c>
      <c r="I24" s="114">
        <f>JULY!H41</f>
        <v>2236.4450321928657</v>
      </c>
      <c r="J24" s="114">
        <f>JULY!I41</f>
        <v>16928.509870531296</v>
      </c>
      <c r="K24" s="114">
        <f>JULY!J41</f>
        <v>55887.964772857398</v>
      </c>
      <c r="L24" s="115">
        <f>JULY!K41</f>
        <v>3590.6684617928968</v>
      </c>
      <c r="M24" s="114">
        <f>JULY!L41</f>
        <v>0</v>
      </c>
      <c r="N24" s="114">
        <f>JULY!M41</f>
        <v>0</v>
      </c>
      <c r="O24" s="116">
        <f>JULY!N41</f>
        <v>0</v>
      </c>
      <c r="P24" s="116">
        <f>JULY!O41</f>
        <v>0</v>
      </c>
      <c r="Q24" s="114">
        <f>JULY!P41</f>
        <v>0</v>
      </c>
      <c r="R24" s="114">
        <f>JULY!Q41</f>
        <v>0</v>
      </c>
      <c r="S24" s="114">
        <f>JULY!R41</f>
        <v>0</v>
      </c>
      <c r="T24" s="114">
        <f>JULY!S41</f>
        <v>0</v>
      </c>
      <c r="U24" s="114">
        <f>JULY!T41</f>
        <v>0</v>
      </c>
      <c r="V24" s="114">
        <f>JULY!U41</f>
        <v>4125.9211309857228</v>
      </c>
      <c r="W24" s="114">
        <f>JULY!V41</f>
        <v>578.63273185501953</v>
      </c>
      <c r="X24" s="114">
        <f>JULY!W41</f>
        <v>1604.7360244257843</v>
      </c>
      <c r="Y24" s="114">
        <f>JULY!X41</f>
        <v>224.41472003540207</v>
      </c>
      <c r="Z24" s="114">
        <f>JULY!Y41</f>
        <v>29900.209877041423</v>
      </c>
      <c r="AA24" s="114">
        <f>JULY!Z41</f>
        <v>4322.8017556201157</v>
      </c>
      <c r="AB24" s="114">
        <f>JULY!AA41</f>
        <v>0</v>
      </c>
      <c r="AC24" s="117">
        <f>JULY!AB41</f>
        <v>0</v>
      </c>
      <c r="AD24" s="117">
        <f>JULY!AC41</f>
        <v>0</v>
      </c>
      <c r="AE24" s="125"/>
      <c r="AF24" s="125"/>
      <c r="AG24" s="125"/>
      <c r="AH24" s="126"/>
    </row>
    <row r="25" spans="1:34" ht="15.75" customHeight="1">
      <c r="A25" s="531"/>
      <c r="B25" s="90" t="s">
        <v>59</v>
      </c>
      <c r="C25" s="114">
        <f>AUGUST!B41</f>
        <v>0</v>
      </c>
      <c r="D25" s="114">
        <f>AUGUST!C41</f>
        <v>5735.265950407651</v>
      </c>
      <c r="E25" s="114">
        <f>AUGUST!D41</f>
        <v>95807.523283944625</v>
      </c>
      <c r="F25" s="114">
        <f>AUGUST!E41</f>
        <v>2082.9068392511344</v>
      </c>
      <c r="G25" s="114">
        <f>AUGUST!F41</f>
        <v>0</v>
      </c>
      <c r="H25" s="114">
        <f>AUGUST!G41</f>
        <v>7343.7299666828485</v>
      </c>
      <c r="I25" s="114">
        <f>AUGUST!H41</f>
        <v>3972.2850643494021</v>
      </c>
      <c r="J25" s="114">
        <f>AUGUST!I41</f>
        <v>22044.876305505841</v>
      </c>
      <c r="K25" s="114">
        <f>AUGUST!J41</f>
        <v>76967.419667243186</v>
      </c>
      <c r="L25" s="115">
        <f>AUGUST!K41</f>
        <v>4016.2638816785598</v>
      </c>
      <c r="M25" s="114">
        <f>AUGUST!L41</f>
        <v>0.1407726762324539</v>
      </c>
      <c r="N25" s="114">
        <f>AUGUST!M41</f>
        <v>0</v>
      </c>
      <c r="O25" s="116">
        <f>AUGUST!N41</f>
        <v>0</v>
      </c>
      <c r="P25" s="116">
        <f>AUGUST!O41</f>
        <v>0</v>
      </c>
      <c r="Q25" s="114">
        <f>AUGUST!P41</f>
        <v>0</v>
      </c>
      <c r="R25" s="114">
        <f>AUGUST!Q41</f>
        <v>0</v>
      </c>
      <c r="S25" s="114">
        <f>AUGUST!R41</f>
        <v>0</v>
      </c>
      <c r="T25" s="114">
        <f>AUGUST!S41</f>
        <v>0</v>
      </c>
      <c r="U25" s="114">
        <f>AUGUST!T41</f>
        <v>0</v>
      </c>
      <c r="V25" s="114">
        <f>AUGUST!U41</f>
        <v>4190.7185629246223</v>
      </c>
      <c r="W25" s="114">
        <f>AUGUST!V41</f>
        <v>974.80863635643345</v>
      </c>
      <c r="X25" s="114">
        <f>AUGUST!W41</f>
        <v>1578.2650711238882</v>
      </c>
      <c r="Y25" s="114">
        <f>AUGUST!X41</f>
        <v>366.80476944084103</v>
      </c>
      <c r="Z25" s="114">
        <f>AUGUST!Y41</f>
        <v>27436.741867978464</v>
      </c>
      <c r="AA25" s="114">
        <f>AUGUST!Z41</f>
        <v>6396.8895941841292</v>
      </c>
      <c r="AB25" s="114">
        <f>AUGUST!AA41</f>
        <v>0</v>
      </c>
      <c r="AC25" s="117">
        <f>AUGUST!AB41</f>
        <v>0</v>
      </c>
      <c r="AD25" s="117">
        <f>AUGUST!AC41</f>
        <v>0</v>
      </c>
      <c r="AE25" s="125"/>
      <c r="AF25" s="125"/>
      <c r="AG25" s="125"/>
      <c r="AH25" s="126"/>
    </row>
    <row r="26" spans="1:34" ht="15.75" customHeight="1">
      <c r="A26" s="531"/>
      <c r="B26" s="90" t="s">
        <v>60</v>
      </c>
      <c r="C26" s="114">
        <f>SEPTEMBER!B41</f>
        <v>0</v>
      </c>
      <c r="D26" s="114">
        <f>SEPTEMBER!C41</f>
        <v>5380.1811837237938</v>
      </c>
      <c r="E26" s="114">
        <f>SEPTEMBER!D41</f>
        <v>83874.99798458672</v>
      </c>
      <c r="F26" s="114">
        <f>SEPTEMBER!E41</f>
        <v>1744.7698737834671</v>
      </c>
      <c r="G26" s="114">
        <f>SEPTEMBER!F41</f>
        <v>0</v>
      </c>
      <c r="H26" s="114">
        <f>SEPTEMBER!G41</f>
        <v>6178.889987820332</v>
      </c>
      <c r="I26" s="114">
        <f>SEPTEMBER!H41</f>
        <v>3178.4374949567818</v>
      </c>
      <c r="J26" s="114">
        <f>SEPTEMBER!I41</f>
        <v>16520.793945937436</v>
      </c>
      <c r="K26" s="114">
        <f>SEPTEMBER!J41</f>
        <v>59589.596088376544</v>
      </c>
      <c r="L26" s="115">
        <f>SEPTEMBER!K41</f>
        <v>3581.7376183017641</v>
      </c>
      <c r="M26" s="114">
        <f>SEPTEMBER!L41</f>
        <v>0</v>
      </c>
      <c r="N26" s="114">
        <f>SEPTEMBER!M41</f>
        <v>0</v>
      </c>
      <c r="O26" s="116">
        <f>SEPTEMBER!N41</f>
        <v>0</v>
      </c>
      <c r="P26" s="116">
        <f>SEPTEMBER!O41</f>
        <v>0</v>
      </c>
      <c r="Q26" s="114">
        <f>SEPTEMBER!P41</f>
        <v>0</v>
      </c>
      <c r="R26" s="114">
        <f>SEPTEMBER!Q41</f>
        <v>0</v>
      </c>
      <c r="S26" s="114">
        <f>SEPTEMBER!R41</f>
        <v>0</v>
      </c>
      <c r="T26" s="114">
        <f>SEPTEMBER!S41</f>
        <v>0</v>
      </c>
      <c r="U26" s="114">
        <f>SEPTEMBER!T41</f>
        <v>0</v>
      </c>
      <c r="V26" s="114">
        <f>SEPTEMBER!U41</f>
        <v>3609.6763275926864</v>
      </c>
      <c r="W26" s="114">
        <f>SEPTEMBER!V41</f>
        <v>803.26087945843199</v>
      </c>
      <c r="X26" s="114">
        <f>SEPTEMBER!W41</f>
        <v>1407.8411564948171</v>
      </c>
      <c r="Y26" s="114">
        <f>SEPTEMBER!X41</f>
        <v>314.14234395049687</v>
      </c>
      <c r="Z26" s="114">
        <f>SEPTEMBER!Y41</f>
        <v>21444.955490910263</v>
      </c>
      <c r="AA26" s="114">
        <f>SEPTEMBER!Z41</f>
        <v>4688.2299327188011</v>
      </c>
      <c r="AB26" s="114">
        <f>SEPTEMBER!AA41</f>
        <v>0</v>
      </c>
      <c r="AC26" s="117">
        <f>SEPTEMBER!AB41</f>
        <v>0</v>
      </c>
      <c r="AD26" s="117">
        <f>SEPTEMBER!AC41</f>
        <v>0</v>
      </c>
      <c r="AE26" s="125"/>
      <c r="AF26" s="125"/>
      <c r="AG26" s="125"/>
      <c r="AH26" s="126"/>
    </row>
    <row r="27" spans="1:34" ht="15.75" customHeight="1">
      <c r="A27" s="531"/>
      <c r="B27" s="90" t="s">
        <v>61</v>
      </c>
      <c r="C27" s="114">
        <f>OCTOBER!B41</f>
        <v>0</v>
      </c>
      <c r="D27" s="114">
        <f>OCTOBER!C41</f>
        <v>5516.4745832878079</v>
      </c>
      <c r="E27" s="114">
        <f>OCTOBER!D41</f>
        <v>82377.695704286409</v>
      </c>
      <c r="F27" s="114">
        <f>OCTOBER!E41</f>
        <v>1676.1055232820497</v>
      </c>
      <c r="G27" s="114">
        <f>OCTOBER!F41</f>
        <v>0.31953464487218863</v>
      </c>
      <c r="H27" s="114">
        <f>OCTOBER!G41</f>
        <v>5381.5413768254157</v>
      </c>
      <c r="I27" s="114">
        <f>OCTOBER!H41</f>
        <v>3127.4753044509416</v>
      </c>
      <c r="J27" s="114">
        <f>OCTOBER!I41</f>
        <v>9019.3504195497826</v>
      </c>
      <c r="K27" s="114">
        <f>OCTOBER!J41</f>
        <v>29894.370788416927</v>
      </c>
      <c r="L27" s="115">
        <f>OCTOBER!K41</f>
        <v>1981.8314288170679</v>
      </c>
      <c r="M27" s="114">
        <f>OCTOBER!L41</f>
        <v>0</v>
      </c>
      <c r="N27" s="114">
        <f>OCTOBER!M41</f>
        <v>39.263709621362132</v>
      </c>
      <c r="O27" s="116">
        <f>OCTOBER!N41</f>
        <v>0.21191251037064196</v>
      </c>
      <c r="P27" s="116">
        <f>OCTOBER!O41</f>
        <v>0</v>
      </c>
      <c r="Q27" s="114">
        <f>OCTOBER!P41</f>
        <v>0</v>
      </c>
      <c r="R27" s="114">
        <f>OCTOBER!Q41</f>
        <v>0</v>
      </c>
      <c r="S27" s="114">
        <f>OCTOBER!R41</f>
        <v>0</v>
      </c>
      <c r="T27" s="114">
        <f>OCTOBER!S41</f>
        <v>0</v>
      </c>
      <c r="U27" s="114">
        <f>OCTOBER!T41</f>
        <v>0</v>
      </c>
      <c r="V27" s="114">
        <f>OCTOBER!U41</f>
        <v>2114.6790104202901</v>
      </c>
      <c r="W27" s="114">
        <f>OCTOBER!V41</f>
        <v>840.29024646208143</v>
      </c>
      <c r="X27" s="114">
        <f>OCTOBER!W41</f>
        <v>796.24861056653242</v>
      </c>
      <c r="Y27" s="114">
        <f>OCTOBER!X41</f>
        <v>317.09529182347131</v>
      </c>
      <c r="Z27" s="114">
        <f>OCTOBER!Y41</f>
        <v>10800.271176730932</v>
      </c>
      <c r="AA27" s="114">
        <f>OCTOBER!Z41</f>
        <v>3536.8567473433959</v>
      </c>
      <c r="AB27" s="114">
        <f>OCTOBER!AA41</f>
        <v>0</v>
      </c>
      <c r="AC27" s="117">
        <f>OCTOBER!AB41</f>
        <v>7.9203080532948347</v>
      </c>
      <c r="AD27" s="117">
        <f>OCTOBER!AC41</f>
        <v>0</v>
      </c>
      <c r="AE27" s="125"/>
      <c r="AF27" s="125"/>
      <c r="AG27" s="125"/>
      <c r="AH27" s="126"/>
    </row>
    <row r="28" spans="1:34" ht="15.75" customHeight="1">
      <c r="A28" s="531"/>
      <c r="B28" s="90" t="s">
        <v>62</v>
      </c>
      <c r="C28" s="114">
        <f>NOVEMBER!B41</f>
        <v>0</v>
      </c>
      <c r="D28" s="114">
        <f>NOVEMBER!C41</f>
        <v>7138.3113034698545</v>
      </c>
      <c r="E28" s="114">
        <f>NOVEMBER!D41</f>
        <v>95373.05974680504</v>
      </c>
      <c r="F28" s="114">
        <f>NOVEMBER!E41</f>
        <v>1918.3572528654843</v>
      </c>
      <c r="G28" s="114">
        <f>NOVEMBER!F41</f>
        <v>0</v>
      </c>
      <c r="H28" s="114">
        <f>NOVEMBER!G41</f>
        <v>5325.8608875223281</v>
      </c>
      <c r="I28" s="114">
        <f>NOVEMBER!H41</f>
        <v>3662.5057797741965</v>
      </c>
      <c r="J28" s="114">
        <f>NOVEMBER!I41</f>
        <v>7388.8630760370324</v>
      </c>
      <c r="K28" s="114">
        <f>NOVEMBER!J41</f>
        <v>25142.946126899988</v>
      </c>
      <c r="L28" s="115">
        <f>NOVEMBER!K41</f>
        <v>1806.5776579401422</v>
      </c>
      <c r="M28" s="114">
        <f>NOVEMBER!L41</f>
        <v>6.166924615530936E-2</v>
      </c>
      <c r="N28" s="114">
        <f>NOVEMBER!M41</f>
        <v>0</v>
      </c>
      <c r="O28" s="116">
        <f>NOVEMBER!N41</f>
        <v>0</v>
      </c>
      <c r="P28" s="116">
        <f>NOVEMBER!O41</f>
        <v>0</v>
      </c>
      <c r="Q28" s="114">
        <f>NOVEMBER!P41</f>
        <v>0</v>
      </c>
      <c r="R28" s="114">
        <f>NOVEMBER!Q41</f>
        <v>0</v>
      </c>
      <c r="S28" s="114">
        <f>NOVEMBER!R41</f>
        <v>0</v>
      </c>
      <c r="T28" s="114">
        <f>NOVEMBER!S41</f>
        <v>0</v>
      </c>
      <c r="U28" s="114">
        <f>NOVEMBER!T41</f>
        <v>0</v>
      </c>
      <c r="V28" s="114">
        <f>NOVEMBER!U41</f>
        <v>1984.1681925844491</v>
      </c>
      <c r="W28" s="114">
        <f>NOVEMBER!V41</f>
        <v>1015.6562352612257</v>
      </c>
      <c r="X28" s="114">
        <f>NOVEMBER!W41</f>
        <v>690.11612153401177</v>
      </c>
      <c r="Y28" s="114">
        <f>NOVEMBER!X41</f>
        <v>353.3799226298911</v>
      </c>
      <c r="Z28" s="114">
        <f>NOVEMBER!Y41</f>
        <v>6004.6192847365255</v>
      </c>
      <c r="AA28" s="114">
        <f>NOVEMBER!Z41</f>
        <v>3077.6903143138597</v>
      </c>
      <c r="AB28" s="114">
        <f>NOVEMBER!AA41</f>
        <v>0</v>
      </c>
      <c r="AC28" s="117">
        <f>NOVEMBER!AB41</f>
        <v>0</v>
      </c>
      <c r="AD28" s="117">
        <f>NOVEMBER!AC41</f>
        <v>0</v>
      </c>
      <c r="AE28" s="125"/>
      <c r="AF28" s="125"/>
      <c r="AG28" s="125"/>
      <c r="AH28" s="126"/>
    </row>
    <row r="29" spans="1:34" ht="15.75" customHeight="1">
      <c r="A29" s="532"/>
      <c r="B29" s="92" t="s">
        <v>63</v>
      </c>
      <c r="C29" s="118">
        <f>DECEMBER!B41</f>
        <v>0</v>
      </c>
      <c r="D29" s="118">
        <f>DECEMBER!C41</f>
        <v>6966.1205004253525</v>
      </c>
      <c r="E29" s="118">
        <f>DECEMBER!D41</f>
        <v>90693.407173932341</v>
      </c>
      <c r="F29" s="118">
        <f>DECEMBER!E41</f>
        <v>1886.8772981657776</v>
      </c>
      <c r="G29" s="118">
        <f>DECEMBER!F41</f>
        <v>0</v>
      </c>
      <c r="H29" s="118">
        <f>DECEMBER!G41</f>
        <v>5079.9040319665983</v>
      </c>
      <c r="I29" s="118">
        <f>DECEMBER!H41</f>
        <v>5155.184032998046</v>
      </c>
      <c r="J29" s="118">
        <f>DECEMBER!I41</f>
        <v>5923.3006014133607</v>
      </c>
      <c r="K29" s="118">
        <f>DECEMBER!J41</f>
        <v>23405.703514260338</v>
      </c>
      <c r="L29" s="119">
        <f>DECEMBER!K41</f>
        <v>1991.2236110044798</v>
      </c>
      <c r="M29" s="118">
        <f>DECEMBER!L41</f>
        <v>49.314904264813713</v>
      </c>
      <c r="N29" s="118">
        <f>DECEMBER!M41</f>
        <v>0</v>
      </c>
      <c r="O29" s="120">
        <f>DECEMBER!N41</f>
        <v>0</v>
      </c>
      <c r="P29" s="120">
        <f>DECEMBER!O41</f>
        <v>0</v>
      </c>
      <c r="Q29" s="118">
        <f>DECEMBER!P41</f>
        <v>0</v>
      </c>
      <c r="R29" s="118">
        <f>DECEMBER!Q41</f>
        <v>0</v>
      </c>
      <c r="S29" s="118">
        <f>DECEMBER!R41</f>
        <v>0</v>
      </c>
      <c r="T29" s="118">
        <f>DECEMBER!S41</f>
        <v>0</v>
      </c>
      <c r="U29" s="118">
        <f>DECEMBER!T41</f>
        <v>0</v>
      </c>
      <c r="V29" s="118">
        <f>DECEMBER!U41</f>
        <v>2012.2692091097244</v>
      </c>
      <c r="W29" s="118">
        <f>DECEMBER!V41</f>
        <v>926.25475764971429</v>
      </c>
      <c r="X29" s="118">
        <f>DECEMBER!W41</f>
        <v>753.66870679138037</v>
      </c>
      <c r="Y29" s="118">
        <f>DECEMBER!X41</f>
        <v>347.46899923465674</v>
      </c>
      <c r="Z29" s="118">
        <f>DECEMBER!Y41</f>
        <v>5593.0848321929752</v>
      </c>
      <c r="AA29" s="118">
        <f>DECEMBER!Z41</f>
        <v>2562.2792881890614</v>
      </c>
      <c r="AB29" s="118">
        <f>DECEMBER!AA41</f>
        <v>0</v>
      </c>
      <c r="AC29" s="121">
        <f>DECEMBER!AB41</f>
        <v>0</v>
      </c>
      <c r="AD29" s="121">
        <f>DECEMBER!AC41</f>
        <v>0</v>
      </c>
      <c r="AE29" s="127"/>
      <c r="AF29" s="127"/>
      <c r="AG29" s="127"/>
      <c r="AH29" s="128"/>
    </row>
    <row r="30" spans="1:34" ht="15.75" customHeight="1" thickBot="1">
      <c r="A30" s="97" t="s">
        <v>88</v>
      </c>
      <c r="B30" s="98" t="s">
        <v>64</v>
      </c>
      <c r="C30" s="122">
        <f>SUM(C18:C29)</f>
        <v>0</v>
      </c>
      <c r="D30" s="122">
        <f t="shared" ref="D30:AD30" si="1">SUM(D18:D29)</f>
        <v>33190.484878056152</v>
      </c>
      <c r="E30" s="122">
        <f t="shared" si="1"/>
        <v>493547.05519635871</v>
      </c>
      <c r="F30" s="122">
        <f t="shared" si="1"/>
        <v>10721.443137598973</v>
      </c>
      <c r="G30" s="122">
        <f t="shared" si="1"/>
        <v>0.31953464487218863</v>
      </c>
      <c r="H30" s="122">
        <f t="shared" si="1"/>
        <v>34876.478201089441</v>
      </c>
      <c r="I30" s="122">
        <f t="shared" si="1"/>
        <v>21332.332708722235</v>
      </c>
      <c r="J30" s="122">
        <f t="shared" si="1"/>
        <v>105320.49406242788</v>
      </c>
      <c r="K30" s="122">
        <f t="shared" si="1"/>
        <v>388845.28250400728</v>
      </c>
      <c r="L30" s="122">
        <f t="shared" si="1"/>
        <v>22393.038828529694</v>
      </c>
      <c r="M30" s="122">
        <f t="shared" si="1"/>
        <v>49.517346187201476</v>
      </c>
      <c r="N30" s="122">
        <f t="shared" si="1"/>
        <v>39.561537834589288</v>
      </c>
      <c r="O30" s="122">
        <f t="shared" si="1"/>
        <v>17.378846885055804</v>
      </c>
      <c r="P30" s="122">
        <f t="shared" si="1"/>
        <v>0</v>
      </c>
      <c r="Q30" s="122">
        <f t="shared" si="1"/>
        <v>0</v>
      </c>
      <c r="R30" s="122">
        <f t="shared" si="1"/>
        <v>0</v>
      </c>
      <c r="S30" s="122">
        <f t="shared" si="1"/>
        <v>0</v>
      </c>
      <c r="T30" s="122">
        <f t="shared" si="1"/>
        <v>0</v>
      </c>
      <c r="U30" s="122">
        <f t="shared" si="1"/>
        <v>0</v>
      </c>
      <c r="V30" s="122">
        <f t="shared" si="1"/>
        <v>26024.388091093111</v>
      </c>
      <c r="W30" s="122">
        <f t="shared" si="1"/>
        <v>5229.0686049460437</v>
      </c>
      <c r="X30" s="122">
        <f t="shared" si="1"/>
        <v>10051.984908393426</v>
      </c>
      <c r="Y30" s="122">
        <f t="shared" si="1"/>
        <v>1923.3060471147592</v>
      </c>
      <c r="Z30" s="122">
        <f t="shared" si="1"/>
        <v>158358.86929828551</v>
      </c>
      <c r="AA30" s="122">
        <f t="shared" si="1"/>
        <v>24584.747632369363</v>
      </c>
      <c r="AB30" s="122">
        <f t="shared" si="1"/>
        <v>0</v>
      </c>
      <c r="AC30" s="122">
        <f t="shared" si="1"/>
        <v>7.9203080532948347</v>
      </c>
      <c r="AD30" s="122">
        <f t="shared" si="1"/>
        <v>0</v>
      </c>
      <c r="AE30" s="129" t="str">
        <f>IF(SUM(AE18:AE29)&gt;0, AVERAGE(AE18:AE29), "")</f>
        <v/>
      </c>
      <c r="AF30" s="129" t="str">
        <f>IF(SUM(AF18:AF29)&gt;0, AVERAGE(AF18:AF29), "")</f>
        <v/>
      </c>
      <c r="AG30" s="129" t="str">
        <f>IF(SUM(AG18:AG29)&gt;0, AVERAGE(AG18:AG29), "")</f>
        <v/>
      </c>
      <c r="AH30" s="224" t="str">
        <f>IF(SUM(AH18:AH29)&gt;0, AVERAGE(AH18:AH29), "")</f>
        <v/>
      </c>
    </row>
    <row r="31" spans="1:34" ht="16.5" customHeight="1" thickTop="1">
      <c r="B31" s="324" t="s">
        <v>206</v>
      </c>
      <c r="AH31" s="352" t="s">
        <v>206</v>
      </c>
    </row>
    <row r="32" spans="1:34" ht="15.75" thickBot="1">
      <c r="C32" s="323" t="s">
        <v>200</v>
      </c>
      <c r="D32" s="323" t="s">
        <v>201</v>
      </c>
      <c r="E32" s="323" t="s">
        <v>202</v>
      </c>
    </row>
    <row r="33" spans="1:5" ht="15.75" customHeight="1" thickTop="1">
      <c r="A33" s="527" t="s">
        <v>203</v>
      </c>
      <c r="B33" s="89" t="s">
        <v>52</v>
      </c>
      <c r="C33" s="318">
        <f>IF(ISNUMBER(JANUARY!B51)=TRUE,JANUARY!B51,"")</f>
        <v>2.4631824981087491</v>
      </c>
      <c r="D33" s="318" t="str">
        <f>IF(ISNUMBER(JANUARY!E51)=TRUE,JANUARY!E51,"")</f>
        <v/>
      </c>
      <c r="E33" s="318">
        <f>IF(ISNUMBER(JANUARY!H51)=TRUE,JANUARY!H51,"")</f>
        <v>1.4355496421422955</v>
      </c>
    </row>
    <row r="34" spans="1:5" ht="15.75" customHeight="1">
      <c r="A34" s="528"/>
      <c r="B34" s="90" t="s">
        <v>53</v>
      </c>
      <c r="C34" s="319" t="str">
        <f>IF(ISNUMBER(FEBRUARY!$B$51)=TRUE,FEBRUARY!$B$51,"")</f>
        <v/>
      </c>
      <c r="D34" s="319" t="str">
        <f>IF(ISNUMBER(FEBRUARY!$E$51)=TRUE,FEBRUARY!$E$51,"")</f>
        <v/>
      </c>
      <c r="E34" s="319" t="str">
        <f>IF(ISNUMBER(FEBRUARY!$H$51)=TRUE,FEBRUARY!$H$51,"")</f>
        <v/>
      </c>
    </row>
    <row r="35" spans="1:5">
      <c r="A35" s="528"/>
      <c r="B35" s="90" t="s">
        <v>54</v>
      </c>
      <c r="C35" s="319" t="str">
        <f>IF(ISNUMBER(MARCH!$B$51)=TRUE,MARCH!$B$51,"")</f>
        <v/>
      </c>
      <c r="D35" s="319" t="str">
        <f>IF(ISNUMBER(MARCH!$E$51)=TRUE,MARCH!$E$51,"")</f>
        <v/>
      </c>
      <c r="E35" s="319" t="str">
        <f>IF(ISNUMBER(MARCH!$H$51)=TRUE,MARCH!$H$51,"")</f>
        <v/>
      </c>
    </row>
    <row r="36" spans="1:5">
      <c r="A36" s="528"/>
      <c r="B36" s="90" t="s">
        <v>55</v>
      </c>
      <c r="C36" s="319" t="str">
        <f>IF(ISNUMBER(APRIL!$B$51)=TRUE,APRIL!$B$51,"")</f>
        <v/>
      </c>
      <c r="D36" s="319" t="str">
        <f>IF(ISNUMBER(APRIL!$E$51)=TRUE,APRIL!$E$51,"")</f>
        <v/>
      </c>
      <c r="E36" s="319" t="str">
        <f>IF(ISNUMBER(APRIL!$H$51)=TRUE,APRIL!$H$51,"")</f>
        <v/>
      </c>
    </row>
    <row r="37" spans="1:5">
      <c r="A37" s="528"/>
      <c r="B37" s="90" t="s">
        <v>56</v>
      </c>
      <c r="C37" s="319">
        <f>IF(ISNUMBER(MAY!$B$51)=TRUE,MAY!$B$51,"")</f>
        <v>0.96622186964259194</v>
      </c>
      <c r="D37" s="319" t="str">
        <f>IF(ISNUMBER(MAY!$E$51)=TRUE,MAY!$E$51,"")</f>
        <v/>
      </c>
      <c r="E37" s="319">
        <f>IF(ISNUMBER(MAY!$H$51)=TRUE,MAY!$H$51,"")</f>
        <v>0.60884144586166078</v>
      </c>
    </row>
    <row r="38" spans="1:5">
      <c r="A38" s="528"/>
      <c r="B38" s="90" t="s">
        <v>57</v>
      </c>
      <c r="C38" s="319">
        <f>IF(ISNUMBER(JUNE!$B$51)=TRUE,JUNE!$B$51,"")</f>
        <v>0.56060032702471208</v>
      </c>
      <c r="D38" s="319" t="str">
        <f>IF(ISNUMBER(JUNE!$E$51)=TRUE,JUNE!$E$51,"")</f>
        <v/>
      </c>
      <c r="E38" s="319">
        <f>IF(ISNUMBER(JUNE!$H$51)=TRUE,JUNE!$H$51,"")</f>
        <v>0.401343910227897</v>
      </c>
    </row>
    <row r="39" spans="1:5">
      <c r="A39" s="528"/>
      <c r="B39" s="90" t="s">
        <v>58</v>
      </c>
      <c r="C39" s="319">
        <f>IF(ISNUMBER(JULY!$B$51)=TRUE,JULY!$B$51,"")</f>
        <v>0.59315188334480196</v>
      </c>
      <c r="D39" s="319">
        <f>IF(ISNUMBER(JULY!$E$51)=TRUE,JULY!$E$51,"")</f>
        <v>2.1532614530324956</v>
      </c>
      <c r="E39" s="319">
        <f>IF(ISNUMBER(JULY!$H$51)=TRUE,JULY!$H$51,"")</f>
        <v>0.38999893637159661</v>
      </c>
    </row>
    <row r="40" spans="1:5">
      <c r="A40" s="528"/>
      <c r="B40" s="90" t="s">
        <v>59</v>
      </c>
      <c r="C40" s="319">
        <f>IF(ISNUMBER(AUGUST!$B$51)=TRUE,AUGUST!$B$51,"")</f>
        <v>0.72622182718088157</v>
      </c>
      <c r="D40" s="319">
        <f>IF(ISNUMBER(AUGUST!$E$51)=TRUE,AUGUST!$E$51,"")</f>
        <v>1.900363567691167</v>
      </c>
      <c r="E40" s="319">
        <f>IF(ISNUMBER(AUGUST!$H$51)=TRUE,AUGUST!$H$51,"")</f>
        <v>0.46786560752435252</v>
      </c>
    </row>
    <row r="41" spans="1:5">
      <c r="A41" s="528"/>
      <c r="B41" s="90" t="s">
        <v>60</v>
      </c>
      <c r="C41" s="319">
        <f>IF(ISNUMBER(SEPTEMBER!$B$51)=TRUE,SEPTEMBER!$B$51,"")</f>
        <v>0.67066072775958152</v>
      </c>
      <c r="D41" s="319">
        <f>IF(ISNUMBER(SEPTEMBER!$E$51)=TRUE,SEPTEMBER!$E$51,"")</f>
        <v>1.8649964405175956</v>
      </c>
      <c r="E41" s="319">
        <f>IF(ISNUMBER(SEPTEMBER!$H$51)=TRUE,SEPTEMBER!$H$51,"")</f>
        <v>0.41804176148605016</v>
      </c>
    </row>
    <row r="42" spans="1:5">
      <c r="A42" s="528"/>
      <c r="B42" s="90" t="s">
        <v>61</v>
      </c>
      <c r="C42" s="319">
        <f>IF(ISNUMBER(OCTOBER!$B$51)=TRUE,OCTOBER!$B$51,"")</f>
        <v>1.036378443239321</v>
      </c>
      <c r="D42" s="319">
        <f>IF(ISNUMBER(OCTOBER!$E$51)=TRUE,OCTOBER!$E$51,"")</f>
        <v>2.0831691522669309</v>
      </c>
      <c r="E42" s="319">
        <f>IF(ISNUMBER(OCTOBER!$H$51)=TRUE,OCTOBER!$H$51,"")</f>
        <v>0.64812076027160104</v>
      </c>
    </row>
    <row r="43" spans="1:5">
      <c r="A43" s="528"/>
      <c r="B43" s="90" t="s">
        <v>62</v>
      </c>
      <c r="C43" s="319">
        <f>IF(ISNUMBER(NOVEMBER!$B$51)=TRUE,NOVEMBER!$B$51,"")</f>
        <v>1.2405935056862329</v>
      </c>
      <c r="D43" s="319">
        <f>IF(ISNUMBER(NOVEMBER!$E$51)=TRUE,NOVEMBER!$E$51,"")</f>
        <v>2.1657126287435604</v>
      </c>
      <c r="E43" s="319">
        <f>IF(ISNUMBER(NOVEMBER!$H$51)=TRUE,NOVEMBER!$H$51,"")</f>
        <v>0.79741238195058162</v>
      </c>
    </row>
    <row r="44" spans="1:5" ht="15.75" thickBot="1">
      <c r="A44" s="528"/>
      <c r="B44" s="92" t="s">
        <v>63</v>
      </c>
      <c r="C44" s="320">
        <f>IF(ISNUMBER(DECEMBER!$B$51)=TRUE,DECEMBER!$B$51,"")</f>
        <v>0.99724306086041459</v>
      </c>
      <c r="D44" s="320">
        <f>IF(ISNUMBER(DECEMBER!$E$51)=TRUE,DECEMBER!$E$51,"")</f>
        <v>1.9179615798096457</v>
      </c>
      <c r="E44" s="320">
        <f>IF(ISNUMBER(DECEMBER!$H$51)=TRUE,DECEMBER!$H$51,"")</f>
        <v>0.59435195508039063</v>
      </c>
    </row>
    <row r="45" spans="1:5" ht="15.75" thickBot="1">
      <c r="A45" s="529"/>
      <c r="B45" s="322" t="s">
        <v>204</v>
      </c>
      <c r="C45" s="321">
        <f>AVERAGE(C33:C44)</f>
        <v>1.0282504603163651</v>
      </c>
      <c r="D45" s="321">
        <f>AVERAGE(D33:D44)</f>
        <v>2.0142441370102326</v>
      </c>
      <c r="E45" s="321">
        <f>AVERAGE(E33:E44)</f>
        <v>0.640169600101825</v>
      </c>
    </row>
    <row r="47" spans="1:5" ht="15.75" thickBot="1">
      <c r="C47" s="323" t="s">
        <v>200</v>
      </c>
      <c r="D47" s="323" t="s">
        <v>201</v>
      </c>
      <c r="E47" s="323" t="s">
        <v>202</v>
      </c>
    </row>
    <row r="48" spans="1:5" ht="15" customHeight="1" thickTop="1">
      <c r="A48" s="523" t="s">
        <v>219</v>
      </c>
      <c r="B48" s="327" t="s">
        <v>228</v>
      </c>
      <c r="C48" s="328">
        <f>(JANUARY!B44+FEBRUARY!B44+MARCH!B44+APRIL!B44+MAY!B44+JUNE!B44+JULY!B44+AUGUST!B44+SEPTEMBER!B44+OCTOBER!B44+NOVEMBER!B44+DECEMBER!B44)/$AE$17</f>
        <v>311.881302381571</v>
      </c>
      <c r="D48" s="329">
        <f>(JANUARY!E44+FEBRUARY!E44+MARCH!E44+APRIL!E44+MAY!E44+JUNE!E44+JULY!E44+AUGUST!E44+SEPTEMBER!E44+OCTOBER!E44+NOVEMBER!E44+DECEMBER!E44)/$AG$17</f>
        <v>906.06078995797839</v>
      </c>
      <c r="E48" s="330">
        <f>(JANUARY!H44+FEBRUARY!H44+MARCH!H44+APRIL!H44+MAY!H44+JUNE!H44+JULY!H44+AUGUST!H44+SEPTEMBER!H44+OCTOBER!H44+NOVEMBER!H44+DECEMBER!H44)/$AF$17</f>
        <v>201.5541434459943</v>
      </c>
    </row>
    <row r="49" spans="1:5" ht="15" customHeight="1">
      <c r="A49" s="524"/>
      <c r="B49" s="331" t="s">
        <v>220</v>
      </c>
      <c r="C49" s="319">
        <f>(JANUARY!B47+FEBRUARY!B47+MARCH!B47+APRIL!B47+MAY!B47+JUNE!B47+JULY!B47+AUGUST!B47+SEPTEMBER!B47+OCTOBER!B47+NOVEMBER!B47+DECEMBER!B47)/$AE$17</f>
        <v>389.35045056404488</v>
      </c>
      <c r="D49" s="319">
        <f>(JANUARY!E47+FEBRUARY!E47+MARCH!E47+APRIL!E47+MAY!E47+JUNE!E47+JULY!E47+AUGUST!E47+SEPTEMBER!E47+OCTOBER!E47+NOVEMBER!E47+DECEMBER!E47)/$AG$17</f>
        <v>1208.6222253231222</v>
      </c>
      <c r="E49" s="332">
        <f>(JANUARY!H47+FEBRUARY!H47+MARCH!H47+APRIL!H47+MAY!H47+JUNE!H47+JULY!H47+AUGUST!H47+SEPTEMBER!H47+OCTOBER!H47+NOVEMBER!H47+DECEMBER!H47)/$AF$17</f>
        <v>236.45880456506683</v>
      </c>
    </row>
    <row r="50" spans="1:5" ht="15" customHeight="1">
      <c r="A50" s="524"/>
      <c r="B50" s="331" t="s">
        <v>221</v>
      </c>
      <c r="C50" s="333">
        <f>C48+C51</f>
        <v>468.86646036019852</v>
      </c>
      <c r="D50" s="333">
        <f>D48+D51</f>
        <v>1393.3743418081533</v>
      </c>
      <c r="E50" s="334">
        <f>E48+E51</f>
        <v>296.89376032921245</v>
      </c>
    </row>
    <row r="51" spans="1:5" ht="15" customHeight="1">
      <c r="A51" s="524"/>
      <c r="B51" s="331" t="s">
        <v>222</v>
      </c>
      <c r="C51" s="319">
        <f>(JANUARY!B48+FEBRUARY!B48+MARCH!B48+APRIL!B48+MAY!B48+JUNE!B48+JULY!B48+AUGUST!B48+SEPTEMBER!B48+OCTOBER!B48+NOVEMBER!B48+DECEMBER!B48)/$AE$17</f>
        <v>156.98515797862748</v>
      </c>
      <c r="D51" s="319">
        <f>(JANUARY!E48+FEBRUARY!E48+MARCH!E48+APRIL!E48+MAY!E48+JUNE!E48+JULY!E48+AUGUST!E48+SEPTEMBER!E48+OCTOBER!E48+NOVEMBER!E48+DECEMBER!E48)/$AG$17</f>
        <v>487.31355185017486</v>
      </c>
      <c r="E51" s="332">
        <f>(JANUARY!H48+FEBRUARY!H48+MARCH!H48+APRIL!H48+MAY!H48+JUNE!H48+JULY!H48+AUGUST!H48+SEPTEMBER!H48+OCTOBER!H48+NOVEMBER!H48+DECEMBER!H48)/$AF$17</f>
        <v>95.33961688321817</v>
      </c>
    </row>
    <row r="52" spans="1:5" ht="15" customHeight="1">
      <c r="A52" s="524"/>
      <c r="B52" s="331" t="s">
        <v>223</v>
      </c>
      <c r="C52" s="319">
        <f>(JANUARY!B46+FEBRUARY!B46+MARCH!B46+APRIL!B46+MAY!B46+JUNE!B46+JULY!B46+AUGUST!B46+SEPTEMBER!B46+OCTOBER!B46+NOVEMBER!B46+DECEMBER!B46)/$AE$17</f>
        <v>27.160971232820547</v>
      </c>
      <c r="D52" s="319">
        <f>(JANUARY!E46+FEBRUARY!E46+MARCH!E46+APRIL!E46+MAY!E46+JUNE!E46+JULY!E46+AUGUST!E46+SEPTEMBER!E46+OCTOBER!E46+NOVEMBER!E46+DECEMBER!E46)/$AG$17</f>
        <v>69.021583623433145</v>
      </c>
      <c r="E52" s="332">
        <f>(JANUARY!H46+FEBRUARY!H46+MARCH!H46+APRIL!H46+MAY!H46+JUNE!H46+JULY!H46+AUGUST!H46+SEPTEMBER!H46+OCTOBER!H46+NOVEMBER!H46+DECEMBER!H46)/$AF$17</f>
        <v>19.486982941885689</v>
      </c>
    </row>
    <row r="53" spans="1:5" ht="15" customHeight="1">
      <c r="A53" s="524"/>
      <c r="B53" s="335" t="s">
        <v>224</v>
      </c>
      <c r="C53" s="320">
        <f>(JANUARY!B45+FEBRUARY!B45+MARCH!B45+APRIL!B45+MAY!B45+JUNE!B45+JULY!B45+AUGUST!B45+SEPTEMBER!B45+OCTOBER!B45+NOVEMBER!B45+DECEMBER!B45)/$AE$17</f>
        <v>74.650096469615548</v>
      </c>
      <c r="D53" s="320">
        <f>(JANUARY!E45+FEBRUARY!E45+MARCH!E45+APRIL!E45+MAY!E45+JUNE!E45+JULY!E45+AUGUST!E45+SEPTEMBER!E45+OCTOBER!E45+NOVEMBER!E45+DECEMBER!E45)/$AG$17</f>
        <v>222.5713791415142</v>
      </c>
      <c r="E53" s="336">
        <f>(JANUARY!H45+FEBRUARY!H45+MARCH!H45+APRIL!H45+MAY!H45+JUNE!H45+JULY!H45+AUGUST!H45+SEPTEMBER!H45+OCTOBER!H45+NOVEMBER!H45+DECEMBER!H45)/$AF$17</f>
        <v>47.127821278896874</v>
      </c>
    </row>
    <row r="54" spans="1:5" ht="15" customHeight="1">
      <c r="A54" s="525"/>
      <c r="B54" s="335" t="s">
        <v>229</v>
      </c>
      <c r="C54" s="346">
        <f>(SUM(JANUARY!AH39:AQ39)+SUM(FEBRUARY!AH39:AQ39)+SUM(MARCH!AH39:AQ39)+SUM(APRIL!AH39:AQ39)+SUM(MAY!AH39:AQ39)+SUM(JUNE!AH39:AQ39)+SUM(JULY!AH39:AQ39)+SUM(AUGUST!AH39:AQ39)+SUM(SEPTEMBER!AH39:AQ39)+SUM(OCTOBER!AH39:AQ39)+SUM(NOVEMBER!AH39:AQ39)+SUM(DECEMBER!AH39:AQ39))</f>
        <v>4070080.3097750135</v>
      </c>
      <c r="D54" s="346">
        <f>(JANUARY!E45/JANUARY!AH40+FEBRUARY!E45/FEBRUARY!AH40+MARCH!E45/MARCH!AH40+APRIL!E45/APRIL!AH40+MAY!E45/MAY!AH40+JUNE!E45/JUNE!AH40+JULY!E45/JULY!AH40+AUGUST!E45/AUGUST!AH40+SEPTEMBER!E45/SEPTEMBER!AH40+OCTOBER!E45/OCTOBER!AH40+NOVEMBER!E45/NOVEMBER!AH40+DECEMBER!E45/DECEMBER!AH40)</f>
        <v>1960814.3275894108</v>
      </c>
      <c r="E54" s="347">
        <f>C54-D54</f>
        <v>2109265.9821856027</v>
      </c>
    </row>
    <row r="55" spans="1:5" ht="15" customHeight="1" thickBot="1">
      <c r="A55" s="525"/>
      <c r="B55" s="335" t="s">
        <v>230</v>
      </c>
      <c r="C55" s="348">
        <f>C54/C58</f>
        <v>949.77101597594174</v>
      </c>
      <c r="D55" s="348">
        <f>D54/D58</f>
        <v>2840.745290441524</v>
      </c>
      <c r="E55" s="349">
        <f>E54/E58</f>
        <v>597.84979636235778</v>
      </c>
    </row>
    <row r="56" spans="1:5" ht="15" customHeight="1" thickTop="1">
      <c r="A56" s="525"/>
      <c r="B56" s="337" t="s">
        <v>225</v>
      </c>
      <c r="C56" s="338">
        <f>C48+C49+C51+C52+C53</f>
        <v>960.02797862667944</v>
      </c>
      <c r="D56" s="338">
        <f>D48+D49+D51+D52+D53</f>
        <v>2893.5895298962232</v>
      </c>
      <c r="E56" s="339">
        <f>E48+E49+E51+E52+E53</f>
        <v>599.96736911506173</v>
      </c>
    </row>
    <row r="57" spans="1:5" ht="15" customHeight="1">
      <c r="A57" s="525"/>
      <c r="B57" s="340" t="s">
        <v>226</v>
      </c>
      <c r="C57" s="341">
        <f>C56/1000</f>
        <v>0.96002797862667943</v>
      </c>
      <c r="D57" s="341">
        <f>D56/1000</f>
        <v>2.8935895298962233</v>
      </c>
      <c r="E57" s="342">
        <f>E56/1000</f>
        <v>0.59996736911506177</v>
      </c>
    </row>
    <row r="58" spans="1:5" ht="15" customHeight="1" thickBot="1">
      <c r="A58" s="526"/>
      <c r="B58" s="343" t="s">
        <v>227</v>
      </c>
      <c r="C58" s="344">
        <f>AE17</f>
        <v>4285.3279804425101</v>
      </c>
      <c r="D58" s="344">
        <f>AG17</f>
        <v>690.24644137829421</v>
      </c>
      <c r="E58" s="345">
        <f>AF17</f>
        <v>3528.0868121383</v>
      </c>
    </row>
    <row r="59" spans="1:5" ht="15.75" thickTop="1"/>
  </sheetData>
  <sheetProtection password="A25B" sheet="1" objects="1" scenarios="1" selectLockedCells="1" selectUnlockedCells="1"/>
  <customSheetViews>
    <customSheetView guid="{322E6371-A03C-4BCA-B267-212DFC76880A}" scale="80" fitToPage="1" topLeftCell="A4">
      <selection activeCell="H40" sqref="H40"/>
      <pageMargins left="0.7" right="0.7" top="0.75" bottom="0.75" header="0.3" footer="0.3"/>
      <pageSetup paperSize="17" scale="62" orientation="landscape" r:id="rId1"/>
    </customSheetView>
  </customSheetViews>
  <mergeCells count="14">
    <mergeCell ref="A48:A58"/>
    <mergeCell ref="A33:A45"/>
    <mergeCell ref="A4:A15"/>
    <mergeCell ref="A18:A29"/>
    <mergeCell ref="A1:B1"/>
    <mergeCell ref="A16:B16"/>
    <mergeCell ref="C1:AH1"/>
    <mergeCell ref="A2:B3"/>
    <mergeCell ref="AE2:AH2"/>
    <mergeCell ref="C2:I2"/>
    <mergeCell ref="J2:O2"/>
    <mergeCell ref="P2:U2"/>
    <mergeCell ref="V2:AB2"/>
    <mergeCell ref="AC2:AD2"/>
  </mergeCells>
  <pageMargins left="0.7" right="0.7" top="0.75" bottom="0.75" header="0.3" footer="0.3"/>
  <pageSetup paperSize="17" scale="62" orientation="landscape"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1"/>
  <dimension ref="L30"/>
  <sheetViews>
    <sheetView showGridLines="0" topLeftCell="A13" workbookViewId="0">
      <selection activeCell="N37" sqref="N37"/>
    </sheetView>
  </sheetViews>
  <sheetFormatPr defaultRowHeight="15"/>
  <sheetData>
    <row r="30" spans="12:12">
      <c r="L30" s="324" t="s">
        <v>231</v>
      </c>
    </row>
  </sheetData>
  <sheetProtection password="A25B" sheet="1" objects="1" scenarios="1"/>
  <customSheetViews>
    <customSheetView guid="{322E6371-A03C-4BCA-B267-212DFC76880A}" showGridLines="0">
      <selection activeCell="N37" sqref="N37"/>
      <pageMargins left="0.7" right="0.7" top="0.75" bottom="0.75" header="0.3" footer="0.3"/>
      <pageSetup orientation="portrait" r:id="rId1"/>
    </customSheetView>
  </customSheetViews>
  <pageMargins left="0.7" right="0.7" top="0.75" bottom="0.75" header="0.3" footer="0.3"/>
  <pageSetup orientation="portrait" r:id="rId2"/>
  <legacyDrawing r:id="rId3"/>
  <oleObjects>
    <oleObject progId="Word.Document.12" shapeId="62465" r:id="rId4"/>
    <oleObject progId="Word.Document.12" shapeId="62466" r:id="rId5"/>
  </oleObjects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I45"/>
  <sheetViews>
    <sheetView tabSelected="1" topLeftCell="A10" zoomScaleNormal="100" workbookViewId="0">
      <selection activeCell="D19" sqref="D19"/>
    </sheetView>
  </sheetViews>
  <sheetFormatPr defaultRowHeight="15"/>
  <cols>
    <col min="1" max="2" width="12.7109375" customWidth="1"/>
    <col min="3" max="4" width="9.140625" customWidth="1"/>
    <col min="5" max="5" width="24.7109375" bestFit="1" customWidth="1"/>
    <col min="6" max="6" width="9.85546875" bestFit="1" customWidth="1"/>
    <col min="7" max="35" width="9.140625" customWidth="1"/>
  </cols>
  <sheetData>
    <row r="1" spans="1:35" ht="21.75" thickBot="1">
      <c r="A1" s="611">
        <v>2012</v>
      </c>
      <c r="B1" s="643"/>
      <c r="C1" s="644" t="s">
        <v>90</v>
      </c>
      <c r="D1" s="645"/>
      <c r="E1" s="645"/>
      <c r="F1" s="645"/>
      <c r="G1" s="645"/>
      <c r="H1" s="645"/>
      <c r="I1" s="645"/>
      <c r="J1" s="645"/>
      <c r="K1" s="645"/>
      <c r="L1" s="645"/>
      <c r="M1" s="645"/>
      <c r="N1" s="645"/>
      <c r="O1" s="645"/>
      <c r="P1" s="645"/>
      <c r="Q1" s="614"/>
      <c r="R1" s="614"/>
      <c r="S1" s="614"/>
      <c r="T1" s="614"/>
      <c r="U1" s="614"/>
      <c r="V1" s="614"/>
      <c r="W1" s="614"/>
      <c r="X1" s="614"/>
      <c r="Y1" s="614"/>
      <c r="Z1" s="614"/>
      <c r="AA1" s="614"/>
      <c r="AB1" s="614"/>
      <c r="AC1" s="614"/>
      <c r="AD1" s="614"/>
      <c r="AE1" s="614"/>
      <c r="AF1" s="614"/>
      <c r="AG1" s="614"/>
      <c r="AH1" s="614"/>
      <c r="AI1" s="646"/>
    </row>
    <row r="2" spans="1:35" ht="28.5" customHeight="1" thickBot="1">
      <c r="A2" s="647"/>
      <c r="B2" s="505"/>
      <c r="C2" s="650" t="s">
        <v>66</v>
      </c>
      <c r="D2" s="510"/>
      <c r="E2" s="510"/>
      <c r="F2" s="510"/>
      <c r="G2" s="510"/>
      <c r="H2" s="510"/>
      <c r="I2" s="510"/>
      <c r="J2" s="510"/>
      <c r="K2" s="510"/>
      <c r="L2" s="510"/>
      <c r="M2" s="651"/>
      <c r="N2" s="651"/>
      <c r="O2" s="651"/>
      <c r="P2" s="652"/>
      <c r="Q2" s="653" t="s">
        <v>71</v>
      </c>
      <c r="R2" s="654"/>
      <c r="S2" s="654"/>
      <c r="T2" s="654"/>
      <c r="U2" s="654"/>
      <c r="V2" s="654"/>
      <c r="W2" s="654"/>
      <c r="X2" s="654"/>
      <c r="Y2" s="654"/>
      <c r="Z2" s="654"/>
      <c r="AA2" s="654"/>
      <c r="AB2" s="654"/>
      <c r="AC2" s="655"/>
      <c r="AD2" s="656" t="s">
        <v>83</v>
      </c>
      <c r="AE2" s="657"/>
      <c r="AF2" s="660" t="s">
        <v>233</v>
      </c>
      <c r="AG2" s="661"/>
      <c r="AH2" s="661"/>
      <c r="AI2" s="662"/>
    </row>
    <row r="3" spans="1:35" ht="28.5" customHeight="1" thickBot="1">
      <c r="A3" s="647"/>
      <c r="B3" s="505"/>
      <c r="C3" s="650" t="s">
        <v>91</v>
      </c>
      <c r="D3" s="510"/>
      <c r="E3" s="510"/>
      <c r="F3" s="510"/>
      <c r="G3" s="510"/>
      <c r="H3" s="510"/>
      <c r="I3" s="511"/>
      <c r="J3" s="515" t="s">
        <v>92</v>
      </c>
      <c r="K3" s="516"/>
      <c r="L3" s="517"/>
      <c r="M3" s="620" t="s">
        <v>93</v>
      </c>
      <c r="N3" s="621"/>
      <c r="O3" s="621"/>
      <c r="P3" s="622"/>
      <c r="Q3" s="619" t="s">
        <v>94</v>
      </c>
      <c r="R3" s="513"/>
      <c r="S3" s="513"/>
      <c r="T3" s="513"/>
      <c r="U3" s="513"/>
      <c r="V3" s="514"/>
      <c r="W3" s="515" t="s">
        <v>95</v>
      </c>
      <c r="X3" s="516"/>
      <c r="Y3" s="517"/>
      <c r="Z3" s="620" t="s">
        <v>96</v>
      </c>
      <c r="AA3" s="621"/>
      <c r="AB3" s="621"/>
      <c r="AC3" s="622"/>
      <c r="AD3" s="658"/>
      <c r="AE3" s="659"/>
      <c r="AF3" s="663"/>
      <c r="AG3" s="664"/>
      <c r="AH3" s="664"/>
      <c r="AI3" s="665"/>
    </row>
    <row r="4" spans="1:35" ht="129.75" thickBot="1">
      <c r="A4" s="648"/>
      <c r="B4" s="649"/>
      <c r="C4" s="130" t="s">
        <v>67</v>
      </c>
      <c r="D4" s="131" t="s">
        <v>68</v>
      </c>
      <c r="E4" s="131" t="s">
        <v>11</v>
      </c>
      <c r="F4" s="131" t="s">
        <v>12</v>
      </c>
      <c r="G4" s="131" t="s">
        <v>13</v>
      </c>
      <c r="H4" s="131" t="s">
        <v>69</v>
      </c>
      <c r="I4" s="131" t="s">
        <v>70</v>
      </c>
      <c r="J4" s="132" t="s">
        <v>36</v>
      </c>
      <c r="K4" s="132" t="s">
        <v>75</v>
      </c>
      <c r="L4" s="132" t="s">
        <v>77</v>
      </c>
      <c r="M4" s="133" t="s">
        <v>79</v>
      </c>
      <c r="N4" s="133" t="s">
        <v>81</v>
      </c>
      <c r="O4" s="133" t="s">
        <v>46</v>
      </c>
      <c r="P4" s="134" t="s">
        <v>97</v>
      </c>
      <c r="Q4" s="135" t="s">
        <v>67</v>
      </c>
      <c r="R4" s="136" t="s">
        <v>72</v>
      </c>
      <c r="S4" s="136" t="s">
        <v>17</v>
      </c>
      <c r="T4" s="136" t="s">
        <v>18</v>
      </c>
      <c r="U4" s="136" t="s">
        <v>19</v>
      </c>
      <c r="V4" s="136" t="s">
        <v>13</v>
      </c>
      <c r="W4" s="132" t="s">
        <v>35</v>
      </c>
      <c r="X4" s="132" t="s">
        <v>74</v>
      </c>
      <c r="Y4" s="132" t="s">
        <v>76</v>
      </c>
      <c r="Z4" s="133" t="s">
        <v>78</v>
      </c>
      <c r="AA4" s="133" t="s">
        <v>80</v>
      </c>
      <c r="AB4" s="133" t="s">
        <v>45</v>
      </c>
      <c r="AC4" s="134" t="s">
        <v>98</v>
      </c>
      <c r="AD4" s="137" t="s">
        <v>7</v>
      </c>
      <c r="AE4" s="138" t="s">
        <v>84</v>
      </c>
      <c r="AF4" s="139" t="s">
        <v>27</v>
      </c>
      <c r="AG4" s="139" t="s">
        <v>31</v>
      </c>
      <c r="AH4" s="139" t="s">
        <v>32</v>
      </c>
      <c r="AI4" s="140" t="s">
        <v>33</v>
      </c>
    </row>
    <row r="5" spans="1:35" ht="15" customHeight="1">
      <c r="A5" s="623" t="s">
        <v>99</v>
      </c>
      <c r="B5" s="624"/>
      <c r="C5" s="144" t="s">
        <v>100</v>
      </c>
      <c r="D5" s="142" t="s">
        <v>100</v>
      </c>
      <c r="E5" s="142" t="s">
        <v>100</v>
      </c>
      <c r="F5" s="142" t="s">
        <v>100</v>
      </c>
      <c r="G5" s="142" t="s">
        <v>100</v>
      </c>
      <c r="H5" s="142" t="s">
        <v>101</v>
      </c>
      <c r="I5" s="142" t="s">
        <v>100</v>
      </c>
      <c r="J5" s="142" t="s">
        <v>100</v>
      </c>
      <c r="K5" s="142" t="s">
        <v>100</v>
      </c>
      <c r="L5" s="142" t="s">
        <v>100</v>
      </c>
      <c r="M5" s="142" t="s">
        <v>101</v>
      </c>
      <c r="N5" s="142" t="s">
        <v>100</v>
      </c>
      <c r="O5" s="142" t="s">
        <v>100</v>
      </c>
      <c r="P5" s="143" t="s">
        <v>100</v>
      </c>
      <c r="Q5" s="141" t="s">
        <v>100</v>
      </c>
      <c r="R5" s="142" t="s">
        <v>100</v>
      </c>
      <c r="S5" s="142" t="s">
        <v>100</v>
      </c>
      <c r="T5" s="142" t="s">
        <v>100</v>
      </c>
      <c r="U5" s="142" t="s">
        <v>100</v>
      </c>
      <c r="V5" s="142" t="s">
        <v>100</v>
      </c>
      <c r="W5" s="142" t="s">
        <v>100</v>
      </c>
      <c r="X5" s="142" t="s">
        <v>100</v>
      </c>
      <c r="Y5" s="142" t="s">
        <v>100</v>
      </c>
      <c r="Z5" s="142" t="s">
        <v>101</v>
      </c>
      <c r="AA5" s="142" t="s">
        <v>100</v>
      </c>
      <c r="AB5" s="142" t="s">
        <v>100</v>
      </c>
      <c r="AC5" s="143" t="s">
        <v>100</v>
      </c>
      <c r="AD5" s="144" t="s">
        <v>101</v>
      </c>
      <c r="AE5" s="171" t="s">
        <v>100</v>
      </c>
      <c r="AF5" s="145" t="s">
        <v>102</v>
      </c>
      <c r="AG5" s="145" t="s">
        <v>102</v>
      </c>
      <c r="AH5" s="145" t="s">
        <v>102</v>
      </c>
      <c r="AI5" s="146" t="s">
        <v>34</v>
      </c>
    </row>
    <row r="6" spans="1:35" ht="15.75" thickBot="1">
      <c r="A6" s="594"/>
      <c r="B6" s="625"/>
      <c r="C6" s="144">
        <f>'Yearly Summary '!$C$17</f>
        <v>0</v>
      </c>
      <c r="D6" s="142">
        <f>'Yearly Summary '!$D$17</f>
        <v>23088.244023311119</v>
      </c>
      <c r="E6" s="142">
        <f>'Yearly Summary '!$E$17</f>
        <v>235296.22299290099</v>
      </c>
      <c r="F6" s="142">
        <f>'Yearly Summary '!$F$17</f>
        <v>2263.6512360801321</v>
      </c>
      <c r="G6" s="142">
        <f>'Yearly Summary '!$G$17</f>
        <v>5.4733580827713029</v>
      </c>
      <c r="H6" s="142">
        <f>'Yearly Summary '!$H$17</f>
        <v>655572.89851671853</v>
      </c>
      <c r="I6" s="142">
        <f>'Yearly Summary '!$I$17</f>
        <v>5865.0789523989042</v>
      </c>
      <c r="J6" s="142">
        <f>'Yearly Summary '!$Q$17</f>
        <v>0</v>
      </c>
      <c r="K6" s="142">
        <f>'Yearly Summary '!$S$17</f>
        <v>0</v>
      </c>
      <c r="L6" s="142">
        <f>'Yearly Summary '!$U$17</f>
        <v>0</v>
      </c>
      <c r="M6" s="142">
        <f>'Yearly Summary '!$W$17</f>
        <v>19879.851215300048</v>
      </c>
      <c r="N6" s="142">
        <f>'Yearly Summary '!$Y$17</f>
        <v>1674.155228680688</v>
      </c>
      <c r="O6" s="142">
        <f>'Yearly Summary '!$AA$17</f>
        <v>11893.087424063639</v>
      </c>
      <c r="P6" s="143">
        <f>('Yearly Summary '!$AB$17)*(1-AI6)</f>
        <v>0</v>
      </c>
      <c r="Q6" s="141">
        <f>'Yearly Summary '!$J$17</f>
        <v>115559.84365097285</v>
      </c>
      <c r="R6" s="142">
        <f>'Yearly Summary '!$K$17</f>
        <v>270491.82326653803</v>
      </c>
      <c r="S6" s="142">
        <f>'Yearly Summary '!$L$17</f>
        <v>4727.911100514727</v>
      </c>
      <c r="T6" s="142">
        <f>'Yearly Summary '!$M$17</f>
        <v>131.64815248608602</v>
      </c>
      <c r="U6" s="142">
        <f>'Yearly Summary '!N17</f>
        <v>677.65566691656875</v>
      </c>
      <c r="V6" s="142">
        <f>'Yearly Summary '!O17</f>
        <v>297.68494150489562</v>
      </c>
      <c r="W6" s="142">
        <f>'Yearly Summary '!$P$17</f>
        <v>0</v>
      </c>
      <c r="X6" s="142">
        <f>'Yearly Summary '!$R$17</f>
        <v>0</v>
      </c>
      <c r="Y6" s="142">
        <f>'Yearly Summary '!$T$17</f>
        <v>0</v>
      </c>
      <c r="Z6" s="142">
        <f>'Yearly Summary '!$V$17</f>
        <v>95560.938091570104</v>
      </c>
      <c r="AA6" s="142">
        <f>'Yearly Summary '!$X$17</f>
        <v>8755.6560091353294</v>
      </c>
      <c r="AB6" s="142">
        <f>'Yearly Summary '!$Z$17</f>
        <v>75072.4743143003</v>
      </c>
      <c r="AC6" s="143">
        <f>('Yearly Summary '!$AB$17)*AI6</f>
        <v>0</v>
      </c>
      <c r="AD6" s="144">
        <v>4688.3846085177338</v>
      </c>
      <c r="AE6" s="142">
        <v>0</v>
      </c>
      <c r="AF6" s="147">
        <f>'Yearly Summary '!$AE$17</f>
        <v>4285.3279804425101</v>
      </c>
      <c r="AG6" s="147">
        <f>'Yearly Summary '!$AF$17</f>
        <v>3528.0868121383</v>
      </c>
      <c r="AH6" s="147">
        <f>'Yearly Summary '!$AG$17</f>
        <v>690.24644137829421</v>
      </c>
      <c r="AI6" s="148">
        <f>'Yearly Summary '!$AH$17</f>
        <v>0.83636986461350016</v>
      </c>
    </row>
    <row r="7" spans="1:35" ht="15" customHeight="1">
      <c r="A7" s="596" t="s">
        <v>103</v>
      </c>
      <c r="B7" s="626"/>
      <c r="C7" s="152">
        <f>(C6*(1.029*8.34)*0.03)/2000</f>
        <v>0</v>
      </c>
      <c r="D7" s="150">
        <f>(D6*(1.4*8.34)*0.38)/2000</f>
        <v>51.219884071074311</v>
      </c>
      <c r="E7" s="150">
        <f>(E6*(1.54*8.34)*0.5)/2000</f>
        <v>755.51264240790579</v>
      </c>
      <c r="F7" s="150">
        <f>(F6*(1.04*8.34)*1)/2000</f>
        <v>9.8170026806323172</v>
      </c>
      <c r="G7" s="150">
        <f>(G6*(1.055*8.34)*0.005)/2000</f>
        <v>1.2039608940719967E-4</v>
      </c>
      <c r="H7" s="150">
        <f>H6/2000</f>
        <v>327.78644925835926</v>
      </c>
      <c r="I7" s="150">
        <f>(I6*(1.135*8.34)*0.35)/2000</f>
        <v>9.7156938997147364</v>
      </c>
      <c r="J7" s="150">
        <f>(J6*(1.055*8.34)*1)/2000</f>
        <v>0</v>
      </c>
      <c r="K7" s="150">
        <f>(K6*(1.055*8.34)*1)/2000</f>
        <v>0</v>
      </c>
      <c r="L7" s="150">
        <f>(L6*(1.4*8.34)*0.38)/2000</f>
        <v>0</v>
      </c>
      <c r="M7" s="150">
        <f>M6/2000</f>
        <v>9.9399256076500233</v>
      </c>
      <c r="N7" s="150">
        <f>(N6*(0.895*8.34)*0.29)/2000</f>
        <v>1.8119775466489825</v>
      </c>
      <c r="O7" s="150">
        <f>(O6*(1.54*8.34)*0.5)/2000</f>
        <v>38.187514409925939</v>
      </c>
      <c r="P7" s="151">
        <f>(P6*(1.135*8.34)*0.35)/2000</f>
        <v>0</v>
      </c>
      <c r="Q7" s="149">
        <f>(Q6*(1.029*8.34)*0.03)/2000</f>
        <v>14.875775997518065</v>
      </c>
      <c r="R7" s="150">
        <f>(R6*(1.4*8.34)*0.38)/2000</f>
        <v>600.06988040741862</v>
      </c>
      <c r="S7" s="150">
        <f>(S6*(1.04*8.34)*1)/2000</f>
        <v>20.504004860712271</v>
      </c>
      <c r="T7" s="150">
        <f>(T6*(1.135*8.34)*0.35)/2000</f>
        <v>0.21807944315815725</v>
      </c>
      <c r="U7" s="150">
        <f>(U6*(1.055*8.34)*0.005)/2000</f>
        <v>1.4906222291247034E-2</v>
      </c>
      <c r="V7" s="150">
        <f>(V6*(1.055*8.34)*0.005)/2000</f>
        <v>6.5481012370478134E-3</v>
      </c>
      <c r="W7" s="150">
        <f>(W6*(1.055*8.34)*1)/2000</f>
        <v>0</v>
      </c>
      <c r="X7" s="150">
        <f>(X6*(1.055*8.34)*1)/2000</f>
        <v>0</v>
      </c>
      <c r="Y7" s="150">
        <f>(Y6*(1.4*8.34)*0.38)/2000</f>
        <v>0</v>
      </c>
      <c r="Z7" s="150">
        <f>Z6/2000</f>
        <v>47.780469045785054</v>
      </c>
      <c r="AA7" s="150">
        <f>(AA6*(0.895*8.34)*0.29)/2000</f>
        <v>9.4764522566033804</v>
      </c>
      <c r="AB7" s="150">
        <f>(AB6*(1.54*8.34)*0.5)/2000</f>
        <v>241.05020777578684</v>
      </c>
      <c r="AC7" s="151">
        <f>(AC6*(1.135*8.34)*0.35)/2000</f>
        <v>0</v>
      </c>
      <c r="AD7" s="152">
        <f>AD6/2000</f>
        <v>2.344192304258867</v>
      </c>
      <c r="AE7" s="150">
        <f>(AE6*(1.029*8.34)*0.03)/2000</f>
        <v>0</v>
      </c>
      <c r="AF7" s="630" t="s">
        <v>234</v>
      </c>
      <c r="AG7" s="631"/>
      <c r="AH7" s="631"/>
      <c r="AI7" s="632"/>
    </row>
    <row r="8" spans="1:35">
      <c r="A8" s="639" t="s">
        <v>104</v>
      </c>
      <c r="B8" s="640"/>
      <c r="C8" s="156">
        <f>C7/$AH$6</f>
        <v>0</v>
      </c>
      <c r="D8" s="154">
        <f>D7/$AH$6</f>
        <v>7.4205212806019966E-2</v>
      </c>
      <c r="E8" s="154">
        <f t="shared" ref="E8:P8" si="0">E7/$AH$6</f>
        <v>1.0945549257730138</v>
      </c>
      <c r="F8" s="154">
        <f t="shared" si="0"/>
        <v>1.4222460402736134E-2</v>
      </c>
      <c r="G8" s="154">
        <f t="shared" si="0"/>
        <v>1.7442478829270166E-7</v>
      </c>
      <c r="H8" s="154">
        <f t="shared" si="0"/>
        <v>0.47488321504972986</v>
      </c>
      <c r="I8" s="154">
        <f t="shared" si="0"/>
        <v>1.4075688503825238E-2</v>
      </c>
      <c r="J8" s="154">
        <f t="shared" si="0"/>
        <v>0</v>
      </c>
      <c r="K8" s="154">
        <f t="shared" si="0"/>
        <v>0</v>
      </c>
      <c r="L8" s="154">
        <f t="shared" si="0"/>
        <v>0</v>
      </c>
      <c r="M8" s="154">
        <f t="shared" si="0"/>
        <v>1.4400545967034375E-2</v>
      </c>
      <c r="N8" s="154">
        <f t="shared" si="0"/>
        <v>2.6251168249861586E-3</v>
      </c>
      <c r="O8" s="154">
        <f t="shared" si="0"/>
        <v>5.532446401849251E-2</v>
      </c>
      <c r="P8" s="155">
        <f t="shared" si="0"/>
        <v>0</v>
      </c>
      <c r="Q8" s="153">
        <f>Q7/$AG$6</f>
        <v>4.2163860442260967E-3</v>
      </c>
      <c r="R8" s="154">
        <f t="shared" ref="R8:AD8" si="1">R7/$AG$6</f>
        <v>0.17008364939969511</v>
      </c>
      <c r="S8" s="154">
        <f t="shared" si="1"/>
        <v>5.8116497559438512E-3</v>
      </c>
      <c r="T8" s="154">
        <f t="shared" si="1"/>
        <v>6.1812380128476436E-5</v>
      </c>
      <c r="U8" s="154">
        <f t="shared" si="1"/>
        <v>4.2250157337292619E-6</v>
      </c>
      <c r="V8" s="154">
        <f t="shared" si="1"/>
        <v>1.8559920959198692E-6</v>
      </c>
      <c r="W8" s="154">
        <f t="shared" si="1"/>
        <v>0</v>
      </c>
      <c r="X8" s="154">
        <f t="shared" si="1"/>
        <v>0</v>
      </c>
      <c r="Y8" s="154">
        <f t="shared" si="1"/>
        <v>0</v>
      </c>
      <c r="Z8" s="154">
        <f t="shared" si="1"/>
        <v>1.3542883605187227E-2</v>
      </c>
      <c r="AA8" s="154">
        <f t="shared" si="1"/>
        <v>2.6860031402855134E-3</v>
      </c>
      <c r="AB8" s="154">
        <f t="shared" si="1"/>
        <v>6.8323207622459636E-2</v>
      </c>
      <c r="AC8" s="155">
        <f t="shared" si="1"/>
        <v>0</v>
      </c>
      <c r="AD8" s="156">
        <f t="shared" si="1"/>
        <v>6.6443725142865766E-4</v>
      </c>
      <c r="AE8" s="154"/>
      <c r="AF8" s="633"/>
      <c r="AG8" s="634"/>
      <c r="AH8" s="634"/>
      <c r="AI8" s="635"/>
    </row>
    <row r="9" spans="1:35" ht="15.75" thickBot="1">
      <c r="A9" s="641" t="s">
        <v>105</v>
      </c>
      <c r="B9" s="642"/>
      <c r="C9" s="217">
        <f t="shared" ref="C9:P9" si="2">C7/$AH$19</f>
        <v>0</v>
      </c>
      <c r="D9" s="157">
        <f t="shared" si="2"/>
        <v>8.5993730589769157</v>
      </c>
      <c r="E9" s="157">
        <f t="shared" si="2"/>
        <v>126.8440017127656</v>
      </c>
      <c r="F9" s="157">
        <f t="shared" si="2"/>
        <v>1.6481893683045004</v>
      </c>
      <c r="G9" s="157">
        <f t="shared" si="2"/>
        <v>2.0213456286191344E-5</v>
      </c>
      <c r="H9" s="157">
        <f t="shared" si="2"/>
        <v>55.032493961498268</v>
      </c>
      <c r="I9" s="157">
        <f t="shared" si="2"/>
        <v>1.6311805051049753</v>
      </c>
      <c r="J9" s="157">
        <f t="shared" si="2"/>
        <v>0</v>
      </c>
      <c r="K9" s="157">
        <f t="shared" si="2"/>
        <v>0</v>
      </c>
      <c r="L9" s="157">
        <f t="shared" si="2"/>
        <v>0</v>
      </c>
      <c r="M9" s="157">
        <f t="shared" si="2"/>
        <v>1.6688270586487393</v>
      </c>
      <c r="N9" s="157">
        <f t="shared" si="2"/>
        <v>0.30421527070429244</v>
      </c>
      <c r="O9" s="157">
        <f t="shared" si="2"/>
        <v>6.4113515397716929</v>
      </c>
      <c r="P9" s="158">
        <f t="shared" si="2"/>
        <v>0</v>
      </c>
      <c r="Q9" s="159">
        <f t="shared" ref="Q9:AD9" si="3">Q7/$AF$19</f>
        <v>1.1076879235911845E-2</v>
      </c>
      <c r="R9" s="160">
        <f t="shared" si="3"/>
        <v>0.44682721758448335</v>
      </c>
      <c r="S9" s="160">
        <f t="shared" si="3"/>
        <v>1.5267800868509514E-2</v>
      </c>
      <c r="T9" s="160">
        <f t="shared" si="3"/>
        <v>1.6238747182673659E-4</v>
      </c>
      <c r="U9" s="160">
        <f t="shared" si="3"/>
        <v>1.1099550316659037E-5</v>
      </c>
      <c r="V9" s="160">
        <f t="shared" si="3"/>
        <v>4.8758818793322252E-6</v>
      </c>
      <c r="W9" s="160">
        <f t="shared" si="3"/>
        <v>0</v>
      </c>
      <c r="X9" s="160">
        <f t="shared" si="3"/>
        <v>0</v>
      </c>
      <c r="Y9" s="160">
        <f t="shared" si="3"/>
        <v>0</v>
      </c>
      <c r="Z9" s="160">
        <f t="shared" si="3"/>
        <v>3.5578546325495133E-2</v>
      </c>
      <c r="AA9" s="160">
        <f t="shared" si="3"/>
        <v>7.0564061497560508E-3</v>
      </c>
      <c r="AB9" s="160">
        <f t="shared" si="3"/>
        <v>0.17949208443104661</v>
      </c>
      <c r="AC9" s="161">
        <f t="shared" si="3"/>
        <v>0</v>
      </c>
      <c r="AD9" s="162">
        <f t="shared" si="3"/>
        <v>1.7455449090092317E-3</v>
      </c>
      <c r="AE9" s="160"/>
      <c r="AF9" s="636"/>
      <c r="AG9" s="637"/>
      <c r="AH9" s="637"/>
      <c r="AI9" s="638"/>
    </row>
    <row r="10" spans="1:35" ht="15.75" thickBot="1">
      <c r="A10" s="598" t="s">
        <v>106</v>
      </c>
      <c r="B10" s="610"/>
      <c r="C10" s="166">
        <f>'Yearly Summary '!$C$30</f>
        <v>0</v>
      </c>
      <c r="D10" s="164">
        <f>'Yearly Summary '!D30</f>
        <v>33190.484878056152</v>
      </c>
      <c r="E10" s="164">
        <f>'Yearly Summary '!E30</f>
        <v>493547.05519635871</v>
      </c>
      <c r="F10" s="164">
        <f>'Yearly Summary '!F30</f>
        <v>10721.443137598973</v>
      </c>
      <c r="G10" s="164">
        <f>'Yearly Summary '!G30</f>
        <v>0.31953464487218863</v>
      </c>
      <c r="H10" s="164">
        <f>'Yearly Summary '!H30</f>
        <v>34876.478201089441</v>
      </c>
      <c r="I10" s="164">
        <f>'Yearly Summary '!I30</f>
        <v>21332.332708722235</v>
      </c>
      <c r="J10" s="164">
        <f>'Yearly Summary '!$Q$30</f>
        <v>0</v>
      </c>
      <c r="K10" s="164">
        <v>1.2105721215442565E-3</v>
      </c>
      <c r="L10" s="164">
        <v>1.8505665867433036E-2</v>
      </c>
      <c r="M10" s="164">
        <f>'Yearly Summary '!$W$30</f>
        <v>5229.0686049460437</v>
      </c>
      <c r="N10" s="164">
        <f>'Yearly Summary '!$Y$30</f>
        <v>1923.3060471147592</v>
      </c>
      <c r="O10" s="164">
        <f>'Yearly Summary '!$AA$30</f>
        <v>24584.747632369363</v>
      </c>
      <c r="P10" s="165">
        <f>('Yearly Summary '!$AB$30)*(1-AI6)</f>
        <v>0</v>
      </c>
      <c r="Q10" s="163">
        <f>'Yearly Summary '!J30</f>
        <v>105320.49406242788</v>
      </c>
      <c r="R10" s="164">
        <f>'Yearly Summary '!K30</f>
        <v>388845.28250400728</v>
      </c>
      <c r="S10" s="164">
        <f>'Yearly Summary '!L30</f>
        <v>22393.038828529694</v>
      </c>
      <c r="T10" s="164">
        <f>'Yearly Summary '!M30</f>
        <v>49.517346187201476</v>
      </c>
      <c r="U10" s="164">
        <f>'Yearly Summary '!N30</f>
        <v>39.561537834589288</v>
      </c>
      <c r="V10" s="164">
        <f>'Yearly Summary '!O30</f>
        <v>17.378846885055804</v>
      </c>
      <c r="W10" s="164">
        <f>'Yearly Summary '!$P$30</f>
        <v>0</v>
      </c>
      <c r="X10" s="164">
        <f>'Yearly Summary '!$R$30</f>
        <v>0</v>
      </c>
      <c r="Y10" s="164">
        <v>0.11860580125559859</v>
      </c>
      <c r="Z10" s="164">
        <f>'Yearly Summary '!$V$30</f>
        <v>26024.388091093111</v>
      </c>
      <c r="AA10" s="164">
        <f>'Yearly Summary '!$X$30</f>
        <v>10051.984908393426</v>
      </c>
      <c r="AB10" s="164">
        <f>'Yearly Summary '!$Z$30</f>
        <v>158358.86929828551</v>
      </c>
      <c r="AC10" s="165">
        <f>('Yearly Summary '!$AB$30)*AI6</f>
        <v>0</v>
      </c>
      <c r="AD10" s="166">
        <f>'Yearly Summary '!$AC$30</f>
        <v>7.9203080532948347</v>
      </c>
      <c r="AE10" s="164">
        <f>'Yearly Summary '!$AD$30</f>
        <v>0</v>
      </c>
      <c r="AF10" s="167" t="s">
        <v>107</v>
      </c>
      <c r="AG10" s="168">
        <f>'[1]Yearly Summary '!$Q$29</f>
        <v>23.624071483337403</v>
      </c>
      <c r="AH10" s="167" t="s">
        <v>108</v>
      </c>
      <c r="AI10" s="169">
        <f>'[1]Yearly Summary '!$R$29</f>
        <v>1.9313404541015625E-3</v>
      </c>
    </row>
    <row r="11" spans="1:35" ht="15.75" thickBot="1">
      <c r="A11" s="497" t="s">
        <v>206</v>
      </c>
      <c r="B11" s="215"/>
      <c r="C11" s="615" t="s">
        <v>117</v>
      </c>
      <c r="D11" s="616"/>
      <c r="E11" s="616"/>
      <c r="F11" s="218">
        <f>SUM(C10:P10)</f>
        <v>625405.2556571383</v>
      </c>
      <c r="G11" s="617" t="s">
        <v>118</v>
      </c>
      <c r="H11" s="616"/>
      <c r="I11" s="616"/>
      <c r="J11" s="350">
        <f>SUM(Q10:AE10)</f>
        <v>711108.55433749827</v>
      </c>
      <c r="K11" s="617" t="s">
        <v>119</v>
      </c>
      <c r="L11" s="618"/>
      <c r="M11" s="618">
        <f>SUM(C10:AE10)</f>
        <v>1336513.8099946368</v>
      </c>
      <c r="N11" s="627"/>
      <c r="O11" s="628" t="s">
        <v>120</v>
      </c>
      <c r="P11" s="629"/>
      <c r="Q11" s="629"/>
      <c r="R11" s="219">
        <f>($AG$6+$AH$6)/($AG$19+$AI$19)</f>
        <v>3.1829569842647567</v>
      </c>
      <c r="S11" s="216"/>
      <c r="T11" s="216"/>
      <c r="U11" s="216"/>
      <c r="V11" s="216"/>
      <c r="W11" s="216"/>
      <c r="X11" s="216"/>
      <c r="Y11" s="216"/>
      <c r="Z11" s="216"/>
      <c r="AA11" s="216"/>
      <c r="AB11" s="216"/>
      <c r="AC11" s="216"/>
      <c r="AD11" s="216"/>
      <c r="AE11" s="183"/>
      <c r="AF11" s="537" t="s">
        <v>110</v>
      </c>
      <c r="AG11" s="537" t="s">
        <v>111</v>
      </c>
      <c r="AH11" s="537" t="s">
        <v>112</v>
      </c>
      <c r="AI11" s="537" t="s">
        <v>113</v>
      </c>
    </row>
    <row r="12" spans="1:35" ht="21.75" customHeight="1" thickBot="1">
      <c r="A12" s="611">
        <f>A1+1</f>
        <v>2013</v>
      </c>
      <c r="B12" s="612"/>
      <c r="C12" s="613" t="s">
        <v>109</v>
      </c>
      <c r="D12" s="613"/>
      <c r="E12" s="613"/>
      <c r="F12" s="613"/>
      <c r="G12" s="613"/>
      <c r="H12" s="613"/>
      <c r="I12" s="613"/>
      <c r="J12" s="613"/>
      <c r="K12" s="613"/>
      <c r="L12" s="613"/>
      <c r="M12" s="613"/>
      <c r="N12" s="613"/>
      <c r="O12" s="613"/>
      <c r="P12" s="613"/>
      <c r="Q12" s="613"/>
      <c r="R12" s="613"/>
      <c r="S12" s="614"/>
      <c r="T12" s="614"/>
      <c r="U12" s="614"/>
      <c r="V12" s="614"/>
      <c r="W12" s="614"/>
      <c r="X12" s="614"/>
      <c r="Y12" s="614"/>
      <c r="Z12" s="614"/>
      <c r="AA12" s="614"/>
      <c r="AB12" s="614"/>
      <c r="AC12" s="614"/>
      <c r="AD12" s="614"/>
      <c r="AE12" s="614"/>
      <c r="AF12" s="538"/>
      <c r="AG12" s="538"/>
      <c r="AH12" s="538"/>
      <c r="AI12" s="538"/>
    </row>
    <row r="13" spans="1:35" ht="15" customHeight="1">
      <c r="A13" s="594" t="s">
        <v>114</v>
      </c>
      <c r="B13" s="595"/>
      <c r="C13" s="170" t="s">
        <v>100</v>
      </c>
      <c r="D13" s="171" t="s">
        <v>100</v>
      </c>
      <c r="E13" s="171" t="s">
        <v>100</v>
      </c>
      <c r="F13" s="171" t="s">
        <v>100</v>
      </c>
      <c r="G13" s="171" t="s">
        <v>100</v>
      </c>
      <c r="H13" s="171" t="s">
        <v>101</v>
      </c>
      <c r="I13" s="171" t="s">
        <v>100</v>
      </c>
      <c r="J13" s="171" t="s">
        <v>100</v>
      </c>
      <c r="K13" s="171" t="s">
        <v>100</v>
      </c>
      <c r="L13" s="171" t="s">
        <v>100</v>
      </c>
      <c r="M13" s="171" t="s">
        <v>101</v>
      </c>
      <c r="N13" s="171" t="s">
        <v>100</v>
      </c>
      <c r="O13" s="171" t="s">
        <v>100</v>
      </c>
      <c r="P13" s="172" t="s">
        <v>100</v>
      </c>
      <c r="Q13" s="141" t="s">
        <v>100</v>
      </c>
      <c r="R13" s="142" t="s">
        <v>100</v>
      </c>
      <c r="S13" s="142" t="s">
        <v>100</v>
      </c>
      <c r="T13" s="142" t="s">
        <v>100</v>
      </c>
      <c r="U13" s="142" t="s">
        <v>100</v>
      </c>
      <c r="V13" s="142" t="s">
        <v>100</v>
      </c>
      <c r="W13" s="142" t="s">
        <v>100</v>
      </c>
      <c r="X13" s="142" t="s">
        <v>100</v>
      </c>
      <c r="Y13" s="142" t="s">
        <v>100</v>
      </c>
      <c r="Z13" s="142" t="s">
        <v>101</v>
      </c>
      <c r="AA13" s="142" t="s">
        <v>100</v>
      </c>
      <c r="AB13" s="142" t="s">
        <v>100</v>
      </c>
      <c r="AC13" s="143" t="s">
        <v>100</v>
      </c>
      <c r="AD13" s="144" t="s">
        <v>101</v>
      </c>
      <c r="AE13" s="173" t="s">
        <v>100</v>
      </c>
      <c r="AF13" s="538"/>
      <c r="AG13" s="538"/>
      <c r="AH13" s="538"/>
      <c r="AI13" s="538"/>
    </row>
    <row r="14" spans="1:35">
      <c r="A14" s="594"/>
      <c r="B14" s="595"/>
      <c r="C14" s="141">
        <f t="shared" ref="C14:P14" si="4">(C6/$AH$6)*$AB$18</f>
        <v>0</v>
      </c>
      <c r="D14" s="142">
        <f t="shared" si="4"/>
        <v>50000.814641260906</v>
      </c>
      <c r="E14" s="142">
        <f t="shared" si="4"/>
        <v>509566.80896902602</v>
      </c>
      <c r="F14" s="142">
        <f t="shared" si="4"/>
        <v>4902.252668216207</v>
      </c>
      <c r="G14" s="142">
        <f t="shared" si="4"/>
        <v>11.853320793282542</v>
      </c>
      <c r="H14" s="142">
        <f t="shared" si="4"/>
        <v>1419734.6038734252</v>
      </c>
      <c r="I14" s="142">
        <f t="shared" si="4"/>
        <v>12701.647005253784</v>
      </c>
      <c r="J14" s="142">
        <f t="shared" si="4"/>
        <v>0</v>
      </c>
      <c r="K14" s="142">
        <f t="shared" si="4"/>
        <v>0</v>
      </c>
      <c r="L14" s="142">
        <f t="shared" si="4"/>
        <v>0</v>
      </c>
      <c r="M14" s="142">
        <f t="shared" si="4"/>
        <v>43052.592250344329</v>
      </c>
      <c r="N14" s="142">
        <f t="shared" si="4"/>
        <v>3625.6167937866408</v>
      </c>
      <c r="O14" s="142">
        <f t="shared" si="4"/>
        <v>25756.140623016312</v>
      </c>
      <c r="P14" s="143">
        <f t="shared" si="4"/>
        <v>0</v>
      </c>
      <c r="Q14" s="141">
        <f t="shared" ref="Q14:AE14" si="5">(Q6/$AG$6)*$T$18</f>
        <v>122834.17606754715</v>
      </c>
      <c r="R14" s="142">
        <f t="shared" si="5"/>
        <v>287518.90963357204</v>
      </c>
      <c r="S14" s="142">
        <f t="shared" si="5"/>
        <v>5025.5265687826804</v>
      </c>
      <c r="T14" s="142">
        <f t="shared" si="5"/>
        <v>139.93522170456006</v>
      </c>
      <c r="U14" s="142">
        <f t="shared" si="5"/>
        <v>720.31315440863466</v>
      </c>
      <c r="V14" s="142">
        <f t="shared" si="5"/>
        <v>316.42379707530858</v>
      </c>
      <c r="W14" s="142">
        <f t="shared" si="5"/>
        <v>0</v>
      </c>
      <c r="X14" s="142">
        <f t="shared" si="5"/>
        <v>0</v>
      </c>
      <c r="Y14" s="142">
        <f t="shared" si="5"/>
        <v>0</v>
      </c>
      <c r="Z14" s="142">
        <f t="shared" si="5"/>
        <v>101576.36704816601</v>
      </c>
      <c r="AA14" s="142">
        <f t="shared" si="5"/>
        <v>9306.8124517486922</v>
      </c>
      <c r="AB14" s="142">
        <f t="shared" si="5"/>
        <v>79798.182797831629</v>
      </c>
      <c r="AC14" s="143">
        <f t="shared" si="5"/>
        <v>0</v>
      </c>
      <c r="AD14" s="144">
        <f t="shared" si="5"/>
        <v>4983.5119387529321</v>
      </c>
      <c r="AE14" s="173">
        <f t="shared" si="5"/>
        <v>0</v>
      </c>
      <c r="AF14" s="538"/>
      <c r="AG14" s="538"/>
      <c r="AH14" s="538"/>
      <c r="AI14" s="538"/>
    </row>
    <row r="15" spans="1:35">
      <c r="A15" s="596" t="s">
        <v>115</v>
      </c>
      <c r="B15" s="597"/>
      <c r="C15" s="149">
        <f t="shared" ref="C15:P15" si="6">C8*$AB$18</f>
        <v>0</v>
      </c>
      <c r="D15" s="150">
        <f t="shared" si="6"/>
        <v>110.92380723275882</v>
      </c>
      <c r="E15" s="150">
        <f t="shared" si="6"/>
        <v>1636.1680669186458</v>
      </c>
      <c r="F15" s="150">
        <f t="shared" si="6"/>
        <v>21.260089371520046</v>
      </c>
      <c r="G15" s="150">
        <f t="shared" si="6"/>
        <v>2.6073453415963779E-4</v>
      </c>
      <c r="H15" s="150">
        <f t="shared" si="6"/>
        <v>709.86730193671258</v>
      </c>
      <c r="I15" s="150">
        <f t="shared" si="6"/>
        <v>21.040691067730567</v>
      </c>
      <c r="J15" s="150">
        <f t="shared" si="6"/>
        <v>0</v>
      </c>
      <c r="K15" s="150">
        <f t="shared" si="6"/>
        <v>0</v>
      </c>
      <c r="L15" s="150">
        <f t="shared" si="6"/>
        <v>0</v>
      </c>
      <c r="M15" s="150">
        <f t="shared" si="6"/>
        <v>21.526296125172163</v>
      </c>
      <c r="N15" s="150">
        <f t="shared" si="6"/>
        <v>3.9240902579099353</v>
      </c>
      <c r="O15" s="150">
        <f t="shared" si="6"/>
        <v>82.700391926443075</v>
      </c>
      <c r="P15" s="151">
        <f t="shared" si="6"/>
        <v>0</v>
      </c>
      <c r="Q15" s="149">
        <f t="shared" ref="Q15:AD15" si="7">Q8*$T$18</f>
        <v>15.8121855334056</v>
      </c>
      <c r="R15" s="150">
        <f t="shared" si="7"/>
        <v>637.84344988750161</v>
      </c>
      <c r="S15" s="150">
        <f t="shared" si="7"/>
        <v>21.79470362349673</v>
      </c>
      <c r="T15" s="150">
        <f t="shared" si="7"/>
        <v>0.2318072426483091</v>
      </c>
      <c r="U15" s="150">
        <f t="shared" si="7"/>
        <v>1.5844548379238134E-2</v>
      </c>
      <c r="V15" s="150">
        <f t="shared" si="7"/>
        <v>6.960295158316295E-3</v>
      </c>
      <c r="W15" s="150">
        <f t="shared" si="7"/>
        <v>0</v>
      </c>
      <c r="X15" s="150">
        <f t="shared" si="7"/>
        <v>0</v>
      </c>
      <c r="Y15" s="150">
        <f t="shared" si="7"/>
        <v>0</v>
      </c>
      <c r="Z15" s="150">
        <f t="shared" si="7"/>
        <v>50.788183524083003</v>
      </c>
      <c r="AA15" s="150">
        <f t="shared" si="7"/>
        <v>10.072981826620225</v>
      </c>
      <c r="AB15" s="150">
        <f t="shared" si="7"/>
        <v>256.22398514555755</v>
      </c>
      <c r="AC15" s="151">
        <f t="shared" si="7"/>
        <v>0</v>
      </c>
      <c r="AD15" s="152">
        <f t="shared" si="7"/>
        <v>2.4917559693764662</v>
      </c>
      <c r="AE15" s="174">
        <f>(AE14*(1.029*8.34)*0.03)/2000</f>
        <v>0</v>
      </c>
      <c r="AF15" s="538"/>
      <c r="AG15" s="538"/>
      <c r="AH15" s="538"/>
      <c r="AI15" s="538"/>
    </row>
    <row r="16" spans="1:35" ht="15" customHeight="1" thickBot="1">
      <c r="A16" s="598" t="s">
        <v>116</v>
      </c>
      <c r="B16" s="599"/>
      <c r="C16" s="175">
        <f>$AI$30*C15</f>
        <v>0</v>
      </c>
      <c r="D16" s="176">
        <f>$AI$28*D15</f>
        <v>71878.627086827721</v>
      </c>
      <c r="E16" s="176">
        <f>$AI$31*E15</f>
        <v>1112594.2855046792</v>
      </c>
      <c r="F16" s="176">
        <f>$AI$26*F15</f>
        <v>23218.78140531819</v>
      </c>
      <c r="G16" s="177">
        <f>$AI$23*G15</f>
        <v>0.73005669564698583</v>
      </c>
      <c r="H16" s="177">
        <f>$AI$24*H15</f>
        <v>75529.880926066224</v>
      </c>
      <c r="I16" s="177">
        <f>$AI$29*I15</f>
        <v>46198.1436335131</v>
      </c>
      <c r="J16" s="177">
        <v>0</v>
      </c>
      <c r="K16" s="177">
        <f>'Yearly Summary '!$S$30</f>
        <v>0</v>
      </c>
      <c r="L16" s="177">
        <f>'Yearly Summary '!$U$30</f>
        <v>0</v>
      </c>
      <c r="M16" s="177">
        <f>$AI$27*M15</f>
        <v>11301.305465715386</v>
      </c>
      <c r="N16" s="177">
        <f>$AI$22*N15</f>
        <v>4169.4593128546367</v>
      </c>
      <c r="O16" s="177">
        <f>$AI$31*O15</f>
        <v>56236.266509981288</v>
      </c>
      <c r="P16" s="178">
        <v>0</v>
      </c>
      <c r="Q16" s="179">
        <f>$AI$30*Q15</f>
        <v>111950.27357651165</v>
      </c>
      <c r="R16" s="177">
        <f>$AI$28*R15</f>
        <v>413322.55552710104</v>
      </c>
      <c r="S16" s="177">
        <f>$AI$26*S15</f>
        <v>23802.649668329486</v>
      </c>
      <c r="T16" s="177">
        <f>$AI$25*T15</f>
        <v>380.16387794322691</v>
      </c>
      <c r="U16" s="177">
        <f>$AI$23*U15</f>
        <v>44.364735461866772</v>
      </c>
      <c r="V16" s="177">
        <f>$AI$23*V15</f>
        <v>19.488826443285625</v>
      </c>
      <c r="W16" s="177">
        <v>0</v>
      </c>
      <c r="X16" s="177">
        <v>0</v>
      </c>
      <c r="Y16" s="177">
        <f>'Yearly Summary '!$T$30</f>
        <v>0</v>
      </c>
      <c r="Z16" s="177">
        <f>$AI$27*Z15</f>
        <v>26663.796350143577</v>
      </c>
      <c r="AA16" s="177">
        <f>$AI$22*AA15</f>
        <v>10702.834319510996</v>
      </c>
      <c r="AB16" s="177">
        <f>$AI$31*AB15</f>
        <v>174232.30989897915</v>
      </c>
      <c r="AC16" s="178">
        <v>0</v>
      </c>
      <c r="AD16" s="180">
        <f>$AI$27*AD15</f>
        <v>1308.1718839226448</v>
      </c>
      <c r="AE16" s="181">
        <f>$AI$30*AE15</f>
        <v>0</v>
      </c>
      <c r="AF16" s="538"/>
      <c r="AG16" s="538"/>
      <c r="AH16" s="538"/>
      <c r="AI16" s="538"/>
    </row>
    <row r="17" spans="1:35" ht="15" customHeight="1" thickBot="1">
      <c r="A17" s="600"/>
      <c r="B17" s="601"/>
      <c r="C17" s="602" t="s">
        <v>117</v>
      </c>
      <c r="D17" s="603"/>
      <c r="E17" s="603"/>
      <c r="F17" s="182">
        <f>SUM(C16:P16)</f>
        <v>1401127.4799016516</v>
      </c>
      <c r="G17" s="604" t="s">
        <v>118</v>
      </c>
      <c r="H17" s="603"/>
      <c r="I17" s="603"/>
      <c r="J17" s="351">
        <f>SUM(Q16:AE16)</f>
        <v>762426.60866434698</v>
      </c>
      <c r="K17" s="604" t="s">
        <v>119</v>
      </c>
      <c r="L17" s="605"/>
      <c r="M17" s="606">
        <f>SUM(C16:AE16)</f>
        <v>2163554.0885659982</v>
      </c>
      <c r="N17" s="607"/>
      <c r="O17" s="608"/>
      <c r="P17" s="609"/>
      <c r="Q17" s="609"/>
      <c r="R17" s="220"/>
      <c r="U17" s="183"/>
      <c r="V17" s="183"/>
      <c r="W17" s="183"/>
      <c r="X17" s="183"/>
      <c r="Y17" s="183"/>
      <c r="Z17" s="183"/>
      <c r="AA17" s="183"/>
      <c r="AB17" s="183"/>
      <c r="AC17" s="183"/>
      <c r="AD17" s="183"/>
      <c r="AE17" s="183"/>
      <c r="AF17" s="539"/>
      <c r="AG17" s="539"/>
      <c r="AH17" s="539"/>
      <c r="AI17" s="539"/>
    </row>
    <row r="18" spans="1:35" ht="15" customHeight="1" thickTop="1" thickBot="1">
      <c r="A18" s="184" t="s">
        <v>121</v>
      </c>
      <c r="B18" s="185"/>
      <c r="C18" s="185"/>
      <c r="D18" s="186">
        <v>5245</v>
      </c>
      <c r="E18" s="187" t="s">
        <v>122</v>
      </c>
      <c r="F18" s="188"/>
      <c r="G18" s="188"/>
      <c r="H18" s="189">
        <f>D18*((AF19+AH19)/(AG6+AH6))</f>
        <v>1677.2149432063777</v>
      </c>
      <c r="I18" s="190" t="s">
        <v>123</v>
      </c>
      <c r="J18" s="188"/>
      <c r="K18" s="188"/>
      <c r="L18" s="191">
        <v>0.71499999999999997</v>
      </c>
      <c r="M18" s="190" t="s">
        <v>124</v>
      </c>
      <c r="N18" s="188"/>
      <c r="O18" s="188"/>
      <c r="P18" s="192">
        <f>L18/(1-L18)</f>
        <v>2.5087719298245612</v>
      </c>
      <c r="Q18" s="190" t="s">
        <v>125</v>
      </c>
      <c r="R18" s="188"/>
      <c r="S18" s="188"/>
      <c r="T18" s="189">
        <f>D18*L18</f>
        <v>3750.1749999999997</v>
      </c>
      <c r="U18" s="190" t="s">
        <v>126</v>
      </c>
      <c r="V18" s="188"/>
      <c r="W18" s="188"/>
      <c r="X18" s="189">
        <f>H18*L18</f>
        <v>1199.2086843925599</v>
      </c>
      <c r="Y18" s="190" t="s">
        <v>127</v>
      </c>
      <c r="Z18" s="188"/>
      <c r="AA18" s="188"/>
      <c r="AB18" s="189">
        <f>D18-T18</f>
        <v>1494.8250000000003</v>
      </c>
      <c r="AC18" s="190" t="s">
        <v>128</v>
      </c>
      <c r="AD18" s="188"/>
      <c r="AE18" s="193">
        <f>H18-X18</f>
        <v>478.00625881381779</v>
      </c>
      <c r="AF18" s="221" t="s">
        <v>102</v>
      </c>
      <c r="AG18" s="222" t="s">
        <v>102</v>
      </c>
      <c r="AH18" s="222" t="s">
        <v>102</v>
      </c>
      <c r="AI18" s="222" t="s">
        <v>102</v>
      </c>
    </row>
    <row r="19" spans="1:35" ht="16.5" thickTop="1" thickBot="1">
      <c r="O19" s="585"/>
      <c r="P19" s="585"/>
      <c r="AF19" s="194">
        <f>'[1]Yearly Summary '!$C$29</f>
        <v>1342.9573150251554</v>
      </c>
      <c r="AG19" s="194">
        <f>AF19-AG10</f>
        <v>1319.3332435418179</v>
      </c>
      <c r="AH19" s="194">
        <f>'[1]Yearly Summary '!$D$29</f>
        <v>5.9562346835977413</v>
      </c>
      <c r="AI19" s="194">
        <f>AH19-AI10</f>
        <v>5.9543033431436401</v>
      </c>
    </row>
    <row r="20" spans="1:35" ht="15" customHeight="1">
      <c r="A20" s="586">
        <f>A12</f>
        <v>2013</v>
      </c>
      <c r="B20" s="587"/>
      <c r="C20" s="587" t="s">
        <v>129</v>
      </c>
      <c r="D20" s="587"/>
      <c r="E20" s="587"/>
      <c r="F20" s="587"/>
      <c r="G20" s="587"/>
      <c r="H20" s="587"/>
      <c r="I20" s="587"/>
      <c r="J20" s="587" t="s">
        <v>130</v>
      </c>
      <c r="K20" s="587"/>
      <c r="L20" s="587"/>
      <c r="M20" s="587"/>
      <c r="N20" s="587"/>
      <c r="O20" s="587"/>
      <c r="P20" s="588"/>
      <c r="Q20" s="195"/>
      <c r="R20" s="196">
        <f>A1</f>
        <v>2012</v>
      </c>
      <c r="S20" s="589" t="s">
        <v>131</v>
      </c>
      <c r="T20" s="590"/>
      <c r="U20" s="591" t="s">
        <v>132</v>
      </c>
      <c r="V20" s="592"/>
      <c r="W20" s="592"/>
      <c r="X20" s="592"/>
      <c r="Y20" s="593"/>
      <c r="Z20" s="570" t="s">
        <v>133</v>
      </c>
      <c r="AA20" s="571"/>
      <c r="AB20" s="571"/>
      <c r="AC20" s="571"/>
      <c r="AD20" s="572"/>
      <c r="AE20" s="573" t="s">
        <v>134</v>
      </c>
      <c r="AF20" s="574"/>
      <c r="AG20" s="574"/>
      <c r="AH20" s="574"/>
      <c r="AI20" s="575"/>
    </row>
    <row r="21" spans="1:35" ht="15.75" thickBot="1">
      <c r="A21" s="576" t="s">
        <v>135</v>
      </c>
      <c r="B21" s="577"/>
      <c r="C21" s="562" t="s">
        <v>160</v>
      </c>
      <c r="D21" s="562"/>
      <c r="E21" s="562" t="s">
        <v>161</v>
      </c>
      <c r="F21" s="569"/>
      <c r="G21" s="569" t="s">
        <v>162</v>
      </c>
      <c r="H21" s="578"/>
      <c r="I21" s="578"/>
      <c r="J21" s="579" t="s">
        <v>163</v>
      </c>
      <c r="K21" s="579"/>
      <c r="L21" s="580"/>
      <c r="M21" s="581" t="s">
        <v>164</v>
      </c>
      <c r="N21" s="582"/>
      <c r="O21" s="583" t="s">
        <v>232</v>
      </c>
      <c r="P21" s="584"/>
      <c r="Q21" s="195"/>
      <c r="R21" s="542" t="s">
        <v>135</v>
      </c>
      <c r="S21" s="543"/>
      <c r="T21" s="543"/>
      <c r="U21" s="197" t="s">
        <v>136</v>
      </c>
      <c r="V21" s="245" t="s">
        <v>137</v>
      </c>
      <c r="W21" s="245" t="s">
        <v>138</v>
      </c>
      <c r="X21" s="245" t="s">
        <v>58</v>
      </c>
      <c r="Y21" s="245" t="s">
        <v>139</v>
      </c>
      <c r="Z21" s="198" t="s">
        <v>136</v>
      </c>
      <c r="AA21" s="198" t="s">
        <v>137</v>
      </c>
      <c r="AB21" s="198" t="s">
        <v>138</v>
      </c>
      <c r="AC21" s="198" t="s">
        <v>58</v>
      </c>
      <c r="AD21" s="198" t="s">
        <v>139</v>
      </c>
      <c r="AE21" s="199" t="s">
        <v>136</v>
      </c>
      <c r="AF21" s="199" t="s">
        <v>137</v>
      </c>
      <c r="AG21" s="199" t="s">
        <v>138</v>
      </c>
      <c r="AH21" s="199" t="s">
        <v>58</v>
      </c>
      <c r="AI21" s="200" t="s">
        <v>139</v>
      </c>
    </row>
    <row r="22" spans="1:35" ht="15.75" thickTop="1">
      <c r="A22" s="559" t="s">
        <v>140</v>
      </c>
      <c r="B22" s="560"/>
      <c r="C22" s="561">
        <f>N15+AA15</f>
        <v>13.99707208453016</v>
      </c>
      <c r="D22" s="562"/>
      <c r="E22" s="563">
        <f>N16+AA16</f>
        <v>14872.293632365632</v>
      </c>
      <c r="F22" s="564"/>
      <c r="G22" s="565">
        <f>(C22*2000)/(8.34*0.895*0.29)</f>
        <v>12932.429245535332</v>
      </c>
      <c r="H22" s="565"/>
      <c r="I22" s="201" t="s">
        <v>141</v>
      </c>
      <c r="J22" s="566">
        <f>(G22*8.34*0.895)/27000</f>
        <v>3.5752419117573839</v>
      </c>
      <c r="K22" s="567"/>
      <c r="L22" s="202" t="s">
        <v>142</v>
      </c>
      <c r="M22" s="568">
        <f>ROUNDUP(J22,0)</f>
        <v>4</v>
      </c>
      <c r="N22" s="569"/>
      <c r="O22" s="540">
        <f>((M22*27000)/(8.34*0.895))*$Y$22</f>
        <v>16639.202604396931</v>
      </c>
      <c r="P22" s="541"/>
      <c r="Q22" s="195"/>
      <c r="R22" s="542" t="s">
        <v>140</v>
      </c>
      <c r="S22" s="543"/>
      <c r="T22" s="543"/>
      <c r="U22" s="241" t="s">
        <v>141</v>
      </c>
      <c r="V22" s="246">
        <v>1.1475</v>
      </c>
      <c r="W22" s="247">
        <v>1.1475</v>
      </c>
      <c r="X22" s="247">
        <v>1.1475</v>
      </c>
      <c r="Y22" s="248">
        <v>1.1499999999999999</v>
      </c>
      <c r="Z22" s="243" t="s">
        <v>141</v>
      </c>
      <c r="AA22" s="204">
        <f>V22</f>
        <v>1.1475</v>
      </c>
      <c r="AB22" s="204">
        <f>W22</f>
        <v>1.1475</v>
      </c>
      <c r="AC22" s="204">
        <f>X22</f>
        <v>1.1475</v>
      </c>
      <c r="AD22" s="204">
        <f>Y22</f>
        <v>1.1499999999999999</v>
      </c>
      <c r="AE22" s="205" t="s">
        <v>143</v>
      </c>
      <c r="AF22" s="206">
        <f>(V22/((0.895*8.34)*0.29))*2000</f>
        <v>1060.2190565020533</v>
      </c>
      <c r="AG22" s="206">
        <f>(W22/((0.895*8.34)*0.29))*2000</f>
        <v>1060.2190565020533</v>
      </c>
      <c r="AH22" s="206">
        <f>(X22/((0.895*8.34)*0.29))*2000</f>
        <v>1060.2190565020533</v>
      </c>
      <c r="AI22" s="207">
        <f>(Y22/((0.895*8.34)*0.29))*2000</f>
        <v>1062.5289019410554</v>
      </c>
    </row>
    <row r="23" spans="1:35">
      <c r="A23" s="559" t="s">
        <v>144</v>
      </c>
      <c r="B23" s="560"/>
      <c r="C23" s="561">
        <f>G15+U15+V15</f>
        <v>2.3065578071714068E-2</v>
      </c>
      <c r="D23" s="562"/>
      <c r="E23" s="563">
        <f>G16+U16+V16</f>
        <v>64.583618600799383</v>
      </c>
      <c r="F23" s="564"/>
      <c r="G23" s="565">
        <f>C23*2000</f>
        <v>46.131156143428136</v>
      </c>
      <c r="H23" s="565"/>
      <c r="I23" s="201" t="s">
        <v>145</v>
      </c>
      <c r="J23" s="566">
        <f>(G23/(8.34*1.055))/400</f>
        <v>1.3107378403465325E-2</v>
      </c>
      <c r="K23" s="567"/>
      <c r="L23" s="202" t="s">
        <v>146</v>
      </c>
      <c r="M23" s="568">
        <f t="shared" ref="M23:M31" si="8">ROUNDUP(J23,0)</f>
        <v>1</v>
      </c>
      <c r="N23" s="569"/>
      <c r="O23" s="540">
        <f>(M23*400*8.34*1.055)*$Y$23</f>
        <v>4927.2719999999999</v>
      </c>
      <c r="P23" s="541"/>
      <c r="Q23" s="195"/>
      <c r="R23" s="542" t="s">
        <v>144</v>
      </c>
      <c r="S23" s="543"/>
      <c r="T23" s="543"/>
      <c r="U23" s="241" t="s">
        <v>145</v>
      </c>
      <c r="V23" s="249">
        <v>1.4</v>
      </c>
      <c r="W23" s="203">
        <v>1.4</v>
      </c>
      <c r="X23" s="203">
        <v>1.4</v>
      </c>
      <c r="Y23" s="250">
        <v>1.4</v>
      </c>
      <c r="Z23" s="243" t="s">
        <v>141</v>
      </c>
      <c r="AA23" s="204">
        <f>V23*8.34*0.005</f>
        <v>5.8379999999999994E-2</v>
      </c>
      <c r="AB23" s="204">
        <f>W23*8.34*0.005</f>
        <v>5.8379999999999994E-2</v>
      </c>
      <c r="AC23" s="204">
        <f>X23*8.34*0.005</f>
        <v>5.8379999999999994E-2</v>
      </c>
      <c r="AD23" s="204">
        <f>Y23*8.34*0.005</f>
        <v>5.8379999999999994E-2</v>
      </c>
      <c r="AE23" s="205" t="s">
        <v>143</v>
      </c>
      <c r="AF23" s="206">
        <f>V23*2000</f>
        <v>2800</v>
      </c>
      <c r="AG23" s="206">
        <f>W23*2000</f>
        <v>2800</v>
      </c>
      <c r="AH23" s="206">
        <f>X23*2000</f>
        <v>2800</v>
      </c>
      <c r="AI23" s="207">
        <f>Y23*2000</f>
        <v>2800</v>
      </c>
    </row>
    <row r="24" spans="1:35">
      <c r="A24" s="559" t="s">
        <v>147</v>
      </c>
      <c r="B24" s="560"/>
      <c r="C24" s="561">
        <f>H15</f>
        <v>709.86730193671258</v>
      </c>
      <c r="D24" s="562"/>
      <c r="E24" s="563">
        <f>H16</f>
        <v>75529.880926066224</v>
      </c>
      <c r="F24" s="564"/>
      <c r="G24" s="565">
        <f>C24</f>
        <v>709.86730193671258</v>
      </c>
      <c r="H24" s="565"/>
      <c r="I24" s="201" t="s">
        <v>148</v>
      </c>
      <c r="J24" s="566">
        <f>(G24*2000)/40000</f>
        <v>35.493365096835632</v>
      </c>
      <c r="K24" s="567"/>
      <c r="L24" s="202" t="s">
        <v>142</v>
      </c>
      <c r="M24" s="568">
        <f t="shared" si="8"/>
        <v>36</v>
      </c>
      <c r="N24" s="569"/>
      <c r="O24" s="540">
        <f>((M24*40000)/2000)*$Y$24</f>
        <v>76608</v>
      </c>
      <c r="P24" s="541"/>
      <c r="Q24" s="195"/>
      <c r="R24" s="542" t="s">
        <v>147</v>
      </c>
      <c r="S24" s="543"/>
      <c r="T24" s="543"/>
      <c r="U24" s="241" t="s">
        <v>148</v>
      </c>
      <c r="V24" s="249">
        <v>106.4</v>
      </c>
      <c r="W24" s="203">
        <v>106.4</v>
      </c>
      <c r="X24" s="203">
        <v>106.4</v>
      </c>
      <c r="Y24" s="250">
        <v>106.4</v>
      </c>
      <c r="Z24" s="243" t="s">
        <v>145</v>
      </c>
      <c r="AA24" s="204">
        <f>V24/2000</f>
        <v>5.3200000000000004E-2</v>
      </c>
      <c r="AB24" s="204">
        <f>W24/2000</f>
        <v>5.3200000000000004E-2</v>
      </c>
      <c r="AC24" s="204">
        <f>X24/2000</f>
        <v>5.3200000000000004E-2</v>
      </c>
      <c r="AD24" s="204">
        <f>Y24/2000</f>
        <v>5.3200000000000004E-2</v>
      </c>
      <c r="AE24" s="205" t="s">
        <v>143</v>
      </c>
      <c r="AF24" s="206">
        <f>V24</f>
        <v>106.4</v>
      </c>
      <c r="AG24" s="206">
        <f>W24</f>
        <v>106.4</v>
      </c>
      <c r="AH24" s="206">
        <f>X24</f>
        <v>106.4</v>
      </c>
      <c r="AI24" s="206">
        <f>Y24</f>
        <v>106.4</v>
      </c>
    </row>
    <row r="25" spans="1:35" ht="15.75" customHeight="1">
      <c r="A25" s="559" t="s">
        <v>149</v>
      </c>
      <c r="B25" s="560"/>
      <c r="C25" s="561">
        <f>T15</f>
        <v>0.2318072426483091</v>
      </c>
      <c r="D25" s="562"/>
      <c r="E25" s="563">
        <f>T16</f>
        <v>380.16387794322691</v>
      </c>
      <c r="F25" s="564"/>
      <c r="G25" s="565">
        <f>C25*2000</f>
        <v>463.61448529661817</v>
      </c>
      <c r="H25" s="565"/>
      <c r="I25" s="201" t="s">
        <v>150</v>
      </c>
      <c r="J25" s="566">
        <f>G25/45000</f>
        <v>1.0302544117702626E-2</v>
      </c>
      <c r="K25" s="567"/>
      <c r="L25" s="202" t="s">
        <v>142</v>
      </c>
      <c r="M25" s="568">
        <f t="shared" si="8"/>
        <v>1</v>
      </c>
      <c r="N25" s="569"/>
      <c r="O25" s="540">
        <f>J25*45000*$Y$25</f>
        <v>380.16387794322685</v>
      </c>
      <c r="P25" s="541"/>
      <c r="Q25" s="195"/>
      <c r="R25" s="542" t="s">
        <v>149</v>
      </c>
      <c r="S25" s="543"/>
      <c r="T25" s="543"/>
      <c r="U25" s="241" t="s">
        <v>150</v>
      </c>
      <c r="V25" s="249">
        <v>0.82</v>
      </c>
      <c r="W25" s="203">
        <v>0.82</v>
      </c>
      <c r="X25" s="203">
        <v>0.82</v>
      </c>
      <c r="Y25" s="250">
        <v>0.82</v>
      </c>
      <c r="Z25" s="243" t="s">
        <v>141</v>
      </c>
      <c r="AA25" s="204">
        <f>V25*8.34*0.055</f>
        <v>0.37613399999999997</v>
      </c>
      <c r="AB25" s="204">
        <f>W25*8.34*0.055</f>
        <v>0.37613399999999997</v>
      </c>
      <c r="AC25" s="204">
        <f>X25*8.34*0.055</f>
        <v>0.37613399999999997</v>
      </c>
      <c r="AD25" s="204">
        <f>Y25*8.34*0.055</f>
        <v>0.37613399999999997</v>
      </c>
      <c r="AE25" s="205" t="s">
        <v>143</v>
      </c>
      <c r="AF25" s="206">
        <f>V25*2000</f>
        <v>1640</v>
      </c>
      <c r="AG25" s="206">
        <f>W25*2000</f>
        <v>1640</v>
      </c>
      <c r="AH25" s="206">
        <f>X25*2000</f>
        <v>1640</v>
      </c>
      <c r="AI25" s="207">
        <f>Y25*2000</f>
        <v>1640</v>
      </c>
    </row>
    <row r="26" spans="1:35">
      <c r="A26" s="559" t="s">
        <v>151</v>
      </c>
      <c r="B26" s="560"/>
      <c r="C26" s="561">
        <f>F15+S15</f>
        <v>43.054792995016776</v>
      </c>
      <c r="D26" s="562"/>
      <c r="E26" s="563">
        <f>F16+S16</f>
        <v>47021.431073647676</v>
      </c>
      <c r="F26" s="564"/>
      <c r="G26" s="565">
        <f>C26</f>
        <v>43.054792995016776</v>
      </c>
      <c r="H26" s="565"/>
      <c r="I26" s="201" t="s">
        <v>148</v>
      </c>
      <c r="J26" s="566">
        <f>(G26*2000)/45000</f>
        <v>1.9135463553340788</v>
      </c>
      <c r="K26" s="567"/>
      <c r="L26" s="202" t="s">
        <v>142</v>
      </c>
      <c r="M26" s="568">
        <f t="shared" si="8"/>
        <v>2</v>
      </c>
      <c r="N26" s="569"/>
      <c r="O26" s="540">
        <f>((M26*45000)/2000)*$Y$26</f>
        <v>49145.850000000006</v>
      </c>
      <c r="P26" s="541"/>
      <c r="Q26" s="195"/>
      <c r="R26" s="542" t="s">
        <v>151</v>
      </c>
      <c r="S26" s="543"/>
      <c r="T26" s="543"/>
      <c r="U26" s="241" t="s">
        <v>148</v>
      </c>
      <c r="V26" s="249">
        <v>1092.1300000000001</v>
      </c>
      <c r="W26" s="249">
        <v>1092.1300000000001</v>
      </c>
      <c r="X26" s="249">
        <v>1092.1300000000001</v>
      </c>
      <c r="Y26" s="250">
        <v>1092.1300000000001</v>
      </c>
      <c r="Z26" s="243" t="s">
        <v>141</v>
      </c>
      <c r="AA26" s="204">
        <f>(V26/2000)*8.34*1.04*1</f>
        <v>4.7363493840000004</v>
      </c>
      <c r="AB26" s="204">
        <f t="shared" ref="AB26:AD26" si="9">(W26/2000)*8.34*1.04*1</f>
        <v>4.7363493840000004</v>
      </c>
      <c r="AC26" s="204">
        <f t="shared" si="9"/>
        <v>4.7363493840000004</v>
      </c>
      <c r="AD26" s="204">
        <f t="shared" si="9"/>
        <v>4.7363493840000004</v>
      </c>
      <c r="AE26" s="205" t="s">
        <v>143</v>
      </c>
      <c r="AF26" s="206">
        <f t="shared" ref="AF26:AI28" si="10">V26</f>
        <v>1092.1300000000001</v>
      </c>
      <c r="AG26" s="206">
        <f t="shared" si="10"/>
        <v>1092.1300000000001</v>
      </c>
      <c r="AH26" s="206">
        <f t="shared" si="10"/>
        <v>1092.1300000000001</v>
      </c>
      <c r="AI26" s="207">
        <f t="shared" si="10"/>
        <v>1092.1300000000001</v>
      </c>
    </row>
    <row r="27" spans="1:35">
      <c r="A27" s="559" t="s">
        <v>152</v>
      </c>
      <c r="B27" s="560"/>
      <c r="C27" s="561">
        <f>M15+Z15+AD15</f>
        <v>74.806235618631632</v>
      </c>
      <c r="D27" s="562"/>
      <c r="E27" s="563">
        <f>M16+Z16+AD16</f>
        <v>39273.27369978161</v>
      </c>
      <c r="F27" s="564"/>
      <c r="G27" s="565">
        <f>C27</f>
        <v>74.806235618631632</v>
      </c>
      <c r="H27" s="565"/>
      <c r="I27" s="201" t="s">
        <v>148</v>
      </c>
      <c r="J27" s="566">
        <f>G27/8</f>
        <v>9.350779452328954</v>
      </c>
      <c r="K27" s="567"/>
      <c r="L27" s="202" t="s">
        <v>142</v>
      </c>
      <c r="M27" s="568">
        <f t="shared" si="8"/>
        <v>10</v>
      </c>
      <c r="N27" s="569"/>
      <c r="O27" s="540">
        <f>M27*8*$Y$27</f>
        <v>42000</v>
      </c>
      <c r="P27" s="541"/>
      <c r="Q27" s="195"/>
      <c r="R27" s="542" t="s">
        <v>152</v>
      </c>
      <c r="S27" s="543"/>
      <c r="T27" s="543"/>
      <c r="U27" s="241" t="s">
        <v>148</v>
      </c>
      <c r="V27" s="249">
        <v>595</v>
      </c>
      <c r="W27" s="203">
        <v>595</v>
      </c>
      <c r="X27" s="203">
        <v>525</v>
      </c>
      <c r="Y27" s="250">
        <v>525</v>
      </c>
      <c r="Z27" s="243" t="s">
        <v>145</v>
      </c>
      <c r="AA27" s="204">
        <f>V27/2000</f>
        <v>0.29749999999999999</v>
      </c>
      <c r="AB27" s="204">
        <f>W27/2000</f>
        <v>0.29749999999999999</v>
      </c>
      <c r="AC27" s="204">
        <f>X27/2000</f>
        <v>0.26250000000000001</v>
      </c>
      <c r="AD27" s="204">
        <f>Y27/2000</f>
        <v>0.26250000000000001</v>
      </c>
      <c r="AE27" s="205" t="s">
        <v>143</v>
      </c>
      <c r="AF27" s="206">
        <f t="shared" si="10"/>
        <v>595</v>
      </c>
      <c r="AG27" s="206">
        <f t="shared" si="10"/>
        <v>595</v>
      </c>
      <c r="AH27" s="206">
        <f t="shared" si="10"/>
        <v>525</v>
      </c>
      <c r="AI27" s="207">
        <f t="shared" si="10"/>
        <v>525</v>
      </c>
    </row>
    <row r="28" spans="1:35">
      <c r="A28" s="559" t="s">
        <v>153</v>
      </c>
      <c r="B28" s="560"/>
      <c r="C28" s="561">
        <f>D15+L15+R15+Y15</f>
        <v>748.76725712026041</v>
      </c>
      <c r="D28" s="562"/>
      <c r="E28" s="563">
        <f>D16+L16+R16+Y16</f>
        <v>485201.18261392874</v>
      </c>
      <c r="F28" s="564"/>
      <c r="G28" s="565">
        <f>C28</f>
        <v>748.76725712026041</v>
      </c>
      <c r="H28" s="565"/>
      <c r="I28" s="201" t="s">
        <v>143</v>
      </c>
      <c r="J28" s="566">
        <f>((G28/0.38)*2000)/45000</f>
        <v>87.575117791843326</v>
      </c>
      <c r="K28" s="567"/>
      <c r="L28" s="202" t="s">
        <v>142</v>
      </c>
      <c r="M28" s="568">
        <f t="shared" si="8"/>
        <v>88</v>
      </c>
      <c r="N28" s="569"/>
      <c r="O28" s="540">
        <f>((M28*45000*0.38)/2000)*$Y$28</f>
        <v>487555.2</v>
      </c>
      <c r="P28" s="541"/>
      <c r="Q28" s="195"/>
      <c r="R28" s="542" t="s">
        <v>153</v>
      </c>
      <c r="S28" s="543"/>
      <c r="T28" s="543"/>
      <c r="U28" s="241" t="s">
        <v>143</v>
      </c>
      <c r="V28" s="249">
        <v>648</v>
      </c>
      <c r="W28" s="203">
        <v>648</v>
      </c>
      <c r="X28" s="203">
        <v>648</v>
      </c>
      <c r="Y28" s="250">
        <v>648</v>
      </c>
      <c r="Z28" s="243" t="s">
        <v>141</v>
      </c>
      <c r="AA28" s="204">
        <f>(V28/2000)*8.34*1.4*0.38</f>
        <v>1.4375491199999999</v>
      </c>
      <c r="AB28" s="204">
        <f>(W28/2000)*8.34*1.4*0.38</f>
        <v>1.4375491199999999</v>
      </c>
      <c r="AC28" s="204">
        <f>(X28/2000)*8.34*1.4*0.38</f>
        <v>1.4375491199999999</v>
      </c>
      <c r="AD28" s="204">
        <f>(Y28/2000)*8.34*1.4*0.38</f>
        <v>1.4375491199999999</v>
      </c>
      <c r="AE28" s="205" t="s">
        <v>143</v>
      </c>
      <c r="AF28" s="206">
        <f t="shared" si="10"/>
        <v>648</v>
      </c>
      <c r="AG28" s="206">
        <f t="shared" si="10"/>
        <v>648</v>
      </c>
      <c r="AH28" s="206">
        <f t="shared" si="10"/>
        <v>648</v>
      </c>
      <c r="AI28" s="207">
        <f t="shared" si="10"/>
        <v>648</v>
      </c>
    </row>
    <row r="29" spans="1:35">
      <c r="A29" s="559" t="s">
        <v>154</v>
      </c>
      <c r="B29" s="560"/>
      <c r="C29" s="561">
        <f>I15</f>
        <v>21.040691067730567</v>
      </c>
      <c r="D29" s="562"/>
      <c r="E29" s="563">
        <f>I16</f>
        <v>46198.1436335131</v>
      </c>
      <c r="F29" s="564"/>
      <c r="G29" s="565">
        <f>C29/0.35</f>
        <v>60.116260193515906</v>
      </c>
      <c r="H29" s="565"/>
      <c r="I29" s="201" t="s">
        <v>148</v>
      </c>
      <c r="J29" s="566">
        <f>(G29*2000)/45000</f>
        <v>2.6718337863784845</v>
      </c>
      <c r="K29" s="567"/>
      <c r="L29" s="202" t="s">
        <v>142</v>
      </c>
      <c r="M29" s="568">
        <f t="shared" si="8"/>
        <v>3</v>
      </c>
      <c r="N29" s="569"/>
      <c r="O29" s="540">
        <f>((M29*45000)/2000)*$Y$29</f>
        <v>51872.4</v>
      </c>
      <c r="P29" s="541"/>
      <c r="Q29" s="195"/>
      <c r="R29" s="542" t="s">
        <v>154</v>
      </c>
      <c r="S29" s="543"/>
      <c r="T29" s="543"/>
      <c r="U29" s="241" t="s">
        <v>148</v>
      </c>
      <c r="V29" s="249">
        <v>768.48</v>
      </c>
      <c r="W29" s="203">
        <v>768.48</v>
      </c>
      <c r="X29" s="203">
        <v>768.48</v>
      </c>
      <c r="Y29" s="250">
        <v>768.48</v>
      </c>
      <c r="Z29" s="243" t="s">
        <v>141</v>
      </c>
      <c r="AA29" s="204">
        <f>(V29/2000)*8.34*1.135</f>
        <v>3.6371774160000006</v>
      </c>
      <c r="AB29" s="204">
        <f>(W29/2000)*8.34*1.135</f>
        <v>3.6371774160000006</v>
      </c>
      <c r="AC29" s="204">
        <f>(X29/2000)*8.34*1.135</f>
        <v>3.6371774160000006</v>
      </c>
      <c r="AD29" s="204">
        <f>(Y29/2000)*8.34*1.135</f>
        <v>3.6371774160000006</v>
      </c>
      <c r="AE29" s="205" t="s">
        <v>143</v>
      </c>
      <c r="AF29" s="206">
        <f>V29/0.35</f>
        <v>2195.6571428571428</v>
      </c>
      <c r="AG29" s="206">
        <f>W29/0.35</f>
        <v>2195.6571428571428</v>
      </c>
      <c r="AH29" s="206">
        <f>X29/0.35</f>
        <v>2195.6571428571428</v>
      </c>
      <c r="AI29" s="207">
        <f>Y29/0.35</f>
        <v>2195.6571428571428</v>
      </c>
    </row>
    <row r="30" spans="1:35">
      <c r="A30" s="559" t="s">
        <v>155</v>
      </c>
      <c r="B30" s="560"/>
      <c r="C30" s="561">
        <f>C15+Q15+AE15</f>
        <v>15.8121855334056</v>
      </c>
      <c r="D30" s="562"/>
      <c r="E30" s="563">
        <f>C16+Q16+AE16</f>
        <v>111950.27357651165</v>
      </c>
      <c r="F30" s="564"/>
      <c r="G30" s="565">
        <f>C30*2000</f>
        <v>31624.3710668112</v>
      </c>
      <c r="H30" s="565"/>
      <c r="I30" s="201" t="s">
        <v>150</v>
      </c>
      <c r="J30" s="566">
        <f>G30/3300</f>
        <v>9.5831427475185453</v>
      </c>
      <c r="K30" s="567"/>
      <c r="L30" s="202" t="s">
        <v>156</v>
      </c>
      <c r="M30" s="568">
        <f t="shared" si="8"/>
        <v>10</v>
      </c>
      <c r="N30" s="569"/>
      <c r="O30" s="540">
        <f>M30*3300*$Y$30</f>
        <v>116820</v>
      </c>
      <c r="P30" s="541"/>
      <c r="Q30" s="195"/>
      <c r="R30" s="542" t="s">
        <v>155</v>
      </c>
      <c r="S30" s="543"/>
      <c r="T30" s="543"/>
      <c r="U30" s="241" t="s">
        <v>150</v>
      </c>
      <c r="V30" s="249">
        <v>3.54</v>
      </c>
      <c r="W30" s="203">
        <v>3.54</v>
      </c>
      <c r="X30" s="203">
        <v>3.54</v>
      </c>
      <c r="Y30" s="250">
        <v>3.54</v>
      </c>
      <c r="Z30" s="243" t="s">
        <v>141</v>
      </c>
      <c r="AA30" s="204">
        <f>(8.34*1.029*0.03)*V30</f>
        <v>0.91139353199999984</v>
      </c>
      <c r="AB30" s="204">
        <f>(8.34*1.029*0.03)*W30</f>
        <v>0.91139353199999984</v>
      </c>
      <c r="AC30" s="204">
        <f>(8.34*1.029*0.03)*X30</f>
        <v>0.91139353199999984</v>
      </c>
      <c r="AD30" s="204">
        <f>(8.34*1.029*0.03)*Y30</f>
        <v>0.91139353199999984</v>
      </c>
      <c r="AE30" s="205" t="s">
        <v>143</v>
      </c>
      <c r="AF30" s="206">
        <f>V30*2000</f>
        <v>7080</v>
      </c>
      <c r="AG30" s="206">
        <f>W30*2000</f>
        <v>7080</v>
      </c>
      <c r="AH30" s="206">
        <f>X30*2000</f>
        <v>7080</v>
      </c>
      <c r="AI30" s="207">
        <f>Y30*2000</f>
        <v>7080</v>
      </c>
    </row>
    <row r="31" spans="1:35" ht="15.75" thickBot="1">
      <c r="A31" s="544" t="s">
        <v>157</v>
      </c>
      <c r="B31" s="545"/>
      <c r="C31" s="546">
        <f>E15+O15+AB15</f>
        <v>1975.0924439906462</v>
      </c>
      <c r="D31" s="547"/>
      <c r="E31" s="548">
        <f>E16+O16+AB16</f>
        <v>1343062.8619136396</v>
      </c>
      <c r="F31" s="549"/>
      <c r="G31" s="550">
        <f>(C31/0.5)*2000</f>
        <v>7900369.7759625847</v>
      </c>
      <c r="H31" s="550"/>
      <c r="I31" s="208" t="s">
        <v>145</v>
      </c>
      <c r="J31" s="551">
        <f>G31/45000</f>
        <v>175.56377279916856</v>
      </c>
      <c r="K31" s="552"/>
      <c r="L31" s="209" t="s">
        <v>142</v>
      </c>
      <c r="M31" s="553">
        <f t="shared" si="8"/>
        <v>176</v>
      </c>
      <c r="N31" s="554"/>
      <c r="O31" s="555">
        <f>M31*45000*$Y$31</f>
        <v>1346400</v>
      </c>
      <c r="P31" s="556"/>
      <c r="Q31" s="195"/>
      <c r="R31" s="557" t="s">
        <v>157</v>
      </c>
      <c r="S31" s="558"/>
      <c r="T31" s="558"/>
      <c r="U31" s="242" t="s">
        <v>145</v>
      </c>
      <c r="V31" s="251">
        <v>0.17</v>
      </c>
      <c r="W31" s="252">
        <v>0.17499999999999999</v>
      </c>
      <c r="X31" s="252">
        <v>0.156</v>
      </c>
      <c r="Y31" s="325">
        <v>0.17</v>
      </c>
      <c r="Z31" s="244" t="s">
        <v>141</v>
      </c>
      <c r="AA31" s="211">
        <f>V31*8.34*1.54</f>
        <v>2.1834120000000001</v>
      </c>
      <c r="AB31" s="211">
        <f>W31*8.34*1.54</f>
        <v>2.2476299999999996</v>
      </c>
      <c r="AC31" s="211">
        <f>X31*8.34*1.54</f>
        <v>2.0036016000000001</v>
      </c>
      <c r="AD31" s="210">
        <f>Y31*8.34*1.54</f>
        <v>2.1834120000000001</v>
      </c>
      <c r="AE31" s="212" t="s">
        <v>143</v>
      </c>
      <c r="AF31" s="213">
        <f>(V31*2000)/0.5</f>
        <v>680</v>
      </c>
      <c r="AG31" s="213">
        <f>(W31*2000)/0.5</f>
        <v>700</v>
      </c>
      <c r="AH31" s="213">
        <f>(X31*2000)/0.5</f>
        <v>624</v>
      </c>
      <c r="AI31" s="326">
        <f>(Y31*2000)/0.5</f>
        <v>680</v>
      </c>
    </row>
    <row r="32" spans="1:35">
      <c r="F32" s="214"/>
    </row>
    <row r="33" spans="7:34">
      <c r="AH33" s="324" t="s">
        <v>206</v>
      </c>
    </row>
    <row r="34" spans="7:34">
      <c r="G34" s="195"/>
    </row>
    <row r="35" spans="7:34">
      <c r="G35" s="195"/>
    </row>
    <row r="36" spans="7:34">
      <c r="G36" s="195"/>
    </row>
    <row r="37" spans="7:34">
      <c r="G37" s="195"/>
    </row>
    <row r="38" spans="7:34">
      <c r="G38" s="195"/>
    </row>
    <row r="39" spans="7:34">
      <c r="G39" s="195"/>
    </row>
    <row r="40" spans="7:34">
      <c r="G40" s="195"/>
    </row>
    <row r="41" spans="7:34">
      <c r="G41" s="195"/>
    </row>
    <row r="42" spans="7:34">
      <c r="G42" s="195"/>
    </row>
    <row r="43" spans="7:34">
      <c r="G43" s="195"/>
    </row>
    <row r="44" spans="7:34">
      <c r="G44" s="195"/>
    </row>
    <row r="45" spans="7:34">
      <c r="G45" s="195"/>
    </row>
  </sheetData>
  <sheetProtection password="A25B" sheet="1" objects="1" scenarios="1"/>
  <customSheetViews>
    <customSheetView guid="{322E6371-A03C-4BCA-B267-212DFC76880A}" fitToPage="1" topLeftCell="K7">
      <selection activeCell="AF28" sqref="AF28"/>
      <pageMargins left="0.7" right="0.7" top="0.75" bottom="0.75" header="0.3" footer="0.3"/>
      <pageSetup paperSize="17" scale="61" orientation="landscape" r:id="rId1"/>
    </customSheetView>
  </customSheetViews>
  <mergeCells count="135">
    <mergeCell ref="AF7:AI9"/>
    <mergeCell ref="A8:B8"/>
    <mergeCell ref="A9:B9"/>
    <mergeCell ref="A1:B1"/>
    <mergeCell ref="C1:AI1"/>
    <mergeCell ref="A2:B4"/>
    <mergeCell ref="C2:P2"/>
    <mergeCell ref="Q2:AC2"/>
    <mergeCell ref="AD2:AE3"/>
    <mergeCell ref="AF2:AI3"/>
    <mergeCell ref="C3:I3"/>
    <mergeCell ref="J3:L3"/>
    <mergeCell ref="M3:P3"/>
    <mergeCell ref="A10:B10"/>
    <mergeCell ref="A12:B12"/>
    <mergeCell ref="C12:AE12"/>
    <mergeCell ref="C11:E11"/>
    <mergeCell ref="G11:I11"/>
    <mergeCell ref="K11:L11"/>
    <mergeCell ref="Q3:V3"/>
    <mergeCell ref="W3:Y3"/>
    <mergeCell ref="Z3:AC3"/>
    <mergeCell ref="A5:B6"/>
    <mergeCell ref="A7:B7"/>
    <mergeCell ref="M11:N11"/>
    <mergeCell ref="O11:Q11"/>
    <mergeCell ref="O19:P19"/>
    <mergeCell ref="A20:B20"/>
    <mergeCell ref="C20:I20"/>
    <mergeCell ref="J20:P20"/>
    <mergeCell ref="S20:T20"/>
    <mergeCell ref="U20:Y20"/>
    <mergeCell ref="A13:B14"/>
    <mergeCell ref="A15:B15"/>
    <mergeCell ref="A16:B16"/>
    <mergeCell ref="A17:B17"/>
    <mergeCell ref="C17:E17"/>
    <mergeCell ref="G17:I17"/>
    <mergeCell ref="K17:L17"/>
    <mergeCell ref="M17:N17"/>
    <mergeCell ref="O17:Q17"/>
    <mergeCell ref="Z20:AD20"/>
    <mergeCell ref="AE20:AI20"/>
    <mergeCell ref="A21:B21"/>
    <mergeCell ref="C21:D21"/>
    <mergeCell ref="E21:F21"/>
    <mergeCell ref="G21:I21"/>
    <mergeCell ref="J21:L21"/>
    <mergeCell ref="M21:N21"/>
    <mergeCell ref="O21:P21"/>
    <mergeCell ref="R21:T21"/>
    <mergeCell ref="O22:P22"/>
    <mergeCell ref="R22:T22"/>
    <mergeCell ref="A23:B23"/>
    <mergeCell ref="C23:D23"/>
    <mergeCell ref="E23:F23"/>
    <mergeCell ref="G23:H23"/>
    <mergeCell ref="J23:K23"/>
    <mergeCell ref="M23:N23"/>
    <mergeCell ref="O23:P23"/>
    <mergeCell ref="R23:T23"/>
    <mergeCell ref="A22:B22"/>
    <mergeCell ref="C22:D22"/>
    <mergeCell ref="E22:F22"/>
    <mergeCell ref="G22:H22"/>
    <mergeCell ref="J22:K22"/>
    <mergeCell ref="M22:N22"/>
    <mergeCell ref="O24:P24"/>
    <mergeCell ref="R24:T24"/>
    <mergeCell ref="A25:B25"/>
    <mergeCell ref="C25:D25"/>
    <mergeCell ref="E25:F25"/>
    <mergeCell ref="G25:H25"/>
    <mergeCell ref="J25:K25"/>
    <mergeCell ref="M25:N25"/>
    <mergeCell ref="O25:P25"/>
    <mergeCell ref="R25:T25"/>
    <mergeCell ref="A24:B24"/>
    <mergeCell ref="C24:D24"/>
    <mergeCell ref="E24:F24"/>
    <mergeCell ref="G24:H24"/>
    <mergeCell ref="J24:K24"/>
    <mergeCell ref="M24:N24"/>
    <mergeCell ref="O26:P26"/>
    <mergeCell ref="R26:T26"/>
    <mergeCell ref="A27:B27"/>
    <mergeCell ref="C27:D27"/>
    <mergeCell ref="E27:F27"/>
    <mergeCell ref="G27:H27"/>
    <mergeCell ref="J27:K27"/>
    <mergeCell ref="M27:N27"/>
    <mergeCell ref="O27:P27"/>
    <mergeCell ref="R27:T27"/>
    <mergeCell ref="A26:B26"/>
    <mergeCell ref="C26:D26"/>
    <mergeCell ref="E26:F26"/>
    <mergeCell ref="G26:H26"/>
    <mergeCell ref="J26:K26"/>
    <mergeCell ref="M26:N26"/>
    <mergeCell ref="E29:F29"/>
    <mergeCell ref="G29:H29"/>
    <mergeCell ref="J29:K29"/>
    <mergeCell ref="M29:N29"/>
    <mergeCell ref="O29:P29"/>
    <mergeCell ref="R29:T29"/>
    <mergeCell ref="A28:B28"/>
    <mergeCell ref="C28:D28"/>
    <mergeCell ref="E28:F28"/>
    <mergeCell ref="G28:H28"/>
    <mergeCell ref="J28:K28"/>
    <mergeCell ref="M28:N28"/>
    <mergeCell ref="AF11:AF17"/>
    <mergeCell ref="AG11:AG17"/>
    <mergeCell ref="AH11:AH17"/>
    <mergeCell ref="AI11:AI17"/>
    <mergeCell ref="O30:P30"/>
    <mergeCell ref="R30:T30"/>
    <mergeCell ref="A31:B31"/>
    <mergeCell ref="C31:D31"/>
    <mergeCell ref="E31:F31"/>
    <mergeCell ref="G31:H31"/>
    <mergeCell ref="J31:K31"/>
    <mergeCell ref="M31:N31"/>
    <mergeCell ref="O31:P31"/>
    <mergeCell ref="R31:T31"/>
    <mergeCell ref="A30:B30"/>
    <mergeCell ref="C30:D30"/>
    <mergeCell ref="E30:F30"/>
    <mergeCell ref="G30:H30"/>
    <mergeCell ref="J30:K30"/>
    <mergeCell ref="M30:N30"/>
    <mergeCell ref="O28:P28"/>
    <mergeCell ref="R28:T28"/>
    <mergeCell ref="A29:B29"/>
    <mergeCell ref="C29:D29"/>
  </mergeCells>
  <pageMargins left="0.7" right="0.7" top="0.75" bottom="0.75" header="0.3" footer="0.3"/>
  <pageSetup paperSize="17" scale="61" orientation="landscape" r:id="rId2"/>
  <ignoredErrors>
    <ignoredError sqref="J11 F11" formulaRange="1"/>
  </ignoredErrors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U62"/>
  <sheetViews>
    <sheetView topLeftCell="A16" zoomScale="75" zoomScaleNormal="75" workbookViewId="0">
      <selection activeCell="H53" sqref="H53"/>
    </sheetView>
  </sheetViews>
  <sheetFormatPr defaultRowHeight="15"/>
  <cols>
    <col min="1" max="1" width="36" style="355" customWidth="1"/>
    <col min="2" max="2" width="19.140625" style="355" bestFit="1" customWidth="1"/>
    <col min="3" max="3" width="27.5703125" style="355" bestFit="1" customWidth="1"/>
    <col min="4" max="4" width="29.5703125" style="355" customWidth="1"/>
    <col min="5" max="5" width="22.140625" style="355" bestFit="1" customWidth="1"/>
    <col min="6" max="6" width="14.85546875" style="355" bestFit="1" customWidth="1"/>
    <col min="7" max="7" width="35.5703125" style="355" customWidth="1"/>
    <col min="8" max="8" width="17.42578125" style="355" bestFit="1" customWidth="1"/>
    <col min="9" max="9" width="14.85546875" style="355" bestFit="1" customWidth="1"/>
    <col min="10" max="10" width="16.28515625" style="355" bestFit="1" customWidth="1"/>
    <col min="11" max="11" width="19.140625" style="355" bestFit="1" customWidth="1"/>
    <col min="12" max="12" width="16.85546875" style="355" bestFit="1" customWidth="1"/>
    <col min="13" max="13" width="15.85546875" style="355" bestFit="1" customWidth="1"/>
    <col min="14" max="14" width="14.85546875" style="355" bestFit="1" customWidth="1"/>
    <col min="15" max="16" width="15.5703125" style="355" bestFit="1" customWidth="1"/>
    <col min="17" max="17" width="23.85546875" style="355" bestFit="1" customWidth="1"/>
    <col min="18" max="18" width="24.28515625" style="355" bestFit="1" customWidth="1"/>
    <col min="19" max="19" width="25.85546875" style="355" bestFit="1" customWidth="1"/>
    <col min="20" max="20" width="25.7109375" style="355" bestFit="1" customWidth="1"/>
    <col min="21" max="22" width="11.42578125" style="355" bestFit="1" customWidth="1"/>
    <col min="23" max="23" width="20.140625" style="355" bestFit="1" customWidth="1"/>
    <col min="24" max="24" width="19.85546875" style="355" bestFit="1" customWidth="1"/>
    <col min="25" max="25" width="22.42578125" style="355" bestFit="1" customWidth="1"/>
    <col min="26" max="26" width="22.140625" style="355" bestFit="1" customWidth="1"/>
    <col min="27" max="27" width="21.140625" style="355" bestFit="1" customWidth="1"/>
    <col min="28" max="28" width="32.7109375" style="355" bestFit="1" customWidth="1"/>
    <col min="29" max="29" width="36.7109375" style="355" customWidth="1"/>
    <col min="30" max="30" width="33.140625" style="355" bestFit="1" customWidth="1"/>
    <col min="31" max="31" width="26.85546875" style="355" customWidth="1"/>
    <col min="32" max="32" width="23" style="355" customWidth="1"/>
    <col min="33" max="33" width="22.28515625" style="355" customWidth="1"/>
    <col min="34" max="34" width="22.5703125" style="355" bestFit="1" customWidth="1"/>
    <col min="35" max="35" width="16" style="355" bestFit="1" customWidth="1"/>
    <col min="36" max="36" width="16.7109375" style="355" bestFit="1" customWidth="1"/>
    <col min="37" max="38" width="15.140625" style="355" bestFit="1" customWidth="1"/>
    <col min="39" max="39" width="21.28515625" style="355" bestFit="1" customWidth="1"/>
    <col min="40" max="40" width="18.28515625" style="355" bestFit="1" customWidth="1"/>
    <col min="41" max="43" width="15.140625" style="355" bestFit="1" customWidth="1"/>
    <col min="44" max="16384" width="9.140625" style="355"/>
  </cols>
  <sheetData>
    <row r="1" spans="1:47" ht="15" customHeight="1">
      <c r="A1" s="353" t="s">
        <v>0</v>
      </c>
      <c r="B1" s="354"/>
      <c r="C1" s="355" t="s">
        <v>1</v>
      </c>
      <c r="O1" s="356"/>
      <c r="P1" s="357"/>
      <c r="Q1" s="357"/>
      <c r="R1" s="357"/>
    </row>
    <row r="2" spans="1:47" ht="15" customHeight="1">
      <c r="A2" s="353" t="s">
        <v>2</v>
      </c>
      <c r="B2" s="358"/>
      <c r="O2" s="357"/>
      <c r="P2" s="357"/>
      <c r="Q2" s="357"/>
      <c r="R2" s="357"/>
    </row>
    <row r="3" spans="1:47" ht="15.75" thickBot="1">
      <c r="A3" s="359"/>
    </row>
    <row r="4" spans="1:47" ht="30" customHeight="1" thickTop="1">
      <c r="A4" s="360"/>
      <c r="B4" s="689" t="s">
        <v>3</v>
      </c>
      <c r="C4" s="690"/>
      <c r="D4" s="690"/>
      <c r="E4" s="690"/>
      <c r="F4" s="690"/>
      <c r="G4" s="690"/>
      <c r="H4" s="691"/>
      <c r="I4" s="689" t="s">
        <v>4</v>
      </c>
      <c r="J4" s="690"/>
      <c r="K4" s="690"/>
      <c r="L4" s="690"/>
      <c r="M4" s="690"/>
      <c r="N4" s="691"/>
      <c r="O4" s="695" t="s">
        <v>5</v>
      </c>
      <c r="P4" s="696"/>
      <c r="Q4" s="697"/>
      <c r="R4" s="697"/>
      <c r="S4" s="697"/>
      <c r="T4" s="698"/>
      <c r="U4" s="689" t="s">
        <v>6</v>
      </c>
      <c r="V4" s="702"/>
      <c r="W4" s="702"/>
      <c r="X4" s="702"/>
      <c r="Y4" s="702"/>
      <c r="Z4" s="702"/>
      <c r="AA4" s="703"/>
      <c r="AB4" s="674" t="s">
        <v>7</v>
      </c>
      <c r="AC4" s="708" t="s">
        <v>8</v>
      </c>
      <c r="AD4" s="687" t="s">
        <v>27</v>
      </c>
      <c r="AE4" s="687" t="s">
        <v>31</v>
      </c>
      <c r="AF4" s="687" t="s">
        <v>32</v>
      </c>
      <c r="AG4" s="687" t="s">
        <v>33</v>
      </c>
      <c r="AH4" s="674" t="s">
        <v>172</v>
      </c>
      <c r="AI4" s="674" t="s">
        <v>173</v>
      </c>
      <c r="AJ4" s="674" t="s">
        <v>174</v>
      </c>
      <c r="AK4" s="674" t="s">
        <v>175</v>
      </c>
      <c r="AL4" s="674" t="s">
        <v>176</v>
      </c>
      <c r="AM4" s="674" t="s">
        <v>177</v>
      </c>
      <c r="AN4" s="674" t="s">
        <v>178</v>
      </c>
      <c r="AO4" s="674" t="s">
        <v>181</v>
      </c>
      <c r="AP4" s="674" t="s">
        <v>179</v>
      </c>
      <c r="AQ4" s="674" t="s">
        <v>180</v>
      </c>
    </row>
    <row r="5" spans="1:47" ht="30" customHeight="1" thickBot="1">
      <c r="A5" s="360"/>
      <c r="B5" s="692"/>
      <c r="C5" s="693"/>
      <c r="D5" s="693"/>
      <c r="E5" s="693"/>
      <c r="F5" s="693"/>
      <c r="G5" s="693"/>
      <c r="H5" s="694"/>
      <c r="I5" s="692"/>
      <c r="J5" s="693"/>
      <c r="K5" s="693"/>
      <c r="L5" s="693"/>
      <c r="M5" s="693"/>
      <c r="N5" s="694"/>
      <c r="O5" s="699"/>
      <c r="P5" s="700"/>
      <c r="Q5" s="700"/>
      <c r="R5" s="700"/>
      <c r="S5" s="700"/>
      <c r="T5" s="701"/>
      <c r="U5" s="704"/>
      <c r="V5" s="705"/>
      <c r="W5" s="705"/>
      <c r="X5" s="705"/>
      <c r="Y5" s="705"/>
      <c r="Z5" s="705"/>
      <c r="AA5" s="706"/>
      <c r="AB5" s="707"/>
      <c r="AC5" s="709"/>
      <c r="AD5" s="688"/>
      <c r="AE5" s="688"/>
      <c r="AF5" s="688"/>
      <c r="AG5" s="688"/>
      <c r="AH5" s="675"/>
      <c r="AI5" s="675"/>
      <c r="AJ5" s="675"/>
      <c r="AK5" s="675"/>
      <c r="AL5" s="675"/>
      <c r="AM5" s="675"/>
      <c r="AN5" s="675"/>
      <c r="AO5" s="675"/>
      <c r="AP5" s="675"/>
      <c r="AQ5" s="675"/>
      <c r="AU5" s="361"/>
    </row>
    <row r="6" spans="1:47" ht="18">
      <c r="A6" s="362"/>
      <c r="B6" s="363" t="s">
        <v>9</v>
      </c>
      <c r="C6" s="364" t="s">
        <v>10</v>
      </c>
      <c r="D6" s="364" t="s">
        <v>11</v>
      </c>
      <c r="E6" s="364" t="s">
        <v>12</v>
      </c>
      <c r="F6" s="364" t="s">
        <v>13</v>
      </c>
      <c r="G6" s="364" t="s">
        <v>14</v>
      </c>
      <c r="H6" s="365" t="s">
        <v>15</v>
      </c>
      <c r="I6" s="366" t="s">
        <v>9</v>
      </c>
      <c r="J6" s="364" t="s">
        <v>16</v>
      </c>
      <c r="K6" s="364" t="s">
        <v>17</v>
      </c>
      <c r="L6" s="367" t="s">
        <v>18</v>
      </c>
      <c r="M6" s="364" t="s">
        <v>19</v>
      </c>
      <c r="N6" s="365" t="s">
        <v>13</v>
      </c>
      <c r="O6" s="363" t="s">
        <v>35</v>
      </c>
      <c r="P6" s="367" t="s">
        <v>36</v>
      </c>
      <c r="Q6" s="367" t="s">
        <v>37</v>
      </c>
      <c r="R6" s="367" t="s">
        <v>38</v>
      </c>
      <c r="S6" s="364" t="s">
        <v>39</v>
      </c>
      <c r="T6" s="368" t="s">
        <v>40</v>
      </c>
      <c r="U6" s="369" t="s">
        <v>41</v>
      </c>
      <c r="V6" s="364" t="s">
        <v>42</v>
      </c>
      <c r="W6" s="364" t="s">
        <v>43</v>
      </c>
      <c r="X6" s="364" t="s">
        <v>44</v>
      </c>
      <c r="Y6" s="364" t="s">
        <v>45</v>
      </c>
      <c r="Z6" s="364" t="s">
        <v>46</v>
      </c>
      <c r="AA6" s="370" t="s">
        <v>20</v>
      </c>
      <c r="AB6" s="371" t="s">
        <v>21</v>
      </c>
      <c r="AC6" s="371" t="s">
        <v>22</v>
      </c>
      <c r="AD6" s="372" t="s">
        <v>30</v>
      </c>
      <c r="AE6" s="372"/>
      <c r="AF6" s="372"/>
      <c r="AG6" s="372"/>
      <c r="AH6" s="372"/>
      <c r="AI6" s="372"/>
      <c r="AJ6" s="372"/>
      <c r="AK6" s="372"/>
      <c r="AL6" s="372"/>
      <c r="AM6" s="372"/>
      <c r="AN6" s="372"/>
      <c r="AO6" s="372"/>
      <c r="AP6" s="372"/>
      <c r="AQ6" s="372"/>
    </row>
    <row r="7" spans="1:47" ht="15.75" thickBot="1">
      <c r="A7" s="362"/>
      <c r="B7" s="373" t="s">
        <v>23</v>
      </c>
      <c r="C7" s="374" t="s">
        <v>23</v>
      </c>
      <c r="D7" s="374" t="s">
        <v>23</v>
      </c>
      <c r="E7" s="374" t="s">
        <v>23</v>
      </c>
      <c r="F7" s="374" t="s">
        <v>23</v>
      </c>
      <c r="G7" s="374" t="s">
        <v>24</v>
      </c>
      <c r="H7" s="375" t="s">
        <v>23</v>
      </c>
      <c r="I7" s="373" t="s">
        <v>23</v>
      </c>
      <c r="J7" s="374" t="s">
        <v>23</v>
      </c>
      <c r="K7" s="374" t="s">
        <v>23</v>
      </c>
      <c r="L7" s="374" t="s">
        <v>23</v>
      </c>
      <c r="M7" s="374" t="s">
        <v>23</v>
      </c>
      <c r="N7" s="375" t="s">
        <v>23</v>
      </c>
      <c r="O7" s="373" t="s">
        <v>23</v>
      </c>
      <c r="P7" s="374" t="s">
        <v>23</v>
      </c>
      <c r="Q7" s="374" t="s">
        <v>23</v>
      </c>
      <c r="R7" s="374" t="s">
        <v>23</v>
      </c>
      <c r="S7" s="374" t="s">
        <v>23</v>
      </c>
      <c r="T7" s="376" t="s">
        <v>23</v>
      </c>
      <c r="U7" s="373" t="s">
        <v>25</v>
      </c>
      <c r="V7" s="374" t="s">
        <v>25</v>
      </c>
      <c r="W7" s="374" t="s">
        <v>23</v>
      </c>
      <c r="X7" s="374" t="s">
        <v>23</v>
      </c>
      <c r="Y7" s="374" t="s">
        <v>23</v>
      </c>
      <c r="Z7" s="374" t="s">
        <v>23</v>
      </c>
      <c r="AA7" s="375" t="s">
        <v>23</v>
      </c>
      <c r="AB7" s="377" t="s">
        <v>25</v>
      </c>
      <c r="AC7" s="378" t="s">
        <v>23</v>
      </c>
      <c r="AD7" s="377" t="s">
        <v>28</v>
      </c>
      <c r="AE7" s="377" t="s">
        <v>28</v>
      </c>
      <c r="AF7" s="377" t="s">
        <v>28</v>
      </c>
      <c r="AG7" s="377" t="s">
        <v>34</v>
      </c>
      <c r="AH7" s="377" t="s">
        <v>169</v>
      </c>
      <c r="AI7" s="377" t="s">
        <v>169</v>
      </c>
      <c r="AJ7" s="377" t="s">
        <v>169</v>
      </c>
      <c r="AK7" s="377" t="s">
        <v>169</v>
      </c>
      <c r="AL7" s="377" t="s">
        <v>169</v>
      </c>
      <c r="AM7" s="377" t="s">
        <v>169</v>
      </c>
      <c r="AN7" s="377" t="s">
        <v>169</v>
      </c>
      <c r="AO7" s="377" t="s">
        <v>169</v>
      </c>
      <c r="AP7" s="377" t="s">
        <v>169</v>
      </c>
      <c r="AQ7" s="377" t="s">
        <v>169</v>
      </c>
    </row>
    <row r="8" spans="1:47">
      <c r="A8" s="379">
        <v>40909</v>
      </c>
      <c r="B8" s="380"/>
      <c r="C8" s="381">
        <v>0</v>
      </c>
      <c r="D8" s="381">
        <v>0</v>
      </c>
      <c r="E8" s="381">
        <v>0</v>
      </c>
      <c r="F8" s="381">
        <v>0</v>
      </c>
      <c r="G8" s="381">
        <v>0</v>
      </c>
      <c r="H8" s="382">
        <v>0</v>
      </c>
      <c r="I8" s="380">
        <v>259.06104763348912</v>
      </c>
      <c r="J8" s="381">
        <v>850.5542448043833</v>
      </c>
      <c r="K8" s="381">
        <v>14.652571631471316</v>
      </c>
      <c r="L8" s="381">
        <v>0</v>
      </c>
      <c r="M8" s="381">
        <v>0</v>
      </c>
      <c r="N8" s="382">
        <v>40.214015316466508</v>
      </c>
      <c r="O8" s="380">
        <v>0</v>
      </c>
      <c r="P8" s="381">
        <v>0</v>
      </c>
      <c r="Q8" s="381">
        <v>0</v>
      </c>
      <c r="R8" s="381">
        <v>0</v>
      </c>
      <c r="S8" s="381">
        <v>0</v>
      </c>
      <c r="T8" s="383">
        <v>0</v>
      </c>
      <c r="U8" s="384">
        <v>245.13464598125688</v>
      </c>
      <c r="V8" s="385">
        <v>0</v>
      </c>
      <c r="W8" s="385">
        <v>28.737078376611109</v>
      </c>
      <c r="X8" s="385">
        <v>0</v>
      </c>
      <c r="Y8" s="385">
        <v>234.82208463350918</v>
      </c>
      <c r="Z8" s="385">
        <v>0</v>
      </c>
      <c r="AA8" s="386">
        <v>0</v>
      </c>
      <c r="AB8" s="387">
        <v>0</v>
      </c>
      <c r="AC8" s="388">
        <v>0</v>
      </c>
      <c r="AD8" s="388">
        <v>11.676200530926382</v>
      </c>
      <c r="AE8" s="389">
        <v>11.499244828229328</v>
      </c>
      <c r="AF8" s="389">
        <v>0</v>
      </c>
      <c r="AG8" s="389">
        <v>1</v>
      </c>
      <c r="AH8" s="388">
        <v>237.25244563420614</v>
      </c>
      <c r="AI8" s="388">
        <v>580.29833288192742</v>
      </c>
      <c r="AJ8" s="388">
        <v>1230.2951620737713</v>
      </c>
      <c r="AK8" s="388">
        <v>773.4328982671102</v>
      </c>
      <c r="AL8" s="388">
        <v>1132.9921958605448</v>
      </c>
      <c r="AM8" s="388">
        <v>1994.5455211639403</v>
      </c>
      <c r="AN8" s="388">
        <v>644.048045126597</v>
      </c>
      <c r="AO8" s="388">
        <v>2494.0899005889892</v>
      </c>
      <c r="AP8" s="388">
        <v>613.39605909983311</v>
      </c>
      <c r="AQ8" s="388">
        <v>756.97155758539827</v>
      </c>
    </row>
    <row r="9" spans="1:47">
      <c r="A9" s="379">
        <v>40910</v>
      </c>
      <c r="B9" s="390"/>
      <c r="C9" s="391">
        <v>0</v>
      </c>
      <c r="D9" s="391">
        <v>0</v>
      </c>
      <c r="E9" s="391">
        <v>0</v>
      </c>
      <c r="F9" s="391">
        <v>0</v>
      </c>
      <c r="G9" s="391">
        <v>0</v>
      </c>
      <c r="H9" s="392">
        <v>0</v>
      </c>
      <c r="I9" s="390">
        <v>260.27363522847514</v>
      </c>
      <c r="J9" s="391">
        <v>849.25756276448499</v>
      </c>
      <c r="K9" s="391">
        <v>14.646377407511096</v>
      </c>
      <c r="L9" s="391">
        <v>0</v>
      </c>
      <c r="M9" s="391">
        <v>0</v>
      </c>
      <c r="N9" s="392">
        <v>38.799710363646327</v>
      </c>
      <c r="O9" s="390">
        <v>0</v>
      </c>
      <c r="P9" s="391">
        <v>0</v>
      </c>
      <c r="Q9" s="393">
        <v>0</v>
      </c>
      <c r="R9" s="394">
        <v>0</v>
      </c>
      <c r="S9" s="391">
        <v>0</v>
      </c>
      <c r="T9" s="395">
        <v>0</v>
      </c>
      <c r="U9" s="396">
        <v>245.09196137322544</v>
      </c>
      <c r="V9" s="393">
        <v>0</v>
      </c>
      <c r="W9" s="393">
        <v>28.32918465932206</v>
      </c>
      <c r="X9" s="393">
        <v>0</v>
      </c>
      <c r="Y9" s="397">
        <v>235.5090534528097</v>
      </c>
      <c r="Z9" s="397">
        <v>0</v>
      </c>
      <c r="AA9" s="398">
        <v>0</v>
      </c>
      <c r="AB9" s="399">
        <v>0</v>
      </c>
      <c r="AC9" s="400">
        <v>0</v>
      </c>
      <c r="AD9" s="400">
        <v>11.675748492611763</v>
      </c>
      <c r="AE9" s="399">
        <v>11.499784566357317</v>
      </c>
      <c r="AF9" s="399">
        <v>0</v>
      </c>
      <c r="AG9" s="399">
        <v>1</v>
      </c>
      <c r="AH9" s="400">
        <v>224.92241100470224</v>
      </c>
      <c r="AI9" s="400">
        <v>530.6379950205486</v>
      </c>
      <c r="AJ9" s="400">
        <v>1245.5427246729535</v>
      </c>
      <c r="AK9" s="400">
        <v>763.68443466822293</v>
      </c>
      <c r="AL9" s="400">
        <v>1080.6537453651429</v>
      </c>
      <c r="AM9" s="400">
        <v>1943.8584898630779</v>
      </c>
      <c r="AN9" s="400">
        <v>606.47731571197517</v>
      </c>
      <c r="AO9" s="400">
        <v>2451.6817667643231</v>
      </c>
      <c r="AP9" s="400">
        <v>595.14917647043876</v>
      </c>
      <c r="AQ9" s="400">
        <v>731.42649192810063</v>
      </c>
    </row>
    <row r="10" spans="1:47">
      <c r="A10" s="379">
        <v>40911</v>
      </c>
      <c r="B10" s="390"/>
      <c r="C10" s="391">
        <v>0</v>
      </c>
      <c r="D10" s="391">
        <v>0</v>
      </c>
      <c r="E10" s="391">
        <v>0</v>
      </c>
      <c r="F10" s="391">
        <v>0</v>
      </c>
      <c r="G10" s="391">
        <v>0</v>
      </c>
      <c r="H10" s="392">
        <v>0</v>
      </c>
      <c r="I10" s="390">
        <v>258.77225510279402</v>
      </c>
      <c r="J10" s="391">
        <v>849.40734736124625</v>
      </c>
      <c r="K10" s="391">
        <v>14.695150430003785</v>
      </c>
      <c r="L10" s="391">
        <v>0</v>
      </c>
      <c r="M10" s="391">
        <v>0</v>
      </c>
      <c r="N10" s="392">
        <v>39.886653316517673</v>
      </c>
      <c r="O10" s="390">
        <v>0</v>
      </c>
      <c r="P10" s="391">
        <v>0</v>
      </c>
      <c r="Q10" s="391">
        <v>0</v>
      </c>
      <c r="R10" s="394">
        <v>0</v>
      </c>
      <c r="S10" s="391">
        <v>0</v>
      </c>
      <c r="T10" s="395">
        <v>0</v>
      </c>
      <c r="U10" s="396">
        <v>238.60092918607776</v>
      </c>
      <c r="V10" s="393">
        <v>0</v>
      </c>
      <c r="W10" s="393">
        <v>27.809365813930853</v>
      </c>
      <c r="X10" s="393">
        <v>0</v>
      </c>
      <c r="Y10" s="397">
        <v>227.14892432689638</v>
      </c>
      <c r="Z10" s="397">
        <v>0</v>
      </c>
      <c r="AA10" s="398">
        <v>0</v>
      </c>
      <c r="AB10" s="399">
        <v>0</v>
      </c>
      <c r="AC10" s="400">
        <v>0</v>
      </c>
      <c r="AD10" s="400">
        <v>11.319543462991724</v>
      </c>
      <c r="AE10" s="399">
        <v>11.128131631302393</v>
      </c>
      <c r="AF10" s="399">
        <v>0</v>
      </c>
      <c r="AG10" s="399">
        <v>1</v>
      </c>
      <c r="AH10" s="400">
        <v>214.25306719938914</v>
      </c>
      <c r="AI10" s="400">
        <v>495.55210433006278</v>
      </c>
      <c r="AJ10" s="400">
        <v>1237.3672053019206</v>
      </c>
      <c r="AK10" s="400">
        <v>753.46058174769087</v>
      </c>
      <c r="AL10" s="400">
        <v>1025.4993885040285</v>
      </c>
      <c r="AM10" s="400">
        <v>1930.5117891947427</v>
      </c>
      <c r="AN10" s="400">
        <v>577.3716457684834</v>
      </c>
      <c r="AO10" s="400">
        <v>2543.8483556111651</v>
      </c>
      <c r="AP10" s="400">
        <v>570.39800697962448</v>
      </c>
      <c r="AQ10" s="400">
        <v>786.88267386754342</v>
      </c>
    </row>
    <row r="11" spans="1:47">
      <c r="A11" s="379">
        <v>40912</v>
      </c>
      <c r="B11" s="390"/>
      <c r="C11" s="391">
        <v>0</v>
      </c>
      <c r="D11" s="391">
        <v>0</v>
      </c>
      <c r="E11" s="391">
        <v>0</v>
      </c>
      <c r="F11" s="391">
        <v>0</v>
      </c>
      <c r="G11" s="391">
        <v>0</v>
      </c>
      <c r="H11" s="392">
        <v>0</v>
      </c>
      <c r="I11" s="390">
        <v>255.76549863815325</v>
      </c>
      <c r="J11" s="391">
        <v>850.87699972788494</v>
      </c>
      <c r="K11" s="391">
        <v>14.720703385273614</v>
      </c>
      <c r="L11" s="391">
        <v>0</v>
      </c>
      <c r="M11" s="391">
        <v>0</v>
      </c>
      <c r="N11" s="392">
        <v>39.011819321413782</v>
      </c>
      <c r="O11" s="390">
        <v>0</v>
      </c>
      <c r="P11" s="391">
        <v>0</v>
      </c>
      <c r="Q11" s="391">
        <v>0</v>
      </c>
      <c r="R11" s="394">
        <v>0</v>
      </c>
      <c r="S11" s="391">
        <v>0</v>
      </c>
      <c r="T11" s="395">
        <v>0</v>
      </c>
      <c r="U11" s="396">
        <v>255.05282717810843</v>
      </c>
      <c r="V11" s="393">
        <v>0</v>
      </c>
      <c r="W11" s="393">
        <v>30.312040915091824</v>
      </c>
      <c r="X11" s="393">
        <v>0</v>
      </c>
      <c r="Y11" s="397">
        <v>233.82064217726344</v>
      </c>
      <c r="Z11" s="397">
        <v>0</v>
      </c>
      <c r="AA11" s="398">
        <v>0</v>
      </c>
      <c r="AB11" s="399">
        <v>0</v>
      </c>
      <c r="AC11" s="400">
        <v>0</v>
      </c>
      <c r="AD11" s="400">
        <v>11.68871833880743</v>
      </c>
      <c r="AE11" s="399">
        <v>11.501117763723389</v>
      </c>
      <c r="AF11" s="399">
        <v>0</v>
      </c>
      <c r="AG11" s="399">
        <v>1</v>
      </c>
      <c r="AH11" s="400">
        <v>214.16107217470804</v>
      </c>
      <c r="AI11" s="400">
        <v>497.6279390017192</v>
      </c>
      <c r="AJ11" s="400">
        <v>1240.5512393951412</v>
      </c>
      <c r="AK11" s="400">
        <v>753.55258067448926</v>
      </c>
      <c r="AL11" s="400">
        <v>1031.1015975634257</v>
      </c>
      <c r="AM11" s="400">
        <v>1962.5395234425864</v>
      </c>
      <c r="AN11" s="400">
        <v>591.24515457153325</v>
      </c>
      <c r="AO11" s="400">
        <v>2632.4429495493573</v>
      </c>
      <c r="AP11" s="400">
        <v>570.35614395141602</v>
      </c>
      <c r="AQ11" s="400">
        <v>764.54957660039292</v>
      </c>
    </row>
    <row r="12" spans="1:47">
      <c r="A12" s="379">
        <v>40913</v>
      </c>
      <c r="B12" s="390"/>
      <c r="C12" s="391">
        <v>0</v>
      </c>
      <c r="D12" s="391">
        <v>0</v>
      </c>
      <c r="E12" s="391">
        <v>0</v>
      </c>
      <c r="F12" s="391">
        <v>0</v>
      </c>
      <c r="G12" s="391">
        <v>0</v>
      </c>
      <c r="H12" s="392">
        <v>0</v>
      </c>
      <c r="I12" s="390">
        <v>247.27366773287491</v>
      </c>
      <c r="J12" s="391">
        <v>830.47310689290407</v>
      </c>
      <c r="K12" s="391">
        <v>14.382962600390135</v>
      </c>
      <c r="L12" s="391">
        <v>0</v>
      </c>
      <c r="M12" s="391">
        <v>0</v>
      </c>
      <c r="N12" s="392">
        <v>33.650895505150167</v>
      </c>
      <c r="O12" s="390">
        <v>0</v>
      </c>
      <c r="P12" s="391">
        <v>0</v>
      </c>
      <c r="Q12" s="391">
        <v>0</v>
      </c>
      <c r="R12" s="394">
        <v>0</v>
      </c>
      <c r="S12" s="391">
        <v>0</v>
      </c>
      <c r="T12" s="395">
        <v>0</v>
      </c>
      <c r="U12" s="396">
        <v>235.70724232991296</v>
      </c>
      <c r="V12" s="393">
        <v>0</v>
      </c>
      <c r="W12" s="393">
        <v>27.295239934325231</v>
      </c>
      <c r="X12" s="393">
        <v>0</v>
      </c>
      <c r="Y12" s="397">
        <v>220.20827425321025</v>
      </c>
      <c r="Z12" s="397">
        <v>0</v>
      </c>
      <c r="AA12" s="398">
        <v>0</v>
      </c>
      <c r="AB12" s="399">
        <v>0</v>
      </c>
      <c r="AC12" s="400">
        <v>0</v>
      </c>
      <c r="AD12" s="400">
        <v>10.833876179324255</v>
      </c>
      <c r="AE12" s="399">
        <v>10.64714283381497</v>
      </c>
      <c r="AF12" s="399">
        <v>0</v>
      </c>
      <c r="AG12" s="399">
        <v>1</v>
      </c>
      <c r="AH12" s="400">
        <v>199.46510140101117</v>
      </c>
      <c r="AI12" s="400">
        <v>476.66809740066532</v>
      </c>
      <c r="AJ12" s="400">
        <v>1243.5186066945396</v>
      </c>
      <c r="AK12" s="400">
        <v>764.65748151143396</v>
      </c>
      <c r="AL12" s="400">
        <v>984.90541629791267</v>
      </c>
      <c r="AM12" s="400">
        <v>2015.6804012298587</v>
      </c>
      <c r="AN12" s="400">
        <v>607.79141225814828</v>
      </c>
      <c r="AO12" s="400">
        <v>2433.068402353922</v>
      </c>
      <c r="AP12" s="400">
        <v>549.41576166152959</v>
      </c>
      <c r="AQ12" s="400">
        <v>741.43971033096295</v>
      </c>
    </row>
    <row r="13" spans="1:47">
      <c r="A13" s="379">
        <v>40914</v>
      </c>
      <c r="B13" s="390"/>
      <c r="C13" s="391">
        <v>0</v>
      </c>
      <c r="D13" s="391">
        <v>0</v>
      </c>
      <c r="E13" s="391">
        <v>0</v>
      </c>
      <c r="F13" s="391">
        <v>0</v>
      </c>
      <c r="G13" s="391">
        <v>0</v>
      </c>
      <c r="H13" s="392">
        <v>0</v>
      </c>
      <c r="I13" s="390">
        <v>247.6999502182012</v>
      </c>
      <c r="J13" s="391">
        <v>811.0973009745278</v>
      </c>
      <c r="K13" s="391">
        <v>14.203353508313528</v>
      </c>
      <c r="L13" s="391">
        <v>0</v>
      </c>
      <c r="M13" s="391">
        <v>0</v>
      </c>
      <c r="N13" s="392">
        <v>38.955650238196064</v>
      </c>
      <c r="O13" s="390">
        <v>0</v>
      </c>
      <c r="P13" s="391">
        <v>0</v>
      </c>
      <c r="Q13" s="391">
        <v>0</v>
      </c>
      <c r="R13" s="394">
        <v>0</v>
      </c>
      <c r="S13" s="391">
        <v>0</v>
      </c>
      <c r="T13" s="395">
        <v>0</v>
      </c>
      <c r="U13" s="396">
        <v>243.81320924758828</v>
      </c>
      <c r="V13" s="393">
        <v>0</v>
      </c>
      <c r="W13" s="393">
        <v>29.603328893582077</v>
      </c>
      <c r="X13" s="393">
        <v>0</v>
      </c>
      <c r="Y13" s="397">
        <v>225.89116254647564</v>
      </c>
      <c r="Z13" s="397">
        <v>0</v>
      </c>
      <c r="AA13" s="398">
        <v>0</v>
      </c>
      <c r="AB13" s="399">
        <v>0</v>
      </c>
      <c r="AC13" s="400">
        <v>0</v>
      </c>
      <c r="AD13" s="400">
        <v>11.190091827180652</v>
      </c>
      <c r="AE13" s="399">
        <v>10.998956044162378</v>
      </c>
      <c r="AF13" s="399">
        <v>0</v>
      </c>
      <c r="AG13" s="399">
        <v>1</v>
      </c>
      <c r="AH13" s="400">
        <v>206.83923230965925</v>
      </c>
      <c r="AI13" s="400">
        <v>506.27735228538512</v>
      </c>
      <c r="AJ13" s="400">
        <v>1186.0241013844809</v>
      </c>
      <c r="AK13" s="400">
        <v>755.40193904240937</v>
      </c>
      <c r="AL13" s="400">
        <v>1021.0416126251221</v>
      </c>
      <c r="AM13" s="400">
        <v>2003.9220040639241</v>
      </c>
      <c r="AN13" s="400">
        <v>609.50353027979543</v>
      </c>
      <c r="AO13" s="400">
        <v>2468.705944569906</v>
      </c>
      <c r="AP13" s="400">
        <v>578.31450707117722</v>
      </c>
      <c r="AQ13" s="400">
        <v>731.8037933349608</v>
      </c>
    </row>
    <row r="14" spans="1:47">
      <c r="A14" s="379">
        <v>40915</v>
      </c>
      <c r="B14" s="390"/>
      <c r="C14" s="391">
        <v>0</v>
      </c>
      <c r="D14" s="391">
        <v>0</v>
      </c>
      <c r="E14" s="391">
        <v>0</v>
      </c>
      <c r="F14" s="391">
        <v>0</v>
      </c>
      <c r="G14" s="391">
        <v>0</v>
      </c>
      <c r="H14" s="392">
        <v>0</v>
      </c>
      <c r="I14" s="390">
        <v>242.56434400876364</v>
      </c>
      <c r="J14" s="391">
        <v>796.33860467274974</v>
      </c>
      <c r="K14" s="391">
        <v>14.056499156355898</v>
      </c>
      <c r="L14" s="391">
        <v>0</v>
      </c>
      <c r="M14" s="391">
        <v>0</v>
      </c>
      <c r="N14" s="392">
        <v>40.022833056747906</v>
      </c>
      <c r="O14" s="390">
        <v>0</v>
      </c>
      <c r="P14" s="391">
        <v>0</v>
      </c>
      <c r="Q14" s="391">
        <v>0</v>
      </c>
      <c r="R14" s="394">
        <v>0</v>
      </c>
      <c r="S14" s="391">
        <v>0</v>
      </c>
      <c r="T14" s="395">
        <v>0</v>
      </c>
      <c r="U14" s="396">
        <v>234.04955975214565</v>
      </c>
      <c r="V14" s="393">
        <v>0</v>
      </c>
      <c r="W14" s="393">
        <v>28.633808214465777</v>
      </c>
      <c r="X14" s="393">
        <v>0</v>
      </c>
      <c r="Y14" s="397">
        <v>215.36811015605937</v>
      </c>
      <c r="Z14" s="397">
        <v>0</v>
      </c>
      <c r="AA14" s="398">
        <v>0</v>
      </c>
      <c r="AB14" s="399">
        <v>0</v>
      </c>
      <c r="AC14" s="400">
        <v>0</v>
      </c>
      <c r="AD14" s="400">
        <v>10.746813195943824</v>
      </c>
      <c r="AE14" s="399">
        <v>10.612701860629281</v>
      </c>
      <c r="AF14" s="399">
        <v>0</v>
      </c>
      <c r="AG14" s="399">
        <v>1</v>
      </c>
      <c r="AH14" s="400">
        <v>229.1737644195556</v>
      </c>
      <c r="AI14" s="400">
        <v>529.26031524340306</v>
      </c>
      <c r="AJ14" s="400">
        <v>1220.9241835912064</v>
      </c>
      <c r="AK14" s="400">
        <v>765.72491559982302</v>
      </c>
      <c r="AL14" s="400">
        <v>1091.4683015187582</v>
      </c>
      <c r="AM14" s="400">
        <v>2081.1781747182213</v>
      </c>
      <c r="AN14" s="400">
        <v>597.49254260063151</v>
      </c>
      <c r="AO14" s="400">
        <v>2534.1140833536779</v>
      </c>
      <c r="AP14" s="400">
        <v>601.0888677279155</v>
      </c>
      <c r="AQ14" s="400">
        <v>755.39986174901321</v>
      </c>
    </row>
    <row r="15" spans="1:47">
      <c r="A15" s="379">
        <v>40916</v>
      </c>
      <c r="B15" s="390"/>
      <c r="C15" s="391">
        <v>0</v>
      </c>
      <c r="D15" s="391">
        <v>0</v>
      </c>
      <c r="E15" s="391">
        <v>0</v>
      </c>
      <c r="F15" s="391">
        <v>0</v>
      </c>
      <c r="G15" s="391">
        <v>0</v>
      </c>
      <c r="H15" s="392">
        <v>0</v>
      </c>
      <c r="I15" s="390">
        <v>231.68695052464778</v>
      </c>
      <c r="J15" s="391">
        <v>806.29511483510237</v>
      </c>
      <c r="K15" s="391">
        <v>14.082943867643719</v>
      </c>
      <c r="L15" s="391">
        <v>0</v>
      </c>
      <c r="M15" s="391">
        <v>0</v>
      </c>
      <c r="N15" s="392">
        <v>20.009511136511943</v>
      </c>
      <c r="O15" s="390">
        <v>0</v>
      </c>
      <c r="P15" s="391">
        <v>0</v>
      </c>
      <c r="Q15" s="391">
        <v>0</v>
      </c>
      <c r="R15" s="394">
        <v>0</v>
      </c>
      <c r="S15" s="391">
        <v>0</v>
      </c>
      <c r="T15" s="395">
        <v>0</v>
      </c>
      <c r="U15" s="396">
        <v>235.99257747861665</v>
      </c>
      <c r="V15" s="393">
        <v>0</v>
      </c>
      <c r="W15" s="393">
        <v>28.927328550815595</v>
      </c>
      <c r="X15" s="393">
        <v>0</v>
      </c>
      <c r="Y15" s="397">
        <v>221.20940567652448</v>
      </c>
      <c r="Z15" s="397">
        <v>0</v>
      </c>
      <c r="AA15" s="398">
        <v>0</v>
      </c>
      <c r="AB15" s="399">
        <v>0</v>
      </c>
      <c r="AC15" s="400">
        <v>0</v>
      </c>
      <c r="AD15" s="400">
        <v>11.100960671901692</v>
      </c>
      <c r="AE15" s="399">
        <v>11.000639943741977</v>
      </c>
      <c r="AF15" s="399">
        <v>0</v>
      </c>
      <c r="AG15" s="399">
        <v>1</v>
      </c>
      <c r="AH15" s="400">
        <v>232.1006915251414</v>
      </c>
      <c r="AI15" s="400">
        <v>549.92161766688037</v>
      </c>
      <c r="AJ15" s="400">
        <v>1225.2442157109576</v>
      </c>
      <c r="AK15" s="400">
        <v>764.07416534423828</v>
      </c>
      <c r="AL15" s="400">
        <v>1113.4692091306049</v>
      </c>
      <c r="AM15" s="400">
        <v>2113.4310048421225</v>
      </c>
      <c r="AN15" s="400">
        <v>610.25123850504554</v>
      </c>
      <c r="AO15" s="400">
        <v>2532.651895141601</v>
      </c>
      <c r="AP15" s="400">
        <v>620.847901439667</v>
      </c>
      <c r="AQ15" s="400">
        <v>760.15877609252937</v>
      </c>
    </row>
    <row r="16" spans="1:47">
      <c r="A16" s="379">
        <v>40917</v>
      </c>
      <c r="B16" s="390"/>
      <c r="C16" s="391">
        <v>0</v>
      </c>
      <c r="D16" s="391">
        <v>0</v>
      </c>
      <c r="E16" s="391">
        <v>0</v>
      </c>
      <c r="F16" s="391">
        <v>0</v>
      </c>
      <c r="G16" s="391">
        <v>0</v>
      </c>
      <c r="H16" s="392">
        <v>0</v>
      </c>
      <c r="I16" s="390">
        <v>107.30281901359558</v>
      </c>
      <c r="J16" s="391">
        <v>486.36046619017969</v>
      </c>
      <c r="K16" s="391">
        <v>10.37230690220991</v>
      </c>
      <c r="L16" s="391">
        <v>0</v>
      </c>
      <c r="M16" s="391">
        <v>5.1015452762444813</v>
      </c>
      <c r="N16" s="392">
        <v>3.5039712637662888</v>
      </c>
      <c r="O16" s="390">
        <v>0</v>
      </c>
      <c r="P16" s="391">
        <v>0</v>
      </c>
      <c r="Q16" s="391">
        <v>0</v>
      </c>
      <c r="R16" s="394">
        <v>0</v>
      </c>
      <c r="S16" s="391">
        <v>0</v>
      </c>
      <c r="T16" s="395">
        <v>0</v>
      </c>
      <c r="U16" s="396">
        <v>95.896582052442724</v>
      </c>
      <c r="V16" s="393">
        <v>0</v>
      </c>
      <c r="W16" s="393">
        <v>11.999965408444394</v>
      </c>
      <c r="X16" s="393">
        <v>0</v>
      </c>
      <c r="Y16" s="397">
        <v>90.159406908353134</v>
      </c>
      <c r="Z16" s="397">
        <v>0</v>
      </c>
      <c r="AA16" s="398">
        <v>0</v>
      </c>
      <c r="AB16" s="399">
        <v>0</v>
      </c>
      <c r="AC16" s="400">
        <v>0</v>
      </c>
      <c r="AD16" s="400">
        <v>4.5182254503170673</v>
      </c>
      <c r="AE16" s="399">
        <v>4.1923273143113535</v>
      </c>
      <c r="AF16" s="399">
        <v>0</v>
      </c>
      <c r="AG16" s="399">
        <v>1</v>
      </c>
      <c r="AH16" s="400">
        <v>218.6714639663696</v>
      </c>
      <c r="AI16" s="400">
        <v>518.11416862805686</v>
      </c>
      <c r="AJ16" s="400">
        <v>1224.1226509730022</v>
      </c>
      <c r="AK16" s="400">
        <v>577.29740700721754</v>
      </c>
      <c r="AL16" s="400">
        <v>1084.1389120101928</v>
      </c>
      <c r="AM16" s="400">
        <v>2092.9791800181074</v>
      </c>
      <c r="AN16" s="400">
        <v>595.37882003784182</v>
      </c>
      <c r="AO16" s="400">
        <v>1530.6931093851726</v>
      </c>
      <c r="AP16" s="400">
        <v>411.86155780553815</v>
      </c>
      <c r="AQ16" s="400">
        <v>793.12484216690063</v>
      </c>
    </row>
    <row r="17" spans="1:43">
      <c r="A17" s="379">
        <v>40918</v>
      </c>
      <c r="B17" s="380"/>
      <c r="C17" s="381">
        <v>0</v>
      </c>
      <c r="D17" s="381">
        <v>0</v>
      </c>
      <c r="E17" s="381">
        <v>0</v>
      </c>
      <c r="F17" s="381">
        <v>0</v>
      </c>
      <c r="G17" s="381">
        <v>0</v>
      </c>
      <c r="H17" s="382">
        <v>0</v>
      </c>
      <c r="I17" s="380">
        <v>0</v>
      </c>
      <c r="J17" s="381">
        <v>0</v>
      </c>
      <c r="K17" s="381">
        <v>0</v>
      </c>
      <c r="L17" s="391">
        <v>0</v>
      </c>
      <c r="M17" s="381">
        <v>0</v>
      </c>
      <c r="N17" s="382">
        <v>0</v>
      </c>
      <c r="O17" s="380">
        <v>0</v>
      </c>
      <c r="P17" s="381">
        <v>0</v>
      </c>
      <c r="Q17" s="381">
        <v>0</v>
      </c>
      <c r="R17" s="401">
        <v>0</v>
      </c>
      <c r="S17" s="381">
        <v>0</v>
      </c>
      <c r="T17" s="383">
        <v>0</v>
      </c>
      <c r="U17" s="402">
        <v>0</v>
      </c>
      <c r="V17" s="397">
        <v>0</v>
      </c>
      <c r="W17" s="393">
        <v>0</v>
      </c>
      <c r="X17" s="393">
        <v>0</v>
      </c>
      <c r="Y17" s="397">
        <v>0</v>
      </c>
      <c r="Z17" s="397">
        <v>0</v>
      </c>
      <c r="AA17" s="398">
        <v>0</v>
      </c>
      <c r="AB17" s="399">
        <v>0</v>
      </c>
      <c r="AC17" s="400">
        <v>0</v>
      </c>
      <c r="AD17" s="400">
        <v>0</v>
      </c>
      <c r="AE17" s="399">
        <v>0</v>
      </c>
      <c r="AF17" s="399">
        <v>0</v>
      </c>
      <c r="AG17" s="399">
        <v>0</v>
      </c>
      <c r="AH17" s="400">
        <v>196.7944689591726</v>
      </c>
      <c r="AI17" s="400">
        <v>473.63103281656896</v>
      </c>
      <c r="AJ17" s="400">
        <v>1248.4997919718426</v>
      </c>
      <c r="AK17" s="400">
        <v>206.40512901147207</v>
      </c>
      <c r="AL17" s="400">
        <v>1035.441658147176</v>
      </c>
      <c r="AM17" s="400">
        <v>2010.1427714029951</v>
      </c>
      <c r="AN17" s="400">
        <v>549.82553291320789</v>
      </c>
      <c r="AO17" s="400">
        <v>547.33106384277346</v>
      </c>
      <c r="AP17" s="400">
        <v>207.42507021029786</v>
      </c>
      <c r="AQ17" s="400">
        <v>785.27613665262845</v>
      </c>
    </row>
    <row r="18" spans="1:43">
      <c r="A18" s="379">
        <v>40919</v>
      </c>
      <c r="B18" s="390"/>
      <c r="C18" s="391">
        <v>0</v>
      </c>
      <c r="D18" s="391">
        <v>0</v>
      </c>
      <c r="E18" s="391">
        <v>0</v>
      </c>
      <c r="F18" s="391">
        <v>0</v>
      </c>
      <c r="G18" s="391">
        <v>0</v>
      </c>
      <c r="H18" s="392">
        <v>0</v>
      </c>
      <c r="I18" s="390">
        <v>0</v>
      </c>
      <c r="J18" s="391">
        <v>0</v>
      </c>
      <c r="K18" s="391">
        <v>0</v>
      </c>
      <c r="L18" s="391">
        <v>0</v>
      </c>
      <c r="M18" s="391">
        <v>0</v>
      </c>
      <c r="N18" s="392">
        <v>0</v>
      </c>
      <c r="O18" s="390">
        <v>0</v>
      </c>
      <c r="P18" s="391">
        <v>0</v>
      </c>
      <c r="Q18" s="391">
        <v>0</v>
      </c>
      <c r="R18" s="394">
        <v>0</v>
      </c>
      <c r="S18" s="391">
        <v>0</v>
      </c>
      <c r="T18" s="395">
        <v>0</v>
      </c>
      <c r="U18" s="396">
        <v>0</v>
      </c>
      <c r="V18" s="393">
        <v>0</v>
      </c>
      <c r="W18" s="393">
        <v>0</v>
      </c>
      <c r="X18" s="393">
        <v>0</v>
      </c>
      <c r="Y18" s="397">
        <v>0</v>
      </c>
      <c r="Z18" s="397">
        <v>0</v>
      </c>
      <c r="AA18" s="398">
        <v>0</v>
      </c>
      <c r="AB18" s="399">
        <v>0</v>
      </c>
      <c r="AC18" s="400">
        <v>0</v>
      </c>
      <c r="AD18" s="400">
        <v>0</v>
      </c>
      <c r="AE18" s="399">
        <v>0</v>
      </c>
      <c r="AF18" s="399">
        <v>0</v>
      </c>
      <c r="AG18" s="399">
        <v>0</v>
      </c>
      <c r="AH18" s="400">
        <v>228.60116883118948</v>
      </c>
      <c r="AI18" s="400">
        <v>573.71907169024155</v>
      </c>
      <c r="AJ18" s="400">
        <v>1185.241032791138</v>
      </c>
      <c r="AK18" s="400">
        <v>239.0616065343221</v>
      </c>
      <c r="AL18" s="400">
        <v>1163.0438349723815</v>
      </c>
      <c r="AM18" s="400">
        <v>2122.0593805948888</v>
      </c>
      <c r="AN18" s="400">
        <v>599.91545623143509</v>
      </c>
      <c r="AO18" s="400">
        <v>560.11715348561597</v>
      </c>
      <c r="AP18" s="400">
        <v>256.51098153193794</v>
      </c>
      <c r="AQ18" s="400">
        <v>777.60185492833466</v>
      </c>
    </row>
    <row r="19" spans="1:43">
      <c r="A19" s="379">
        <v>40920</v>
      </c>
      <c r="B19" s="390"/>
      <c r="C19" s="391">
        <v>0</v>
      </c>
      <c r="D19" s="391">
        <v>0</v>
      </c>
      <c r="E19" s="391">
        <v>0</v>
      </c>
      <c r="F19" s="391">
        <v>0</v>
      </c>
      <c r="G19" s="391">
        <v>0</v>
      </c>
      <c r="H19" s="392">
        <v>0</v>
      </c>
      <c r="I19" s="390">
        <v>0</v>
      </c>
      <c r="J19" s="391">
        <v>0</v>
      </c>
      <c r="K19" s="391">
        <v>0</v>
      </c>
      <c r="L19" s="391">
        <v>0</v>
      </c>
      <c r="M19" s="391">
        <v>0</v>
      </c>
      <c r="N19" s="392">
        <v>0</v>
      </c>
      <c r="O19" s="390">
        <v>0</v>
      </c>
      <c r="P19" s="391">
        <v>0</v>
      </c>
      <c r="Q19" s="391">
        <v>0</v>
      </c>
      <c r="R19" s="394">
        <v>0</v>
      </c>
      <c r="S19" s="391">
        <v>0</v>
      </c>
      <c r="T19" s="395">
        <v>0</v>
      </c>
      <c r="U19" s="396">
        <v>0</v>
      </c>
      <c r="V19" s="393">
        <v>0</v>
      </c>
      <c r="W19" s="393">
        <v>0</v>
      </c>
      <c r="X19" s="393">
        <v>0</v>
      </c>
      <c r="Y19" s="397">
        <v>0</v>
      </c>
      <c r="Z19" s="397">
        <v>0</v>
      </c>
      <c r="AA19" s="398">
        <v>0</v>
      </c>
      <c r="AB19" s="399">
        <v>0</v>
      </c>
      <c r="AC19" s="400">
        <v>0</v>
      </c>
      <c r="AD19" s="400">
        <v>0</v>
      </c>
      <c r="AE19" s="399">
        <v>0</v>
      </c>
      <c r="AF19" s="399">
        <v>0</v>
      </c>
      <c r="AG19" s="399">
        <v>0</v>
      </c>
      <c r="AH19" s="400">
        <v>265.12538295586899</v>
      </c>
      <c r="AI19" s="400">
        <v>617.79031136830656</v>
      </c>
      <c r="AJ19" s="400">
        <v>1236.1333048502604</v>
      </c>
      <c r="AK19" s="400">
        <v>266.10277307828267</v>
      </c>
      <c r="AL19" s="400">
        <v>1178.2745512326558</v>
      </c>
      <c r="AM19" s="400">
        <v>2164.0646163940432</v>
      </c>
      <c r="AN19" s="400">
        <v>633.10285541216524</v>
      </c>
      <c r="AO19" s="400">
        <v>560.80563354492187</v>
      </c>
      <c r="AP19" s="400">
        <v>261.39826758702594</v>
      </c>
      <c r="AQ19" s="400">
        <v>812.02016750971484</v>
      </c>
    </row>
    <row r="20" spans="1:43">
      <c r="A20" s="379">
        <v>40921</v>
      </c>
      <c r="B20" s="390"/>
      <c r="C20" s="391">
        <v>0</v>
      </c>
      <c r="D20" s="391">
        <v>0</v>
      </c>
      <c r="E20" s="391">
        <v>0</v>
      </c>
      <c r="F20" s="391">
        <v>0</v>
      </c>
      <c r="G20" s="391">
        <v>0</v>
      </c>
      <c r="H20" s="392">
        <v>0</v>
      </c>
      <c r="I20" s="390">
        <v>0</v>
      </c>
      <c r="J20" s="391">
        <v>0</v>
      </c>
      <c r="K20" s="391">
        <v>0</v>
      </c>
      <c r="L20" s="391">
        <v>0</v>
      </c>
      <c r="M20" s="391">
        <v>0</v>
      </c>
      <c r="N20" s="392">
        <v>0</v>
      </c>
      <c r="O20" s="390">
        <v>0</v>
      </c>
      <c r="P20" s="391">
        <v>0</v>
      </c>
      <c r="Q20" s="391">
        <v>0</v>
      </c>
      <c r="R20" s="394">
        <v>0</v>
      </c>
      <c r="S20" s="391">
        <v>0</v>
      </c>
      <c r="T20" s="395">
        <v>0</v>
      </c>
      <c r="U20" s="396">
        <v>0</v>
      </c>
      <c r="V20" s="393">
        <v>0</v>
      </c>
      <c r="W20" s="393">
        <v>0</v>
      </c>
      <c r="X20" s="393">
        <v>0</v>
      </c>
      <c r="Y20" s="397">
        <v>0</v>
      </c>
      <c r="Z20" s="397">
        <v>0</v>
      </c>
      <c r="AA20" s="398">
        <v>0</v>
      </c>
      <c r="AB20" s="399">
        <v>0</v>
      </c>
      <c r="AC20" s="400">
        <v>0</v>
      </c>
      <c r="AD20" s="400">
        <v>0</v>
      </c>
      <c r="AE20" s="399">
        <v>0</v>
      </c>
      <c r="AF20" s="399">
        <v>0</v>
      </c>
      <c r="AG20" s="399">
        <v>0</v>
      </c>
      <c r="AH20" s="400">
        <v>229.27287127176916</v>
      </c>
      <c r="AI20" s="400">
        <v>545.14000713030509</v>
      </c>
      <c r="AJ20" s="400">
        <v>1239.2058543523151</v>
      </c>
      <c r="AK20" s="400">
        <v>243.57199897766111</v>
      </c>
      <c r="AL20" s="400">
        <v>1133.87692565918</v>
      </c>
      <c r="AM20" s="400">
        <v>2101.8157862345379</v>
      </c>
      <c r="AN20" s="400">
        <v>634.27283539772031</v>
      </c>
      <c r="AO20" s="400">
        <v>560.80563354492187</v>
      </c>
      <c r="AP20" s="400">
        <v>237.91644954284035</v>
      </c>
      <c r="AQ20" s="400">
        <v>768.54816481272371</v>
      </c>
    </row>
    <row r="21" spans="1:43">
      <c r="A21" s="379">
        <v>40922</v>
      </c>
      <c r="B21" s="390"/>
      <c r="C21" s="391">
        <v>0</v>
      </c>
      <c r="D21" s="391">
        <v>0</v>
      </c>
      <c r="E21" s="391">
        <v>0</v>
      </c>
      <c r="F21" s="391">
        <v>0</v>
      </c>
      <c r="G21" s="391">
        <v>0</v>
      </c>
      <c r="H21" s="392">
        <v>0</v>
      </c>
      <c r="I21" s="390">
        <v>0</v>
      </c>
      <c r="J21" s="391">
        <v>0</v>
      </c>
      <c r="K21" s="391">
        <v>0</v>
      </c>
      <c r="L21" s="391">
        <v>0</v>
      </c>
      <c r="M21" s="391">
        <v>0</v>
      </c>
      <c r="N21" s="392">
        <v>0</v>
      </c>
      <c r="O21" s="390">
        <v>0</v>
      </c>
      <c r="P21" s="391">
        <v>0</v>
      </c>
      <c r="Q21" s="391">
        <v>0</v>
      </c>
      <c r="R21" s="394">
        <v>0</v>
      </c>
      <c r="S21" s="391">
        <v>0</v>
      </c>
      <c r="T21" s="395">
        <v>0</v>
      </c>
      <c r="U21" s="396">
        <v>0</v>
      </c>
      <c r="V21" s="393">
        <v>5.4442945453855723E-3</v>
      </c>
      <c r="W21" s="393">
        <v>0</v>
      </c>
      <c r="X21" s="393">
        <v>0</v>
      </c>
      <c r="Y21" s="397">
        <v>0</v>
      </c>
      <c r="Z21" s="397">
        <v>0</v>
      </c>
      <c r="AA21" s="398">
        <v>0</v>
      </c>
      <c r="AB21" s="399">
        <v>0</v>
      </c>
      <c r="AC21" s="400">
        <v>0</v>
      </c>
      <c r="AD21" s="400">
        <v>0</v>
      </c>
      <c r="AE21" s="399">
        <v>0</v>
      </c>
      <c r="AF21" s="399">
        <v>0</v>
      </c>
      <c r="AG21" s="399">
        <v>0</v>
      </c>
      <c r="AH21" s="400">
        <v>199.7638390461604</v>
      </c>
      <c r="AI21" s="400">
        <v>501.12028180758159</v>
      </c>
      <c r="AJ21" s="400">
        <v>1232.9813175837198</v>
      </c>
      <c r="AK21" s="400">
        <v>217.34474805990857</v>
      </c>
      <c r="AL21" s="400">
        <v>1065.7180428504944</v>
      </c>
      <c r="AM21" s="400">
        <v>1978.4627175649002</v>
      </c>
      <c r="AN21" s="400">
        <v>527.11102655728655</v>
      </c>
      <c r="AO21" s="400">
        <v>554.63980773289995</v>
      </c>
      <c r="AP21" s="400">
        <v>216.13461600939428</v>
      </c>
      <c r="AQ21" s="400">
        <v>661.29023415247605</v>
      </c>
    </row>
    <row r="22" spans="1:43">
      <c r="A22" s="379">
        <v>40923</v>
      </c>
      <c r="B22" s="390"/>
      <c r="C22" s="391">
        <v>0</v>
      </c>
      <c r="D22" s="391">
        <v>0</v>
      </c>
      <c r="E22" s="391">
        <v>0</v>
      </c>
      <c r="F22" s="391">
        <v>0</v>
      </c>
      <c r="G22" s="391">
        <v>0</v>
      </c>
      <c r="H22" s="392">
        <v>0</v>
      </c>
      <c r="I22" s="390">
        <v>0</v>
      </c>
      <c r="J22" s="391">
        <v>0</v>
      </c>
      <c r="K22" s="391">
        <v>0</v>
      </c>
      <c r="L22" s="391">
        <v>0</v>
      </c>
      <c r="M22" s="391">
        <v>0</v>
      </c>
      <c r="N22" s="392">
        <v>0</v>
      </c>
      <c r="O22" s="390">
        <v>0</v>
      </c>
      <c r="P22" s="391">
        <v>0</v>
      </c>
      <c r="Q22" s="391">
        <v>0</v>
      </c>
      <c r="R22" s="394">
        <v>0</v>
      </c>
      <c r="S22" s="391">
        <v>0</v>
      </c>
      <c r="T22" s="395">
        <v>0</v>
      </c>
      <c r="U22" s="396">
        <v>0</v>
      </c>
      <c r="V22" s="393">
        <v>0</v>
      </c>
      <c r="W22" s="393">
        <v>0</v>
      </c>
      <c r="X22" s="393">
        <v>0</v>
      </c>
      <c r="Y22" s="397">
        <v>0</v>
      </c>
      <c r="Z22" s="397">
        <v>0</v>
      </c>
      <c r="AA22" s="398">
        <v>0</v>
      </c>
      <c r="AB22" s="399">
        <v>0</v>
      </c>
      <c r="AC22" s="400">
        <v>0</v>
      </c>
      <c r="AD22" s="400">
        <v>0</v>
      </c>
      <c r="AE22" s="399">
        <v>0</v>
      </c>
      <c r="AF22" s="399">
        <v>0</v>
      </c>
      <c r="AG22" s="399">
        <v>0</v>
      </c>
      <c r="AH22" s="400">
        <v>189.72093911170958</v>
      </c>
      <c r="AI22" s="400">
        <v>481.56736521720887</v>
      </c>
      <c r="AJ22" s="400">
        <v>1224.7141033808391</v>
      </c>
      <c r="AK22" s="400">
        <v>193.73692869345351</v>
      </c>
      <c r="AL22" s="400">
        <v>1027.9263042767843</v>
      </c>
      <c r="AM22" s="400">
        <v>1922.2355407714842</v>
      </c>
      <c r="AN22" s="400">
        <v>505.51016594568904</v>
      </c>
      <c r="AO22" s="400">
        <v>544.35173864364617</v>
      </c>
      <c r="AP22" s="400">
        <v>185.96133921146392</v>
      </c>
      <c r="AQ22" s="400">
        <v>694.78943357467665</v>
      </c>
    </row>
    <row r="23" spans="1:43">
      <c r="A23" s="379">
        <v>40924</v>
      </c>
      <c r="B23" s="390"/>
      <c r="C23" s="391">
        <v>0</v>
      </c>
      <c r="D23" s="391">
        <v>0</v>
      </c>
      <c r="E23" s="391">
        <v>0</v>
      </c>
      <c r="F23" s="391">
        <v>0</v>
      </c>
      <c r="G23" s="391">
        <v>0</v>
      </c>
      <c r="H23" s="392">
        <v>0</v>
      </c>
      <c r="I23" s="390">
        <v>0</v>
      </c>
      <c r="J23" s="391">
        <v>0</v>
      </c>
      <c r="K23" s="391">
        <v>0</v>
      </c>
      <c r="L23" s="391">
        <v>0</v>
      </c>
      <c r="M23" s="391">
        <v>0</v>
      </c>
      <c r="N23" s="392">
        <v>0</v>
      </c>
      <c r="O23" s="390">
        <v>0</v>
      </c>
      <c r="P23" s="391">
        <v>0</v>
      </c>
      <c r="Q23" s="391">
        <v>0</v>
      </c>
      <c r="R23" s="394">
        <v>0</v>
      </c>
      <c r="S23" s="391">
        <v>0</v>
      </c>
      <c r="T23" s="395">
        <v>0</v>
      </c>
      <c r="U23" s="396">
        <v>0</v>
      </c>
      <c r="V23" s="393">
        <v>0</v>
      </c>
      <c r="W23" s="393">
        <v>0</v>
      </c>
      <c r="X23" s="393">
        <v>0</v>
      </c>
      <c r="Y23" s="397">
        <v>0</v>
      </c>
      <c r="Z23" s="397">
        <v>0</v>
      </c>
      <c r="AA23" s="398">
        <v>0</v>
      </c>
      <c r="AB23" s="399">
        <v>0</v>
      </c>
      <c r="AC23" s="400">
        <v>0</v>
      </c>
      <c r="AD23" s="400">
        <v>0</v>
      </c>
      <c r="AE23" s="399">
        <v>0</v>
      </c>
      <c r="AF23" s="399">
        <v>0</v>
      </c>
      <c r="AG23" s="399">
        <v>0</v>
      </c>
      <c r="AH23" s="400">
        <v>200.49119615554807</v>
      </c>
      <c r="AI23" s="400">
        <v>501.67897663116463</v>
      </c>
      <c r="AJ23" s="400">
        <v>1181.3815799713134</v>
      </c>
      <c r="AK23" s="400">
        <v>216.04986507892605</v>
      </c>
      <c r="AL23" s="400">
        <v>1082.2878872235615</v>
      </c>
      <c r="AM23" s="400">
        <v>1984.2413934071856</v>
      </c>
      <c r="AN23" s="400">
        <v>524.24202650388077</v>
      </c>
      <c r="AO23" s="400">
        <v>528.3880109151205</v>
      </c>
      <c r="AP23" s="400">
        <v>201.95361125866566</v>
      </c>
      <c r="AQ23" s="400">
        <v>677.17299944559704</v>
      </c>
    </row>
    <row r="24" spans="1:43">
      <c r="A24" s="379">
        <v>40925</v>
      </c>
      <c r="B24" s="390"/>
      <c r="C24" s="391">
        <v>0</v>
      </c>
      <c r="D24" s="391">
        <v>0</v>
      </c>
      <c r="E24" s="391">
        <v>0</v>
      </c>
      <c r="F24" s="391">
        <v>0</v>
      </c>
      <c r="G24" s="391">
        <v>0</v>
      </c>
      <c r="H24" s="392">
        <v>0</v>
      </c>
      <c r="I24" s="390">
        <v>0</v>
      </c>
      <c r="J24" s="391">
        <v>0</v>
      </c>
      <c r="K24" s="391">
        <v>0</v>
      </c>
      <c r="L24" s="391">
        <v>0</v>
      </c>
      <c r="M24" s="391">
        <v>0</v>
      </c>
      <c r="N24" s="392">
        <v>0</v>
      </c>
      <c r="O24" s="390">
        <v>0</v>
      </c>
      <c r="P24" s="391">
        <v>0</v>
      </c>
      <c r="Q24" s="391">
        <v>0</v>
      </c>
      <c r="R24" s="394">
        <v>0</v>
      </c>
      <c r="S24" s="391">
        <v>0</v>
      </c>
      <c r="T24" s="395">
        <v>0</v>
      </c>
      <c r="U24" s="396">
        <v>0</v>
      </c>
      <c r="V24" s="393">
        <v>0</v>
      </c>
      <c r="W24" s="393">
        <v>0</v>
      </c>
      <c r="X24" s="393">
        <v>0</v>
      </c>
      <c r="Y24" s="397">
        <v>0</v>
      </c>
      <c r="Z24" s="397">
        <v>0</v>
      </c>
      <c r="AA24" s="398">
        <v>0</v>
      </c>
      <c r="AB24" s="399">
        <v>0</v>
      </c>
      <c r="AC24" s="400">
        <v>0</v>
      </c>
      <c r="AD24" s="400">
        <v>0</v>
      </c>
      <c r="AE24" s="399">
        <v>0</v>
      </c>
      <c r="AF24" s="399">
        <v>0</v>
      </c>
      <c r="AG24" s="399">
        <v>0</v>
      </c>
      <c r="AH24" s="400">
        <v>242.64888719717663</v>
      </c>
      <c r="AI24" s="400">
        <v>613.97542293866468</v>
      </c>
      <c r="AJ24" s="400">
        <v>1141.2828524907432</v>
      </c>
      <c r="AK24" s="400">
        <v>272.81157562732699</v>
      </c>
      <c r="AL24" s="400">
        <v>1160.1872967402139</v>
      </c>
      <c r="AM24" s="400">
        <v>1933.1068032582602</v>
      </c>
      <c r="AN24" s="400">
        <v>562.09865703582761</v>
      </c>
      <c r="AO24" s="400">
        <v>560.32516479492187</v>
      </c>
      <c r="AP24" s="400">
        <v>319.42850917577738</v>
      </c>
      <c r="AQ24" s="400">
        <v>755.53762575785322</v>
      </c>
    </row>
    <row r="25" spans="1:43">
      <c r="A25" s="379">
        <v>40926</v>
      </c>
      <c r="B25" s="390"/>
      <c r="C25" s="391">
        <v>0</v>
      </c>
      <c r="D25" s="391">
        <v>0</v>
      </c>
      <c r="E25" s="391">
        <v>0</v>
      </c>
      <c r="F25" s="391">
        <v>0</v>
      </c>
      <c r="G25" s="391">
        <v>0</v>
      </c>
      <c r="H25" s="392">
        <v>0</v>
      </c>
      <c r="I25" s="390">
        <v>0</v>
      </c>
      <c r="J25" s="391">
        <v>0</v>
      </c>
      <c r="K25" s="391">
        <v>0</v>
      </c>
      <c r="L25" s="391">
        <v>0</v>
      </c>
      <c r="M25" s="391">
        <v>0</v>
      </c>
      <c r="N25" s="392">
        <v>0</v>
      </c>
      <c r="O25" s="390">
        <v>0</v>
      </c>
      <c r="P25" s="391">
        <v>0</v>
      </c>
      <c r="Q25" s="391">
        <v>0</v>
      </c>
      <c r="R25" s="394">
        <v>0</v>
      </c>
      <c r="S25" s="391">
        <v>0</v>
      </c>
      <c r="T25" s="395">
        <v>0</v>
      </c>
      <c r="U25" s="396">
        <v>0</v>
      </c>
      <c r="V25" s="393">
        <v>0</v>
      </c>
      <c r="W25" s="393">
        <v>0</v>
      </c>
      <c r="X25" s="393">
        <v>0</v>
      </c>
      <c r="Y25" s="397">
        <v>0</v>
      </c>
      <c r="Z25" s="397">
        <v>0</v>
      </c>
      <c r="AA25" s="398">
        <v>0</v>
      </c>
      <c r="AB25" s="399">
        <v>0</v>
      </c>
      <c r="AC25" s="400">
        <v>0</v>
      </c>
      <c r="AD25" s="400">
        <v>0</v>
      </c>
      <c r="AE25" s="399">
        <v>0</v>
      </c>
      <c r="AF25" s="399">
        <v>0</v>
      </c>
      <c r="AG25" s="399">
        <v>0</v>
      </c>
      <c r="AH25" s="400">
        <v>229.2405438025792</v>
      </c>
      <c r="AI25" s="400">
        <v>577.58310554822287</v>
      </c>
      <c r="AJ25" s="400">
        <v>1184.6821202596027</v>
      </c>
      <c r="AK25" s="400">
        <v>244.34045951366423</v>
      </c>
      <c r="AL25" s="400">
        <v>1102.0362392107647</v>
      </c>
      <c r="AM25" s="400">
        <v>2016.0875244140623</v>
      </c>
      <c r="AN25" s="400">
        <v>539.19301304817191</v>
      </c>
      <c r="AO25" s="400">
        <v>566.40006694793703</v>
      </c>
      <c r="AP25" s="400">
        <v>222.69506398042046</v>
      </c>
      <c r="AQ25" s="400">
        <v>777.03159942626951</v>
      </c>
    </row>
    <row r="26" spans="1:43">
      <c r="A26" s="379">
        <v>40927</v>
      </c>
      <c r="B26" s="390"/>
      <c r="C26" s="391">
        <v>0</v>
      </c>
      <c r="D26" s="391">
        <v>0</v>
      </c>
      <c r="E26" s="391">
        <v>0</v>
      </c>
      <c r="F26" s="391">
        <v>0</v>
      </c>
      <c r="G26" s="391">
        <v>0</v>
      </c>
      <c r="H26" s="392">
        <v>0</v>
      </c>
      <c r="I26" s="390">
        <v>0</v>
      </c>
      <c r="J26" s="391">
        <v>0</v>
      </c>
      <c r="K26" s="391">
        <v>0</v>
      </c>
      <c r="L26" s="391">
        <v>0</v>
      </c>
      <c r="M26" s="391">
        <v>0</v>
      </c>
      <c r="N26" s="392">
        <v>0</v>
      </c>
      <c r="O26" s="390">
        <v>0</v>
      </c>
      <c r="P26" s="391">
        <v>0</v>
      </c>
      <c r="Q26" s="391">
        <v>0</v>
      </c>
      <c r="R26" s="394">
        <v>0</v>
      </c>
      <c r="S26" s="391">
        <v>0</v>
      </c>
      <c r="T26" s="395">
        <v>0</v>
      </c>
      <c r="U26" s="396">
        <v>0</v>
      </c>
      <c r="V26" s="393">
        <v>0</v>
      </c>
      <c r="W26" s="393">
        <v>0</v>
      </c>
      <c r="X26" s="393">
        <v>0</v>
      </c>
      <c r="Y26" s="397">
        <v>0</v>
      </c>
      <c r="Z26" s="397">
        <v>0</v>
      </c>
      <c r="AA26" s="398">
        <v>0</v>
      </c>
      <c r="AB26" s="399">
        <v>0</v>
      </c>
      <c r="AC26" s="400">
        <v>0</v>
      </c>
      <c r="AD26" s="400">
        <v>0</v>
      </c>
      <c r="AE26" s="399">
        <v>0</v>
      </c>
      <c r="AF26" s="399">
        <v>0</v>
      </c>
      <c r="AG26" s="399">
        <v>0</v>
      </c>
      <c r="AH26" s="400">
        <v>195.18223168055218</v>
      </c>
      <c r="AI26" s="400">
        <v>481.24403664271028</v>
      </c>
      <c r="AJ26" s="400">
        <v>1169.3279715855915</v>
      </c>
      <c r="AK26" s="400">
        <v>196.1798402229945</v>
      </c>
      <c r="AL26" s="400">
        <v>997.86958948771155</v>
      </c>
      <c r="AM26" s="400">
        <v>1973.3775555928548</v>
      </c>
      <c r="AN26" s="400">
        <v>465.89886678059889</v>
      </c>
      <c r="AO26" s="400">
        <v>495.29295031229645</v>
      </c>
      <c r="AP26" s="400">
        <v>176.38250248432158</v>
      </c>
      <c r="AQ26" s="400">
        <v>724.49825703303009</v>
      </c>
    </row>
    <row r="27" spans="1:43">
      <c r="A27" s="379">
        <v>40928</v>
      </c>
      <c r="B27" s="390"/>
      <c r="C27" s="391">
        <v>0</v>
      </c>
      <c r="D27" s="391">
        <v>0</v>
      </c>
      <c r="E27" s="391">
        <v>0</v>
      </c>
      <c r="F27" s="391">
        <v>0</v>
      </c>
      <c r="G27" s="391">
        <v>0</v>
      </c>
      <c r="H27" s="392">
        <v>0</v>
      </c>
      <c r="I27" s="390">
        <v>0</v>
      </c>
      <c r="J27" s="391">
        <v>0</v>
      </c>
      <c r="K27" s="391">
        <v>0</v>
      </c>
      <c r="L27" s="391">
        <v>0</v>
      </c>
      <c r="M27" s="391">
        <v>0</v>
      </c>
      <c r="N27" s="392">
        <v>0</v>
      </c>
      <c r="O27" s="390">
        <v>0</v>
      </c>
      <c r="P27" s="391">
        <v>0</v>
      </c>
      <c r="Q27" s="391">
        <v>0</v>
      </c>
      <c r="R27" s="394">
        <v>0</v>
      </c>
      <c r="S27" s="391">
        <v>0</v>
      </c>
      <c r="T27" s="395">
        <v>0</v>
      </c>
      <c r="U27" s="396">
        <v>0</v>
      </c>
      <c r="V27" s="393">
        <v>0</v>
      </c>
      <c r="W27" s="393">
        <v>0</v>
      </c>
      <c r="X27" s="393">
        <v>0</v>
      </c>
      <c r="Y27" s="393">
        <v>0</v>
      </c>
      <c r="Z27" s="393">
        <v>0</v>
      </c>
      <c r="AA27" s="403">
        <v>0</v>
      </c>
      <c r="AB27" s="400">
        <v>0</v>
      </c>
      <c r="AC27" s="400">
        <v>0</v>
      </c>
      <c r="AD27" s="400">
        <v>0</v>
      </c>
      <c r="AE27" s="400">
        <v>0</v>
      </c>
      <c r="AF27" s="400">
        <v>0</v>
      </c>
      <c r="AG27" s="400">
        <v>0</v>
      </c>
      <c r="AH27" s="400">
        <v>203.63823918501538</v>
      </c>
      <c r="AI27" s="400">
        <v>477.860034831365</v>
      </c>
      <c r="AJ27" s="400">
        <v>1132.0123648325603</v>
      </c>
      <c r="AK27" s="400">
        <v>193.61404673258468</v>
      </c>
      <c r="AL27" s="400">
        <v>1151.9128044446306</v>
      </c>
      <c r="AM27" s="400">
        <v>1918.8068696339924</v>
      </c>
      <c r="AN27" s="400">
        <v>452.98921820322676</v>
      </c>
      <c r="AO27" s="400">
        <v>432.04371830622352</v>
      </c>
      <c r="AP27" s="400">
        <v>165.98747688134506</v>
      </c>
      <c r="AQ27" s="400">
        <v>716.85779908498137</v>
      </c>
    </row>
    <row r="28" spans="1:43">
      <c r="A28" s="379">
        <v>40929</v>
      </c>
      <c r="B28" s="390"/>
      <c r="C28" s="391">
        <v>0</v>
      </c>
      <c r="D28" s="391">
        <v>0</v>
      </c>
      <c r="E28" s="391">
        <v>0</v>
      </c>
      <c r="F28" s="391">
        <v>0</v>
      </c>
      <c r="G28" s="391">
        <v>0</v>
      </c>
      <c r="H28" s="392">
        <v>0</v>
      </c>
      <c r="I28" s="390">
        <v>0</v>
      </c>
      <c r="J28" s="391">
        <v>0</v>
      </c>
      <c r="K28" s="391">
        <v>0</v>
      </c>
      <c r="L28" s="391">
        <v>0</v>
      </c>
      <c r="M28" s="391">
        <v>0</v>
      </c>
      <c r="N28" s="392">
        <v>0</v>
      </c>
      <c r="O28" s="390">
        <v>0</v>
      </c>
      <c r="P28" s="391">
        <v>0</v>
      </c>
      <c r="Q28" s="391">
        <v>0</v>
      </c>
      <c r="R28" s="394">
        <v>0</v>
      </c>
      <c r="S28" s="391">
        <v>0</v>
      </c>
      <c r="T28" s="395">
        <v>0</v>
      </c>
      <c r="U28" s="396">
        <v>0</v>
      </c>
      <c r="V28" s="393">
        <v>0</v>
      </c>
      <c r="W28" s="393">
        <v>0</v>
      </c>
      <c r="X28" s="393">
        <v>0</v>
      </c>
      <c r="Y28" s="397">
        <v>0</v>
      </c>
      <c r="Z28" s="397">
        <v>0</v>
      </c>
      <c r="AA28" s="398">
        <v>0</v>
      </c>
      <c r="AB28" s="399">
        <v>0</v>
      </c>
      <c r="AC28" s="400">
        <v>0</v>
      </c>
      <c r="AD28" s="400">
        <v>0</v>
      </c>
      <c r="AE28" s="399">
        <v>0</v>
      </c>
      <c r="AF28" s="399">
        <v>0</v>
      </c>
      <c r="AG28" s="399">
        <v>0</v>
      </c>
      <c r="AH28" s="400">
        <v>206.31233092149103</v>
      </c>
      <c r="AI28" s="400">
        <v>505.80219025611876</v>
      </c>
      <c r="AJ28" s="400">
        <v>1156.3894191741942</v>
      </c>
      <c r="AK28" s="400">
        <v>201.24031627178192</v>
      </c>
      <c r="AL28" s="400">
        <v>1020.6530106544495</v>
      </c>
      <c r="AM28" s="400">
        <v>1639.4059324900309</v>
      </c>
      <c r="AN28" s="400">
        <v>469.46432822545376</v>
      </c>
      <c r="AO28" s="400">
        <v>434.26695508956914</v>
      </c>
      <c r="AP28" s="400">
        <v>172.20303126970927</v>
      </c>
      <c r="AQ28" s="400">
        <v>737.51431999206545</v>
      </c>
    </row>
    <row r="29" spans="1:43">
      <c r="A29" s="379">
        <v>40930</v>
      </c>
      <c r="B29" s="390"/>
      <c r="C29" s="391">
        <v>0</v>
      </c>
      <c r="D29" s="391">
        <v>0</v>
      </c>
      <c r="E29" s="391">
        <v>0</v>
      </c>
      <c r="F29" s="391">
        <v>0</v>
      </c>
      <c r="G29" s="391">
        <v>0</v>
      </c>
      <c r="H29" s="392">
        <v>0</v>
      </c>
      <c r="I29" s="390">
        <v>0</v>
      </c>
      <c r="J29" s="391">
        <v>0</v>
      </c>
      <c r="K29" s="391">
        <v>0</v>
      </c>
      <c r="L29" s="391">
        <v>0</v>
      </c>
      <c r="M29" s="391">
        <v>0</v>
      </c>
      <c r="N29" s="392">
        <v>0</v>
      </c>
      <c r="O29" s="390">
        <v>0</v>
      </c>
      <c r="P29" s="391">
        <v>0</v>
      </c>
      <c r="Q29" s="391">
        <v>0</v>
      </c>
      <c r="R29" s="394">
        <v>0</v>
      </c>
      <c r="S29" s="391">
        <v>0</v>
      </c>
      <c r="T29" s="395">
        <v>0</v>
      </c>
      <c r="U29" s="396">
        <v>0</v>
      </c>
      <c r="V29" s="393">
        <v>0</v>
      </c>
      <c r="W29" s="393">
        <v>0</v>
      </c>
      <c r="X29" s="393">
        <v>0</v>
      </c>
      <c r="Y29" s="397">
        <v>0</v>
      </c>
      <c r="Z29" s="397">
        <v>0</v>
      </c>
      <c r="AA29" s="398">
        <v>0</v>
      </c>
      <c r="AB29" s="399">
        <v>0</v>
      </c>
      <c r="AC29" s="400">
        <v>0</v>
      </c>
      <c r="AD29" s="400">
        <v>0</v>
      </c>
      <c r="AE29" s="399">
        <v>0</v>
      </c>
      <c r="AF29" s="399">
        <v>0</v>
      </c>
      <c r="AG29" s="399">
        <v>0</v>
      </c>
      <c r="AH29" s="400">
        <v>218.39921539624527</v>
      </c>
      <c r="AI29" s="400">
        <v>509.11047768592852</v>
      </c>
      <c r="AJ29" s="400">
        <v>1105.5211943944296</v>
      </c>
      <c r="AK29" s="400">
        <v>214.25744394461313</v>
      </c>
      <c r="AL29" s="400">
        <v>1035.4215226491292</v>
      </c>
      <c r="AM29" s="400">
        <v>1650.3794834136961</v>
      </c>
      <c r="AN29" s="400">
        <v>490.72071998914089</v>
      </c>
      <c r="AO29" s="400">
        <v>454.15645545323696</v>
      </c>
      <c r="AP29" s="400">
        <v>184.70125217437743</v>
      </c>
      <c r="AQ29" s="400">
        <v>730.55415331522624</v>
      </c>
    </row>
    <row r="30" spans="1:43">
      <c r="A30" s="379">
        <v>40931</v>
      </c>
      <c r="B30" s="390"/>
      <c r="C30" s="391">
        <v>0</v>
      </c>
      <c r="D30" s="391">
        <v>0</v>
      </c>
      <c r="E30" s="391">
        <v>0</v>
      </c>
      <c r="F30" s="391">
        <v>0</v>
      </c>
      <c r="G30" s="391">
        <v>0</v>
      </c>
      <c r="H30" s="392">
        <v>0</v>
      </c>
      <c r="I30" s="390">
        <v>0</v>
      </c>
      <c r="J30" s="391">
        <v>0</v>
      </c>
      <c r="K30" s="391">
        <v>0</v>
      </c>
      <c r="L30" s="391">
        <v>0</v>
      </c>
      <c r="M30" s="391">
        <v>0</v>
      </c>
      <c r="N30" s="392">
        <v>0</v>
      </c>
      <c r="O30" s="390">
        <v>0</v>
      </c>
      <c r="P30" s="391">
        <v>0</v>
      </c>
      <c r="Q30" s="391">
        <v>0</v>
      </c>
      <c r="R30" s="394">
        <v>0</v>
      </c>
      <c r="S30" s="391">
        <v>0</v>
      </c>
      <c r="T30" s="395">
        <v>0</v>
      </c>
      <c r="U30" s="396">
        <v>0</v>
      </c>
      <c r="V30" s="393">
        <v>0</v>
      </c>
      <c r="W30" s="393">
        <v>0</v>
      </c>
      <c r="X30" s="393">
        <v>0</v>
      </c>
      <c r="Y30" s="397">
        <v>0</v>
      </c>
      <c r="Z30" s="397">
        <v>0</v>
      </c>
      <c r="AA30" s="398">
        <v>0</v>
      </c>
      <c r="AB30" s="399">
        <v>0</v>
      </c>
      <c r="AC30" s="400">
        <v>0</v>
      </c>
      <c r="AD30" s="400">
        <v>0</v>
      </c>
      <c r="AE30" s="399">
        <v>0</v>
      </c>
      <c r="AF30" s="399">
        <v>0</v>
      </c>
      <c r="AG30" s="399">
        <v>0</v>
      </c>
      <c r="AH30" s="400">
        <v>218.34738554954529</v>
      </c>
      <c r="AI30" s="400">
        <v>524.83077781995144</v>
      </c>
      <c r="AJ30" s="400">
        <v>1109.7272929509479</v>
      </c>
      <c r="AK30" s="400">
        <v>221.30622615019479</v>
      </c>
      <c r="AL30" s="400">
        <v>1025.3594509760539</v>
      </c>
      <c r="AM30" s="400">
        <v>1974.8125898996989</v>
      </c>
      <c r="AN30" s="400">
        <v>516.73979341189056</v>
      </c>
      <c r="AO30" s="400">
        <v>466.25254135131831</v>
      </c>
      <c r="AP30" s="400">
        <v>163.84234009981154</v>
      </c>
      <c r="AQ30" s="400">
        <v>749.75761400858585</v>
      </c>
    </row>
    <row r="31" spans="1:43">
      <c r="A31" s="379">
        <v>40932</v>
      </c>
      <c r="B31" s="390"/>
      <c r="C31" s="391">
        <v>0</v>
      </c>
      <c r="D31" s="391">
        <v>0</v>
      </c>
      <c r="E31" s="391">
        <v>0</v>
      </c>
      <c r="F31" s="391">
        <v>0</v>
      </c>
      <c r="G31" s="391">
        <v>0</v>
      </c>
      <c r="H31" s="392">
        <v>0</v>
      </c>
      <c r="I31" s="390">
        <v>0</v>
      </c>
      <c r="J31" s="391">
        <v>0</v>
      </c>
      <c r="K31" s="391">
        <v>0</v>
      </c>
      <c r="L31" s="391">
        <v>0</v>
      </c>
      <c r="M31" s="391">
        <v>0</v>
      </c>
      <c r="N31" s="392">
        <v>0</v>
      </c>
      <c r="O31" s="390">
        <v>0</v>
      </c>
      <c r="P31" s="391">
        <v>0</v>
      </c>
      <c r="Q31" s="391">
        <v>0</v>
      </c>
      <c r="R31" s="394">
        <v>0</v>
      </c>
      <c r="S31" s="391">
        <v>0</v>
      </c>
      <c r="T31" s="395">
        <v>0</v>
      </c>
      <c r="U31" s="396">
        <v>0</v>
      </c>
      <c r="V31" s="393">
        <v>0</v>
      </c>
      <c r="W31" s="393">
        <v>0</v>
      </c>
      <c r="X31" s="393">
        <v>0</v>
      </c>
      <c r="Y31" s="397">
        <v>0</v>
      </c>
      <c r="Z31" s="397">
        <v>0</v>
      </c>
      <c r="AA31" s="398">
        <v>0</v>
      </c>
      <c r="AB31" s="399">
        <v>0</v>
      </c>
      <c r="AC31" s="400">
        <v>0</v>
      </c>
      <c r="AD31" s="400">
        <v>0</v>
      </c>
      <c r="AE31" s="399">
        <v>0</v>
      </c>
      <c r="AF31" s="399">
        <v>0</v>
      </c>
      <c r="AG31" s="399">
        <v>0</v>
      </c>
      <c r="AH31" s="400">
        <v>227.25169204076138</v>
      </c>
      <c r="AI31" s="400">
        <v>539.75770535469053</v>
      </c>
      <c r="AJ31" s="400">
        <v>1097.6189034779868</v>
      </c>
      <c r="AK31" s="400">
        <v>231.06984984874725</v>
      </c>
      <c r="AL31" s="400">
        <v>1087.3996702512102</v>
      </c>
      <c r="AM31" s="400">
        <v>2078.1744973500568</v>
      </c>
      <c r="AN31" s="400">
        <v>502.40827280680338</v>
      </c>
      <c r="AO31" s="400">
        <v>496.81901632944744</v>
      </c>
      <c r="AP31" s="400">
        <v>184.77467536926267</v>
      </c>
      <c r="AQ31" s="400">
        <v>723.24037456512451</v>
      </c>
    </row>
    <row r="32" spans="1:43">
      <c r="A32" s="379">
        <v>40933</v>
      </c>
      <c r="B32" s="390"/>
      <c r="C32" s="391">
        <v>0</v>
      </c>
      <c r="D32" s="391">
        <v>0</v>
      </c>
      <c r="E32" s="391">
        <v>0</v>
      </c>
      <c r="F32" s="391">
        <v>0</v>
      </c>
      <c r="G32" s="391">
        <v>0</v>
      </c>
      <c r="H32" s="392">
        <v>0</v>
      </c>
      <c r="I32" s="390">
        <v>0</v>
      </c>
      <c r="J32" s="391">
        <v>0</v>
      </c>
      <c r="K32" s="391">
        <v>0</v>
      </c>
      <c r="L32" s="391">
        <v>0</v>
      </c>
      <c r="M32" s="391">
        <v>0</v>
      </c>
      <c r="N32" s="392">
        <v>0</v>
      </c>
      <c r="O32" s="390">
        <v>0</v>
      </c>
      <c r="P32" s="391">
        <v>0</v>
      </c>
      <c r="Q32" s="391">
        <v>0</v>
      </c>
      <c r="R32" s="394">
        <v>0</v>
      </c>
      <c r="S32" s="391">
        <v>0</v>
      </c>
      <c r="T32" s="395">
        <v>0</v>
      </c>
      <c r="U32" s="396">
        <v>0</v>
      </c>
      <c r="V32" s="393">
        <v>0</v>
      </c>
      <c r="W32" s="393">
        <v>0</v>
      </c>
      <c r="X32" s="393">
        <v>0</v>
      </c>
      <c r="Y32" s="397">
        <v>0</v>
      </c>
      <c r="Z32" s="397">
        <v>0</v>
      </c>
      <c r="AA32" s="398">
        <v>0</v>
      </c>
      <c r="AB32" s="399">
        <v>0</v>
      </c>
      <c r="AC32" s="400">
        <v>0</v>
      </c>
      <c r="AD32" s="400">
        <v>0</v>
      </c>
      <c r="AE32" s="399">
        <v>0</v>
      </c>
      <c r="AF32" s="399">
        <v>0</v>
      </c>
      <c r="AG32" s="399">
        <v>0</v>
      </c>
      <c r="AH32" s="400">
        <v>224.812451060613</v>
      </c>
      <c r="AI32" s="400">
        <v>520.94501865704854</v>
      </c>
      <c r="AJ32" s="400">
        <v>1150.0445916493732</v>
      </c>
      <c r="AK32" s="400">
        <v>223.02401502927142</v>
      </c>
      <c r="AL32" s="400">
        <v>1085.1604544639588</v>
      </c>
      <c r="AM32" s="400">
        <v>1976.0422672271729</v>
      </c>
      <c r="AN32" s="400">
        <v>496.96909934679678</v>
      </c>
      <c r="AO32" s="400">
        <v>469.1011003653208</v>
      </c>
      <c r="AP32" s="400">
        <v>176.90132716099419</v>
      </c>
      <c r="AQ32" s="400">
        <v>753.27363023757925</v>
      </c>
    </row>
    <row r="33" spans="1:43">
      <c r="A33" s="379">
        <v>40934</v>
      </c>
      <c r="B33" s="390"/>
      <c r="C33" s="391">
        <v>0</v>
      </c>
      <c r="D33" s="391">
        <v>0</v>
      </c>
      <c r="E33" s="391">
        <v>0</v>
      </c>
      <c r="F33" s="391">
        <v>0</v>
      </c>
      <c r="G33" s="391">
        <v>0</v>
      </c>
      <c r="H33" s="392">
        <v>0</v>
      </c>
      <c r="I33" s="390">
        <v>0</v>
      </c>
      <c r="J33" s="391">
        <v>0</v>
      </c>
      <c r="K33" s="391">
        <v>0</v>
      </c>
      <c r="L33" s="391">
        <v>0</v>
      </c>
      <c r="M33" s="391">
        <v>0</v>
      </c>
      <c r="N33" s="392">
        <v>0</v>
      </c>
      <c r="O33" s="390">
        <v>0</v>
      </c>
      <c r="P33" s="391">
        <v>0</v>
      </c>
      <c r="Q33" s="391">
        <v>0</v>
      </c>
      <c r="R33" s="394">
        <v>0</v>
      </c>
      <c r="S33" s="391">
        <v>0</v>
      </c>
      <c r="T33" s="395">
        <v>0</v>
      </c>
      <c r="U33" s="396">
        <v>0</v>
      </c>
      <c r="V33" s="393">
        <v>0</v>
      </c>
      <c r="W33" s="393">
        <v>0</v>
      </c>
      <c r="X33" s="393">
        <v>0</v>
      </c>
      <c r="Y33" s="397">
        <v>0</v>
      </c>
      <c r="Z33" s="397">
        <v>0</v>
      </c>
      <c r="AA33" s="398">
        <v>0</v>
      </c>
      <c r="AB33" s="399">
        <v>0</v>
      </c>
      <c r="AC33" s="400">
        <v>0</v>
      </c>
      <c r="AD33" s="400">
        <v>0</v>
      </c>
      <c r="AE33" s="399">
        <v>0</v>
      </c>
      <c r="AF33" s="399">
        <v>0</v>
      </c>
      <c r="AG33" s="399">
        <v>0</v>
      </c>
      <c r="AH33" s="400">
        <v>211.64014647006988</v>
      </c>
      <c r="AI33" s="400">
        <v>491.491114171346</v>
      </c>
      <c r="AJ33" s="400">
        <v>1138.8750365575154</v>
      </c>
      <c r="AK33" s="400">
        <v>197.7720821142197</v>
      </c>
      <c r="AL33" s="400">
        <v>1041.9482025146485</v>
      </c>
      <c r="AM33" s="400">
        <v>1673.8091000874836</v>
      </c>
      <c r="AN33" s="400">
        <v>469.38240588506056</v>
      </c>
      <c r="AO33" s="400">
        <v>432.5660638650258</v>
      </c>
      <c r="AP33" s="400">
        <v>257.25563692251842</v>
      </c>
      <c r="AQ33" s="400">
        <v>750.30672492980955</v>
      </c>
    </row>
    <row r="34" spans="1:43">
      <c r="A34" s="379">
        <v>40935</v>
      </c>
      <c r="B34" s="390"/>
      <c r="C34" s="391">
        <v>0</v>
      </c>
      <c r="D34" s="391">
        <v>0</v>
      </c>
      <c r="E34" s="391">
        <v>0</v>
      </c>
      <c r="F34" s="391">
        <v>0</v>
      </c>
      <c r="G34" s="391">
        <v>0</v>
      </c>
      <c r="H34" s="392">
        <v>0</v>
      </c>
      <c r="I34" s="390">
        <v>0</v>
      </c>
      <c r="J34" s="391">
        <v>0</v>
      </c>
      <c r="K34" s="391">
        <v>0</v>
      </c>
      <c r="L34" s="391">
        <v>0</v>
      </c>
      <c r="M34" s="391">
        <v>0</v>
      </c>
      <c r="N34" s="392">
        <v>0</v>
      </c>
      <c r="O34" s="390">
        <v>0</v>
      </c>
      <c r="P34" s="391">
        <v>0</v>
      </c>
      <c r="Q34" s="391">
        <v>0</v>
      </c>
      <c r="R34" s="394">
        <v>0</v>
      </c>
      <c r="S34" s="391">
        <v>0</v>
      </c>
      <c r="T34" s="395">
        <v>0</v>
      </c>
      <c r="U34" s="396">
        <v>0</v>
      </c>
      <c r="V34" s="393">
        <v>0</v>
      </c>
      <c r="W34" s="393">
        <v>0</v>
      </c>
      <c r="X34" s="393">
        <v>0</v>
      </c>
      <c r="Y34" s="397">
        <v>0</v>
      </c>
      <c r="Z34" s="397">
        <v>0</v>
      </c>
      <c r="AA34" s="398">
        <v>0</v>
      </c>
      <c r="AB34" s="399">
        <v>0</v>
      </c>
      <c r="AC34" s="400">
        <v>0</v>
      </c>
      <c r="AD34" s="400">
        <v>0</v>
      </c>
      <c r="AE34" s="399">
        <v>0</v>
      </c>
      <c r="AF34" s="399">
        <v>0</v>
      </c>
      <c r="AG34" s="399">
        <v>0</v>
      </c>
      <c r="AH34" s="400">
        <v>225.46139504114788</v>
      </c>
      <c r="AI34" s="400">
        <v>555.19727846781404</v>
      </c>
      <c r="AJ34" s="400">
        <v>1110.1895468393961</v>
      </c>
      <c r="AK34" s="400">
        <v>229.05855185190833</v>
      </c>
      <c r="AL34" s="400">
        <v>1136.0721277872719</v>
      </c>
      <c r="AM34" s="400">
        <v>1743.3389183044433</v>
      </c>
      <c r="AN34" s="400">
        <v>495.53710680007941</v>
      </c>
      <c r="AO34" s="400">
        <v>466.36152976353964</v>
      </c>
      <c r="AP34" s="400">
        <v>191.13760730425514</v>
      </c>
      <c r="AQ34" s="400">
        <v>738.29598509470611</v>
      </c>
    </row>
    <row r="35" spans="1:43">
      <c r="A35" s="379">
        <v>40936</v>
      </c>
      <c r="B35" s="390"/>
      <c r="C35" s="391">
        <v>0</v>
      </c>
      <c r="D35" s="391">
        <v>0</v>
      </c>
      <c r="E35" s="391">
        <v>0</v>
      </c>
      <c r="F35" s="391">
        <v>0</v>
      </c>
      <c r="G35" s="391">
        <v>0</v>
      </c>
      <c r="H35" s="392">
        <v>0</v>
      </c>
      <c r="I35" s="390">
        <v>0</v>
      </c>
      <c r="J35" s="391">
        <v>0</v>
      </c>
      <c r="K35" s="391">
        <v>0</v>
      </c>
      <c r="L35" s="391">
        <v>0</v>
      </c>
      <c r="M35" s="391">
        <v>0</v>
      </c>
      <c r="N35" s="392">
        <v>0</v>
      </c>
      <c r="O35" s="390">
        <v>0</v>
      </c>
      <c r="P35" s="391">
        <v>0</v>
      </c>
      <c r="Q35" s="391">
        <v>0</v>
      </c>
      <c r="R35" s="394">
        <v>0</v>
      </c>
      <c r="S35" s="391">
        <v>0</v>
      </c>
      <c r="T35" s="395">
        <v>0</v>
      </c>
      <c r="U35" s="396">
        <v>0</v>
      </c>
      <c r="V35" s="393">
        <v>0</v>
      </c>
      <c r="W35" s="393">
        <v>0</v>
      </c>
      <c r="X35" s="393">
        <v>0</v>
      </c>
      <c r="Y35" s="397">
        <v>0</v>
      </c>
      <c r="Z35" s="397">
        <v>0</v>
      </c>
      <c r="AA35" s="398">
        <v>0</v>
      </c>
      <c r="AB35" s="399">
        <v>0</v>
      </c>
      <c r="AC35" s="400">
        <v>0</v>
      </c>
      <c r="AD35" s="400">
        <v>0</v>
      </c>
      <c r="AE35" s="399">
        <v>0</v>
      </c>
      <c r="AF35" s="399">
        <v>0</v>
      </c>
      <c r="AG35" s="399">
        <v>0</v>
      </c>
      <c r="AH35" s="400">
        <v>238.00671989123026</v>
      </c>
      <c r="AI35" s="400">
        <v>562.74970844586687</v>
      </c>
      <c r="AJ35" s="400">
        <v>1173.9342979431153</v>
      </c>
      <c r="AK35" s="400">
        <v>249.26640857060752</v>
      </c>
      <c r="AL35" s="400">
        <v>1174.8377209345501</v>
      </c>
      <c r="AM35" s="400">
        <v>1836.5057170867917</v>
      </c>
      <c r="AN35" s="400">
        <v>540.92069153785712</v>
      </c>
      <c r="AO35" s="400">
        <v>492.17449951171875</v>
      </c>
      <c r="AP35" s="400">
        <v>206.17758613427478</v>
      </c>
      <c r="AQ35" s="400">
        <v>685.27077271143594</v>
      </c>
    </row>
    <row r="36" spans="1:43">
      <c r="A36" s="379">
        <v>40937</v>
      </c>
      <c r="B36" s="390"/>
      <c r="C36" s="391">
        <v>0</v>
      </c>
      <c r="D36" s="391">
        <v>0</v>
      </c>
      <c r="E36" s="391">
        <v>0</v>
      </c>
      <c r="F36" s="391">
        <v>0</v>
      </c>
      <c r="G36" s="391">
        <v>0</v>
      </c>
      <c r="H36" s="392">
        <v>0</v>
      </c>
      <c r="I36" s="390">
        <v>0</v>
      </c>
      <c r="J36" s="391">
        <v>0</v>
      </c>
      <c r="K36" s="391">
        <v>0</v>
      </c>
      <c r="L36" s="391">
        <v>0</v>
      </c>
      <c r="M36" s="391">
        <v>0</v>
      </c>
      <c r="N36" s="392">
        <v>0</v>
      </c>
      <c r="O36" s="390">
        <v>0</v>
      </c>
      <c r="P36" s="391">
        <v>0</v>
      </c>
      <c r="Q36" s="391">
        <v>0</v>
      </c>
      <c r="R36" s="394">
        <v>0</v>
      </c>
      <c r="S36" s="391">
        <v>0</v>
      </c>
      <c r="T36" s="395">
        <v>0</v>
      </c>
      <c r="U36" s="396">
        <v>0</v>
      </c>
      <c r="V36" s="393">
        <v>0</v>
      </c>
      <c r="W36" s="393">
        <v>0</v>
      </c>
      <c r="X36" s="393">
        <v>0</v>
      </c>
      <c r="Y36" s="397">
        <v>0</v>
      </c>
      <c r="Z36" s="397">
        <v>0</v>
      </c>
      <c r="AA36" s="398">
        <v>0</v>
      </c>
      <c r="AB36" s="399">
        <v>0</v>
      </c>
      <c r="AC36" s="400">
        <v>0</v>
      </c>
      <c r="AD36" s="400">
        <v>0</v>
      </c>
      <c r="AE36" s="399">
        <v>0</v>
      </c>
      <c r="AF36" s="399">
        <v>0</v>
      </c>
      <c r="AG36" s="399">
        <v>0</v>
      </c>
      <c r="AH36" s="400">
        <v>221.71708710988361</v>
      </c>
      <c r="AI36" s="400">
        <v>516.88567509651193</v>
      </c>
      <c r="AJ36" s="400">
        <v>1158.1266057332357</v>
      </c>
      <c r="AK36" s="400">
        <v>217.53145291805268</v>
      </c>
      <c r="AL36" s="400">
        <v>1117.1903935750327</v>
      </c>
      <c r="AM36" s="400">
        <v>1760.0181452433271</v>
      </c>
      <c r="AN36" s="400">
        <v>489.83878051439922</v>
      </c>
      <c r="AO36" s="400">
        <v>485.22160377502445</v>
      </c>
      <c r="AP36" s="400">
        <v>172.15620547930399</v>
      </c>
      <c r="AQ36" s="400">
        <v>692.8331201235452</v>
      </c>
    </row>
    <row r="37" spans="1:43">
      <c r="A37" s="379">
        <v>40938</v>
      </c>
      <c r="B37" s="390"/>
      <c r="C37" s="391">
        <v>0</v>
      </c>
      <c r="D37" s="391">
        <v>0</v>
      </c>
      <c r="E37" s="391">
        <v>0</v>
      </c>
      <c r="F37" s="391">
        <v>0</v>
      </c>
      <c r="G37" s="391">
        <v>0</v>
      </c>
      <c r="H37" s="392">
        <v>0</v>
      </c>
      <c r="I37" s="390">
        <v>0</v>
      </c>
      <c r="J37" s="391">
        <v>0</v>
      </c>
      <c r="K37" s="391">
        <v>0</v>
      </c>
      <c r="L37" s="391">
        <v>0</v>
      </c>
      <c r="M37" s="391">
        <v>0</v>
      </c>
      <c r="N37" s="392">
        <v>0</v>
      </c>
      <c r="O37" s="390">
        <v>0</v>
      </c>
      <c r="P37" s="391">
        <v>0</v>
      </c>
      <c r="Q37" s="391">
        <v>0</v>
      </c>
      <c r="R37" s="394">
        <v>0</v>
      </c>
      <c r="S37" s="391">
        <v>0</v>
      </c>
      <c r="T37" s="395">
        <v>0</v>
      </c>
      <c r="U37" s="396">
        <v>0</v>
      </c>
      <c r="V37" s="393">
        <v>0</v>
      </c>
      <c r="W37" s="393">
        <v>0</v>
      </c>
      <c r="X37" s="393">
        <v>0</v>
      </c>
      <c r="Y37" s="397">
        <v>0</v>
      </c>
      <c r="Z37" s="397">
        <v>0</v>
      </c>
      <c r="AA37" s="398">
        <v>0</v>
      </c>
      <c r="AB37" s="399">
        <v>0</v>
      </c>
      <c r="AC37" s="400">
        <v>0</v>
      </c>
      <c r="AD37" s="400">
        <v>0</v>
      </c>
      <c r="AE37" s="399">
        <v>0</v>
      </c>
      <c r="AF37" s="399">
        <v>0</v>
      </c>
      <c r="AG37" s="399">
        <v>0</v>
      </c>
      <c r="AH37" s="400">
        <v>206.03086349169413</v>
      </c>
      <c r="AI37" s="400">
        <v>504.14856193860368</v>
      </c>
      <c r="AJ37" s="400">
        <v>1157.3879347483316</v>
      </c>
      <c r="AK37" s="400">
        <v>196.64599427382151</v>
      </c>
      <c r="AL37" s="400">
        <v>1063.4116884867349</v>
      </c>
      <c r="AM37" s="400">
        <v>1764.1316783905027</v>
      </c>
      <c r="AN37" s="400">
        <v>474.9536649068196</v>
      </c>
      <c r="AO37" s="400">
        <v>436.51149818102516</v>
      </c>
      <c r="AP37" s="400">
        <v>151.58978264331816</v>
      </c>
      <c r="AQ37" s="400">
        <v>701.3964005152385</v>
      </c>
    </row>
    <row r="38" spans="1:43" ht="15.75" thickBot="1">
      <c r="A38" s="379">
        <v>40939</v>
      </c>
      <c r="B38" s="404"/>
      <c r="C38" s="405">
        <v>0</v>
      </c>
      <c r="D38" s="405">
        <v>0</v>
      </c>
      <c r="E38" s="405">
        <v>1.1471474468708034</v>
      </c>
      <c r="F38" s="405">
        <v>0</v>
      </c>
      <c r="G38" s="405">
        <v>0</v>
      </c>
      <c r="H38" s="406">
        <v>0</v>
      </c>
      <c r="I38" s="407">
        <v>0</v>
      </c>
      <c r="J38" s="405">
        <v>0</v>
      </c>
      <c r="K38" s="405">
        <v>0</v>
      </c>
      <c r="L38" s="405">
        <v>0</v>
      </c>
      <c r="M38" s="405">
        <v>0</v>
      </c>
      <c r="N38" s="406">
        <v>0</v>
      </c>
      <c r="O38" s="407">
        <v>0</v>
      </c>
      <c r="P38" s="405">
        <v>0</v>
      </c>
      <c r="Q38" s="405">
        <v>0</v>
      </c>
      <c r="R38" s="408">
        <v>0</v>
      </c>
      <c r="S38" s="405">
        <v>0</v>
      </c>
      <c r="T38" s="409">
        <v>0</v>
      </c>
      <c r="U38" s="410">
        <v>0</v>
      </c>
      <c r="V38" s="411">
        <v>0</v>
      </c>
      <c r="W38" s="412">
        <v>0</v>
      </c>
      <c r="X38" s="412">
        <v>0</v>
      </c>
      <c r="Y38" s="411">
        <v>0</v>
      </c>
      <c r="Z38" s="411">
        <v>0</v>
      </c>
      <c r="AA38" s="413">
        <v>0</v>
      </c>
      <c r="AB38" s="414">
        <v>0</v>
      </c>
      <c r="AC38" s="415">
        <v>0</v>
      </c>
      <c r="AD38" s="416">
        <v>0</v>
      </c>
      <c r="AE38" s="414">
        <v>0</v>
      </c>
      <c r="AF38" s="414">
        <v>0</v>
      </c>
      <c r="AG38" s="414">
        <v>0</v>
      </c>
      <c r="AH38" s="415">
        <v>214.19076630274461</v>
      </c>
      <c r="AI38" s="415">
        <v>521.5075034300487</v>
      </c>
      <c r="AJ38" s="415">
        <v>1116.9359447479249</v>
      </c>
      <c r="AK38" s="415">
        <v>206.72496047019959</v>
      </c>
      <c r="AL38" s="415">
        <v>1236.5342292149862</v>
      </c>
      <c r="AM38" s="415">
        <v>1791.437254079183</v>
      </c>
      <c r="AN38" s="415">
        <v>473.00793191591902</v>
      </c>
      <c r="AO38" s="415">
        <v>415.14162260691319</v>
      </c>
      <c r="AP38" s="415">
        <v>174.96260237296423</v>
      </c>
      <c r="AQ38" s="415">
        <v>723.70018860499067</v>
      </c>
    </row>
    <row r="39" spans="1:43" ht="15.75" thickTop="1">
      <c r="A39" s="417" t="s">
        <v>170</v>
      </c>
      <c r="B39" s="418">
        <f>SUM(B8:B38)</f>
        <v>0</v>
      </c>
      <c r="C39" s="419">
        <f t="shared" ref="C39:AC39" si="0">SUM(C8:C38)</f>
        <v>0</v>
      </c>
      <c r="D39" s="419">
        <f t="shared" si="0"/>
        <v>0</v>
      </c>
      <c r="E39" s="419">
        <f t="shared" si="0"/>
        <v>1.1471474468708034</v>
      </c>
      <c r="F39" s="419">
        <f t="shared" si="0"/>
        <v>0</v>
      </c>
      <c r="G39" s="419">
        <f t="shared" si="0"/>
        <v>0</v>
      </c>
      <c r="H39" s="420">
        <f t="shared" si="0"/>
        <v>0</v>
      </c>
      <c r="I39" s="418">
        <f t="shared" si="0"/>
        <v>2110.4001681009941</v>
      </c>
      <c r="J39" s="419">
        <f t="shared" si="0"/>
        <v>7130.6607482234631</v>
      </c>
      <c r="K39" s="419">
        <f t="shared" si="0"/>
        <v>125.812868889173</v>
      </c>
      <c r="L39" s="419">
        <f t="shared" si="0"/>
        <v>0</v>
      </c>
      <c r="M39" s="419">
        <f t="shared" si="0"/>
        <v>5.1015452762444813</v>
      </c>
      <c r="N39" s="420">
        <f t="shared" si="0"/>
        <v>294.05505951841667</v>
      </c>
      <c r="O39" s="421">
        <f t="shared" si="0"/>
        <v>0</v>
      </c>
      <c r="P39" s="422">
        <f t="shared" si="0"/>
        <v>0</v>
      </c>
      <c r="Q39" s="422">
        <f t="shared" si="0"/>
        <v>0</v>
      </c>
      <c r="R39" s="422">
        <f t="shared" si="0"/>
        <v>0</v>
      </c>
      <c r="S39" s="422">
        <f t="shared" si="0"/>
        <v>0</v>
      </c>
      <c r="T39" s="423">
        <f t="shared" si="0"/>
        <v>0</v>
      </c>
      <c r="U39" s="421">
        <f t="shared" si="0"/>
        <v>2029.3395345793747</v>
      </c>
      <c r="V39" s="422">
        <f t="shared" si="0"/>
        <v>5.4442945453855723E-3</v>
      </c>
      <c r="W39" s="422">
        <f t="shared" si="0"/>
        <v>241.64734076658891</v>
      </c>
      <c r="X39" s="422">
        <f t="shared" si="0"/>
        <v>0</v>
      </c>
      <c r="Y39" s="422">
        <f t="shared" si="0"/>
        <v>1904.1370641311016</v>
      </c>
      <c r="Z39" s="422">
        <f t="shared" si="0"/>
        <v>0</v>
      </c>
      <c r="AA39" s="424">
        <f t="shared" si="0"/>
        <v>0</v>
      </c>
      <c r="AB39" s="425">
        <f t="shared" si="0"/>
        <v>0</v>
      </c>
      <c r="AC39" s="425">
        <f t="shared" si="0"/>
        <v>0</v>
      </c>
      <c r="AD39" s="426" t="s">
        <v>29</v>
      </c>
      <c r="AE39" s="426" t="s">
        <v>29</v>
      </c>
      <c r="AF39" s="426" t="s">
        <v>29</v>
      </c>
      <c r="AG39" s="426" t="s">
        <v>158</v>
      </c>
      <c r="AH39" s="425">
        <f t="shared" ref="AH39:AQ39" si="1">SUM(AH8:AH38)</f>
        <v>6769.4890711069102</v>
      </c>
      <c r="AI39" s="425">
        <f t="shared" si="1"/>
        <v>16282.093580404919</v>
      </c>
      <c r="AJ39" s="425">
        <f t="shared" si="1"/>
        <v>36703.803152084343</v>
      </c>
      <c r="AK39" s="425">
        <f t="shared" si="1"/>
        <v>11548.402676836649</v>
      </c>
      <c r="AL39" s="425">
        <f t="shared" si="1"/>
        <v>33687.833984629317</v>
      </c>
      <c r="AM39" s="425">
        <f t="shared" si="1"/>
        <v>60151.102631378169</v>
      </c>
      <c r="AN39" s="425">
        <f t="shared" si="1"/>
        <v>16853.662154229482</v>
      </c>
      <c r="AO39" s="425">
        <f t="shared" si="1"/>
        <v>32580.370235681534</v>
      </c>
      <c r="AP39" s="425">
        <f t="shared" si="1"/>
        <v>9598.3239170114193</v>
      </c>
      <c r="AQ39" s="425">
        <f t="shared" si="1"/>
        <v>22958.524840132395</v>
      </c>
    </row>
    <row r="40" spans="1:43" ht="15.75" thickBot="1">
      <c r="A40" s="427" t="s">
        <v>171</v>
      </c>
      <c r="B40" s="428">
        <f>Projection!$AA$30</f>
        <v>0.91139353199999984</v>
      </c>
      <c r="C40" s="429">
        <f>Projection!$AA$28</f>
        <v>1.4375491199999999</v>
      </c>
      <c r="D40" s="429">
        <f>Projection!$AA$31</f>
        <v>2.1834120000000001</v>
      </c>
      <c r="E40" s="429">
        <f>Projection!$AA$26</f>
        <v>4.7363493840000004</v>
      </c>
      <c r="F40" s="429">
        <f>Projection!$AA$23</f>
        <v>5.8379999999999994E-2</v>
      </c>
      <c r="G40" s="429">
        <f>Projection!$AA$24</f>
        <v>5.3200000000000004E-2</v>
      </c>
      <c r="H40" s="430">
        <f>Projection!$AA$29</f>
        <v>3.6371774160000006</v>
      </c>
      <c r="I40" s="428">
        <f>Projection!$AA$30</f>
        <v>0.91139353199999984</v>
      </c>
      <c r="J40" s="429">
        <f>Projection!$AA$28</f>
        <v>1.4375491199999999</v>
      </c>
      <c r="K40" s="429">
        <f>Projection!$AA$26</f>
        <v>4.7363493840000004</v>
      </c>
      <c r="L40" s="429">
        <f>Projection!$AA$25</f>
        <v>0.37613399999999997</v>
      </c>
      <c r="M40" s="429">
        <f>Projection!$AA$23</f>
        <v>5.8379999999999994E-2</v>
      </c>
      <c r="N40" s="430">
        <f>Projection!$AA$23</f>
        <v>5.8379999999999994E-2</v>
      </c>
      <c r="O40" s="431">
        <v>15.77</v>
      </c>
      <c r="P40" s="432">
        <v>15.77</v>
      </c>
      <c r="Q40" s="432">
        <v>15.77</v>
      </c>
      <c r="R40" s="432">
        <v>15.77</v>
      </c>
      <c r="S40" s="432">
        <f>Projection!$AA$28</f>
        <v>1.4375491199999999</v>
      </c>
      <c r="T40" s="433">
        <f>Projection!$AA$28</f>
        <v>1.4375491199999999</v>
      </c>
      <c r="U40" s="431">
        <f>Projection!$AA$27</f>
        <v>0.29749999999999999</v>
      </c>
      <c r="V40" s="432">
        <f>Projection!$AA$27</f>
        <v>0.29749999999999999</v>
      </c>
      <c r="W40" s="432">
        <f>Projection!$AA$22</f>
        <v>1.1475</v>
      </c>
      <c r="X40" s="432">
        <f>Projection!$AA$22</f>
        <v>1.1475</v>
      </c>
      <c r="Y40" s="432">
        <f>Projection!$AA$31</f>
        <v>2.1834120000000001</v>
      </c>
      <c r="Z40" s="432">
        <f>Projection!$AA$31</f>
        <v>2.1834120000000001</v>
      </c>
      <c r="AA40" s="434">
        <v>0</v>
      </c>
      <c r="AB40" s="435">
        <f>Projection!$AA$27</f>
        <v>0.29749999999999999</v>
      </c>
      <c r="AC40" s="435">
        <f>Projection!$AA$30</f>
        <v>0.91139353199999984</v>
      </c>
      <c r="AD40" s="436">
        <f>SUM(AD8:AD38)</f>
        <v>94.750178150004785</v>
      </c>
      <c r="AE40" s="436">
        <f>SUM(AE8:AE38)</f>
        <v>93.080046786272391</v>
      </c>
      <c r="AF40" s="436">
        <f>SUM(AF8:AF38)</f>
        <v>0</v>
      </c>
      <c r="AG40" s="436">
        <f>IF(SUM(AE40:AF40)&gt;0, AE40/(AE40+AF40), "")</f>
        <v>1</v>
      </c>
      <c r="AH40" s="437">
        <v>7.0000000000000007E-2</v>
      </c>
      <c r="AI40" s="437">
        <f t="shared" ref="AI40:AQ40" si="2">$AH$40</f>
        <v>7.0000000000000007E-2</v>
      </c>
      <c r="AJ40" s="437">
        <f t="shared" si="2"/>
        <v>7.0000000000000007E-2</v>
      </c>
      <c r="AK40" s="437">
        <f t="shared" si="2"/>
        <v>7.0000000000000007E-2</v>
      </c>
      <c r="AL40" s="437">
        <f t="shared" si="2"/>
        <v>7.0000000000000007E-2</v>
      </c>
      <c r="AM40" s="437">
        <f t="shared" si="2"/>
        <v>7.0000000000000007E-2</v>
      </c>
      <c r="AN40" s="437">
        <f t="shared" si="2"/>
        <v>7.0000000000000007E-2</v>
      </c>
      <c r="AO40" s="437">
        <f t="shared" si="2"/>
        <v>7.0000000000000007E-2</v>
      </c>
      <c r="AP40" s="437">
        <f t="shared" si="2"/>
        <v>7.0000000000000007E-2</v>
      </c>
      <c r="AQ40" s="437">
        <f t="shared" si="2"/>
        <v>7.0000000000000007E-2</v>
      </c>
    </row>
    <row r="41" spans="1:43" ht="16.5" thickTop="1" thickBot="1">
      <c r="A41" s="438" t="s">
        <v>26</v>
      </c>
      <c r="B41" s="439">
        <f t="shared" ref="B41:AC41" si="3">B40*B39</f>
        <v>0</v>
      </c>
      <c r="C41" s="440">
        <f t="shared" si="3"/>
        <v>0</v>
      </c>
      <c r="D41" s="440">
        <f t="shared" si="3"/>
        <v>0</v>
      </c>
      <c r="E41" s="440">
        <f t="shared" si="3"/>
        <v>5.433291103343703</v>
      </c>
      <c r="F41" s="440">
        <f t="shared" si="3"/>
        <v>0</v>
      </c>
      <c r="G41" s="440">
        <f t="shared" si="3"/>
        <v>0</v>
      </c>
      <c r="H41" s="441">
        <f t="shared" si="3"/>
        <v>0</v>
      </c>
      <c r="I41" s="439">
        <f t="shared" si="3"/>
        <v>1923.4050631389584</v>
      </c>
      <c r="J41" s="440">
        <f t="shared" si="3"/>
        <v>10250.67508362718</v>
      </c>
      <c r="K41" s="440">
        <f t="shared" si="3"/>
        <v>595.89370406250737</v>
      </c>
      <c r="L41" s="440">
        <f t="shared" si="3"/>
        <v>0</v>
      </c>
      <c r="M41" s="440">
        <f t="shared" si="3"/>
        <v>0.2978282132271528</v>
      </c>
      <c r="N41" s="441">
        <f t="shared" si="3"/>
        <v>17.166934374685162</v>
      </c>
      <c r="O41" s="442">
        <f t="shared" si="3"/>
        <v>0</v>
      </c>
      <c r="P41" s="443">
        <f t="shared" si="3"/>
        <v>0</v>
      </c>
      <c r="Q41" s="443">
        <f t="shared" si="3"/>
        <v>0</v>
      </c>
      <c r="R41" s="443">
        <f t="shared" si="3"/>
        <v>0</v>
      </c>
      <c r="S41" s="443">
        <f t="shared" si="3"/>
        <v>0</v>
      </c>
      <c r="T41" s="444">
        <f t="shared" si="3"/>
        <v>0</v>
      </c>
      <c r="U41" s="442">
        <f t="shared" si="3"/>
        <v>603.72851153736394</v>
      </c>
      <c r="V41" s="443">
        <f t="shared" si="3"/>
        <v>1.6196776272522078E-3</v>
      </c>
      <c r="W41" s="443">
        <f t="shared" si="3"/>
        <v>277.29032352966078</v>
      </c>
      <c r="X41" s="443">
        <f t="shared" si="3"/>
        <v>0</v>
      </c>
      <c r="Y41" s="443">
        <f t="shared" si="3"/>
        <v>4157.5157154686167</v>
      </c>
      <c r="Z41" s="443">
        <f t="shared" si="3"/>
        <v>0</v>
      </c>
      <c r="AA41" s="445">
        <f t="shared" si="3"/>
        <v>0</v>
      </c>
      <c r="AB41" s="446">
        <f t="shared" si="3"/>
        <v>0</v>
      </c>
      <c r="AC41" s="446">
        <f t="shared" si="3"/>
        <v>0</v>
      </c>
      <c r="AH41" s="447">
        <f t="shared" ref="AH41:AQ41" si="4">AH40*AH39</f>
        <v>473.86423497748376</v>
      </c>
      <c r="AI41" s="447">
        <f t="shared" si="4"/>
        <v>1139.7465506283445</v>
      </c>
      <c r="AJ41" s="447">
        <f t="shared" si="4"/>
        <v>2569.2662206459045</v>
      </c>
      <c r="AK41" s="447">
        <f t="shared" si="4"/>
        <v>808.38818737856548</v>
      </c>
      <c r="AL41" s="447">
        <f t="shared" si="4"/>
        <v>2358.1483789240524</v>
      </c>
      <c r="AM41" s="447">
        <f t="shared" si="4"/>
        <v>4210.5771841964724</v>
      </c>
      <c r="AN41" s="447">
        <f t="shared" si="4"/>
        <v>1179.7563507960638</v>
      </c>
      <c r="AO41" s="447">
        <f t="shared" si="4"/>
        <v>2280.6259164977077</v>
      </c>
      <c r="AP41" s="447">
        <f t="shared" si="4"/>
        <v>671.88267419079943</v>
      </c>
      <c r="AQ41" s="447">
        <f t="shared" si="4"/>
        <v>1607.0967388092679</v>
      </c>
    </row>
    <row r="42" spans="1:43" ht="49.5" customHeight="1" thickTop="1" thickBot="1">
      <c r="A42" s="685" t="s">
        <v>207</v>
      </c>
      <c r="B42" s="686"/>
      <c r="C42" s="686"/>
      <c r="D42" s="686"/>
      <c r="E42" s="686"/>
      <c r="F42" s="686"/>
      <c r="G42" s="686"/>
      <c r="H42" s="686"/>
      <c r="I42" s="686"/>
      <c r="J42" s="686"/>
      <c r="K42" s="670"/>
      <c r="L42" s="448"/>
      <c r="M42" s="448"/>
      <c r="N42" s="448"/>
      <c r="O42" s="449"/>
      <c r="P42" s="449"/>
      <c r="Q42" s="449"/>
      <c r="R42" s="449"/>
      <c r="S42" s="449"/>
      <c r="T42" s="449"/>
      <c r="U42" s="449"/>
      <c r="V42" s="449"/>
      <c r="W42" s="449"/>
      <c r="X42" s="449"/>
      <c r="Y42" s="449"/>
      <c r="Z42" s="449"/>
      <c r="AA42" s="449"/>
      <c r="AB42" s="449"/>
      <c r="AC42" s="449"/>
      <c r="AG42" s="450" t="s">
        <v>183</v>
      </c>
      <c r="AH42" s="451">
        <v>1756.96</v>
      </c>
      <c r="AI42" s="447" t="s">
        <v>196</v>
      </c>
      <c r="AJ42" s="447">
        <v>2985.14</v>
      </c>
      <c r="AK42" s="447">
        <v>1527.75</v>
      </c>
      <c r="AL42" s="447">
        <v>2914.11</v>
      </c>
      <c r="AM42" s="447">
        <v>8136.41</v>
      </c>
      <c r="AN42" s="447">
        <v>2072.21</v>
      </c>
      <c r="AO42" s="447" t="s">
        <v>196</v>
      </c>
      <c r="AP42" s="447">
        <v>87.44</v>
      </c>
      <c r="AQ42" s="447">
        <v>793.87</v>
      </c>
    </row>
    <row r="43" spans="1:43" ht="38.25" customHeight="1" thickTop="1" thickBot="1">
      <c r="A43" s="673" t="s">
        <v>49</v>
      </c>
      <c r="B43" s="669"/>
      <c r="C43" s="452"/>
      <c r="D43" s="669" t="s">
        <v>47</v>
      </c>
      <c r="E43" s="669"/>
      <c r="F43" s="452"/>
      <c r="G43" s="669" t="s">
        <v>48</v>
      </c>
      <c r="H43" s="669"/>
      <c r="I43" s="453"/>
      <c r="J43" s="669" t="s">
        <v>50</v>
      </c>
      <c r="K43" s="670"/>
      <c r="L43" s="448"/>
      <c r="M43" s="448"/>
      <c r="N43" s="448"/>
      <c r="O43" s="449"/>
      <c r="P43" s="449"/>
      <c r="Q43" s="449"/>
      <c r="R43" s="679" t="s">
        <v>165</v>
      </c>
      <c r="S43" s="680"/>
      <c r="T43" s="680"/>
      <c r="U43" s="681"/>
      <c r="AC43" s="449"/>
      <c r="AQ43" s="454" t="s">
        <v>206</v>
      </c>
    </row>
    <row r="44" spans="1:43" ht="24.75" thickTop="1" thickBot="1">
      <c r="A44" s="455" t="s">
        <v>135</v>
      </c>
      <c r="B44" s="456">
        <f>SUM(B41:AC41)</f>
        <v>17831.408074733172</v>
      </c>
      <c r="C44" s="457"/>
      <c r="D44" s="455" t="s">
        <v>135</v>
      </c>
      <c r="E44" s="456">
        <f>SUM(B41:H41)+P41+R41+T41+V41+X41+Z41</f>
        <v>5.4349107809709549</v>
      </c>
      <c r="F44" s="457"/>
      <c r="G44" s="455" t="s">
        <v>135</v>
      </c>
      <c r="H44" s="456">
        <f>SUM(I41:N41)+O41+Q41+S41+U41+W41+Y41</f>
        <v>17825.9731639522</v>
      </c>
      <c r="I44" s="457"/>
      <c r="J44" s="455" t="s">
        <v>197</v>
      </c>
      <c r="K44" s="456">
        <v>136782.54</v>
      </c>
      <c r="L44" s="457"/>
      <c r="M44" s="457"/>
      <c r="N44" s="457"/>
      <c r="O44" s="457"/>
      <c r="P44" s="457"/>
      <c r="Q44" s="457"/>
      <c r="R44" s="458" t="s">
        <v>135</v>
      </c>
      <c r="S44" s="459"/>
      <c r="T44" s="460" t="s">
        <v>166</v>
      </c>
      <c r="U44" s="461" t="s">
        <v>167</v>
      </c>
    </row>
    <row r="45" spans="1:43" ht="24" thickBot="1">
      <c r="A45" s="462" t="s">
        <v>182</v>
      </c>
      <c r="B45" s="463">
        <f>SUM(AH41:AQ41)</f>
        <v>17299.352437044661</v>
      </c>
      <c r="C45" s="457"/>
      <c r="D45" s="462" t="s">
        <v>182</v>
      </c>
      <c r="E45" s="463">
        <f>AH41*(1-$AG$40)+AI41+AJ41*0.5+AL41+AM41*(1-$AG$40)+AN41*(1-$AG$40)+AO41*(1-$AG$40)+AP41*0.5+AQ41*0.5</f>
        <v>5922.0177463753835</v>
      </c>
      <c r="F45" s="464"/>
      <c r="G45" s="462" t="s">
        <v>182</v>
      </c>
      <c r="H45" s="463">
        <f>AH41*AG40+AJ41*0.5+AK41+AM41*AG40+AN41*AG40+AO41*AG40+AP41*0.5+AQ41*0.5</f>
        <v>11377.334690669279</v>
      </c>
      <c r="I45" s="457"/>
      <c r="J45" s="457"/>
      <c r="K45" s="465"/>
      <c r="L45" s="457"/>
      <c r="M45" s="457"/>
      <c r="N45" s="457"/>
      <c r="O45" s="457"/>
      <c r="P45" s="457"/>
      <c r="Q45" s="457"/>
      <c r="R45" s="466" t="s">
        <v>140</v>
      </c>
      <c r="S45" s="467"/>
      <c r="T45" s="468">
        <f>$W$39+$X$39</f>
        <v>241.64734076658891</v>
      </c>
      <c r="U45" s="469">
        <f>(T45*8.34*0.895)/27000</f>
        <v>6.6804749840149988E-2</v>
      </c>
    </row>
    <row r="46" spans="1:43" ht="32.25" thickBot="1">
      <c r="A46" s="470" t="s">
        <v>183</v>
      </c>
      <c r="B46" s="471">
        <f>SUM(AH42:AQ42)</f>
        <v>20273.89</v>
      </c>
      <c r="C46" s="457"/>
      <c r="D46" s="470" t="s">
        <v>183</v>
      </c>
      <c r="E46" s="471">
        <f>AH42*(1-$AG$40)+AJ42*0.5+AL42+AM42*(1-$AG$40)+AN42*(1-$AG$40)+AP42*0.5+AQ42*0.5</f>
        <v>4847.3350000000009</v>
      </c>
      <c r="F46" s="472"/>
      <c r="G46" s="470" t="s">
        <v>183</v>
      </c>
      <c r="H46" s="471">
        <f>AH42*AG40+AJ42*0.5+AK42+AM42*AG40+AN42*AG40+AP42*0.5+AQ42*0.5</f>
        <v>15426.554999999997</v>
      </c>
      <c r="I46" s="457"/>
      <c r="J46" s="671" t="s">
        <v>198</v>
      </c>
      <c r="K46" s="672"/>
      <c r="L46" s="457"/>
      <c r="M46" s="457"/>
      <c r="N46" s="457"/>
      <c r="O46" s="457"/>
      <c r="P46" s="457"/>
      <c r="Q46" s="457"/>
      <c r="R46" s="466" t="s">
        <v>144</v>
      </c>
      <c r="S46" s="467"/>
      <c r="T46" s="468">
        <f>$M$39+$N$39+$F$39</f>
        <v>299.15660479466118</v>
      </c>
      <c r="U46" s="473">
        <f>(((T46*8.34)*0.005)/(8.34*1.055))/400</f>
        <v>3.5445095354817674E-3</v>
      </c>
    </row>
    <row r="47" spans="1:43" ht="24.75" thickTop="1" thickBot="1">
      <c r="A47" s="470" t="s">
        <v>184</v>
      </c>
      <c r="B47" s="471">
        <f>K44</f>
        <v>136782.54</v>
      </c>
      <c r="C47" s="457"/>
      <c r="D47" s="470" t="s">
        <v>186</v>
      </c>
      <c r="E47" s="471">
        <f>K44*0.5</f>
        <v>68391.27</v>
      </c>
      <c r="F47" s="464"/>
      <c r="G47" s="470" t="s">
        <v>184</v>
      </c>
      <c r="H47" s="471">
        <f>K44*0.5</f>
        <v>68391.27</v>
      </c>
      <c r="I47" s="457"/>
      <c r="J47" s="455" t="s">
        <v>197</v>
      </c>
      <c r="K47" s="456">
        <v>41199.79</v>
      </c>
      <c r="L47" s="457"/>
      <c r="M47" s="457"/>
      <c r="N47" s="457"/>
      <c r="O47" s="457"/>
      <c r="P47" s="457"/>
      <c r="Q47" s="457"/>
      <c r="R47" s="466" t="s">
        <v>147</v>
      </c>
      <c r="S47" s="467"/>
      <c r="T47" s="468">
        <f>$G$39</f>
        <v>0</v>
      </c>
      <c r="U47" s="469">
        <f>T47/40000</f>
        <v>0</v>
      </c>
    </row>
    <row r="48" spans="1:43" ht="24" thickBot="1">
      <c r="A48" s="470" t="s">
        <v>185</v>
      </c>
      <c r="B48" s="471">
        <f>K47</f>
        <v>41199.79</v>
      </c>
      <c r="C48" s="457"/>
      <c r="D48" s="470" t="s">
        <v>185</v>
      </c>
      <c r="E48" s="471">
        <f>K47*0.5</f>
        <v>20599.895</v>
      </c>
      <c r="F48" s="472"/>
      <c r="G48" s="470" t="s">
        <v>185</v>
      </c>
      <c r="H48" s="471">
        <f>K47*0.5</f>
        <v>20599.895</v>
      </c>
      <c r="I48" s="457"/>
      <c r="J48" s="457"/>
      <c r="K48" s="474"/>
      <c r="L48" s="457"/>
      <c r="M48" s="457"/>
      <c r="N48" s="457"/>
      <c r="O48" s="457"/>
      <c r="P48" s="457"/>
      <c r="Q48" s="457"/>
      <c r="R48" s="466" t="s">
        <v>149</v>
      </c>
      <c r="S48" s="467"/>
      <c r="T48" s="468">
        <f>$L$39</f>
        <v>0</v>
      </c>
      <c r="U48" s="469">
        <f>T48*9.34*0.107</f>
        <v>0</v>
      </c>
    </row>
    <row r="49" spans="1:25" ht="48" thickTop="1" thickBot="1">
      <c r="A49" s="475" t="s">
        <v>193</v>
      </c>
      <c r="B49" s="476">
        <f>AD40</f>
        <v>94.750178150004785</v>
      </c>
      <c r="C49" s="457"/>
      <c r="D49" s="475" t="s">
        <v>194</v>
      </c>
      <c r="E49" s="476">
        <f>AF40</f>
        <v>0</v>
      </c>
      <c r="F49" s="472"/>
      <c r="G49" s="475" t="s">
        <v>195</v>
      </c>
      <c r="H49" s="476">
        <f>AE40</f>
        <v>93.080046786272391</v>
      </c>
      <c r="I49" s="457"/>
      <c r="J49" s="457"/>
      <c r="K49" s="474"/>
      <c r="L49" s="457"/>
      <c r="M49" s="457"/>
      <c r="N49" s="457"/>
      <c r="O49" s="457"/>
      <c r="P49" s="457"/>
      <c r="Q49" s="457"/>
      <c r="R49" s="466" t="s">
        <v>151</v>
      </c>
      <c r="S49" s="467"/>
      <c r="T49" s="468">
        <f>$E$39+$K$39</f>
        <v>126.96001633604381</v>
      </c>
      <c r="U49" s="469">
        <f>(T49*8.34*1.04)/45000</f>
        <v>2.4471119948717989E-2</v>
      </c>
    </row>
    <row r="50" spans="1:25" ht="48" thickTop="1" thickBot="1">
      <c r="A50" s="475" t="s">
        <v>189</v>
      </c>
      <c r="B50" s="477">
        <f>(SUM(B44:B48)/AD40)</f>
        <v>2463.1824981087493</v>
      </c>
      <c r="C50" s="457"/>
      <c r="D50" s="475" t="s">
        <v>187</v>
      </c>
      <c r="E50" s="477" t="e">
        <f>SUM(E44:E48)/AF40</f>
        <v>#DIV/0!</v>
      </c>
      <c r="F50" s="472"/>
      <c r="G50" s="475" t="s">
        <v>188</v>
      </c>
      <c r="H50" s="477">
        <f>SUM(H44:H48)/AE40</f>
        <v>1435.5496421422956</v>
      </c>
      <c r="I50" s="457"/>
      <c r="J50" s="457"/>
      <c r="K50" s="474"/>
      <c r="L50" s="457"/>
      <c r="M50" s="457"/>
      <c r="N50" s="457"/>
      <c r="O50" s="457"/>
      <c r="P50" s="457"/>
      <c r="Q50" s="457"/>
      <c r="R50" s="466" t="s">
        <v>152</v>
      </c>
      <c r="S50" s="467"/>
      <c r="T50" s="468">
        <f>$U$39+$V$39+$AB$39</f>
        <v>2029.3449788739201</v>
      </c>
      <c r="U50" s="469">
        <f>T50/2000/8</f>
        <v>0.12683406117962001</v>
      </c>
    </row>
    <row r="51" spans="1:25" ht="47.25" customHeight="1" thickTop="1" thickBot="1">
      <c r="A51" s="478" t="s">
        <v>190</v>
      </c>
      <c r="B51" s="479">
        <f>B50/1000</f>
        <v>2.4631824981087491</v>
      </c>
      <c r="C51" s="457"/>
      <c r="D51" s="478" t="s">
        <v>191</v>
      </c>
      <c r="E51" s="479" t="e">
        <f>E50/1000</f>
        <v>#DIV/0!</v>
      </c>
      <c r="F51" s="457"/>
      <c r="G51" s="478" t="s">
        <v>192</v>
      </c>
      <c r="H51" s="479">
        <f>H50/1000</f>
        <v>1.4355496421422955</v>
      </c>
      <c r="I51" s="457"/>
      <c r="J51" s="457"/>
      <c r="K51" s="474"/>
      <c r="L51" s="457"/>
      <c r="M51" s="457"/>
      <c r="N51" s="457"/>
      <c r="O51" s="457"/>
      <c r="P51" s="457"/>
      <c r="Q51" s="457"/>
      <c r="R51" s="466" t="s">
        <v>153</v>
      </c>
      <c r="S51" s="467"/>
      <c r="T51" s="468">
        <f>$C$39+$J$39+$S$39+$T$39</f>
        <v>7130.6607482234631</v>
      </c>
      <c r="U51" s="469">
        <f>(T51*8.34*1.4)/45000</f>
        <v>1.850168775472381</v>
      </c>
    </row>
    <row r="52" spans="1:25" ht="16.5" thickTop="1" thickBot="1">
      <c r="A52" s="480"/>
      <c r="B52" s="457"/>
      <c r="C52" s="457"/>
      <c r="D52" s="457"/>
      <c r="E52" s="457"/>
      <c r="F52" s="457"/>
      <c r="G52" s="457"/>
      <c r="H52" s="457"/>
      <c r="I52" s="457"/>
      <c r="J52" s="457"/>
      <c r="K52" s="474"/>
      <c r="L52" s="457"/>
      <c r="M52" s="457"/>
      <c r="N52" s="457"/>
      <c r="O52" s="457"/>
      <c r="P52" s="457"/>
      <c r="Q52" s="457"/>
      <c r="R52" s="466" t="s">
        <v>154</v>
      </c>
      <c r="S52" s="467"/>
      <c r="T52" s="468">
        <f>$H$39</f>
        <v>0</v>
      </c>
      <c r="U52" s="469">
        <f>(T52*8.34*1.135)/45000</f>
        <v>0</v>
      </c>
    </row>
    <row r="53" spans="1:25" ht="48" customHeight="1" thickTop="1" thickBot="1">
      <c r="A53" s="682" t="s">
        <v>51</v>
      </c>
      <c r="B53" s="683"/>
      <c r="C53" s="683"/>
      <c r="D53" s="683"/>
      <c r="E53" s="684"/>
      <c r="F53" s="457"/>
      <c r="G53" s="457"/>
      <c r="H53" s="457"/>
      <c r="I53" s="457"/>
      <c r="J53" s="457"/>
      <c r="K53" s="474"/>
      <c r="L53" s="457"/>
      <c r="M53" s="457"/>
      <c r="N53" s="457"/>
      <c r="O53" s="457"/>
      <c r="P53" s="457"/>
      <c r="Q53" s="457"/>
      <c r="R53" s="466" t="s">
        <v>155</v>
      </c>
      <c r="S53" s="467"/>
      <c r="T53" s="468">
        <f>$B$39+$I$39+$AC$39</f>
        <v>2110.4001681009941</v>
      </c>
      <c r="U53" s="469">
        <f>(T53*8.34*1.029*0.03)/3300</f>
        <v>0.16464689806017449</v>
      </c>
    </row>
    <row r="54" spans="1:25" ht="57" customHeight="1" thickBot="1">
      <c r="A54" s="666" t="s">
        <v>199</v>
      </c>
      <c r="B54" s="667"/>
      <c r="C54" s="667"/>
      <c r="D54" s="667"/>
      <c r="E54" s="668"/>
      <c r="F54" s="481"/>
      <c r="G54" s="481"/>
      <c r="H54" s="481"/>
      <c r="I54" s="481"/>
      <c r="J54" s="481"/>
      <c r="K54" s="482"/>
      <c r="L54" s="457"/>
      <c r="M54" s="457"/>
      <c r="N54" s="457"/>
      <c r="O54" s="457"/>
      <c r="P54" s="457"/>
      <c r="Q54" s="457"/>
      <c r="R54" s="676" t="s">
        <v>157</v>
      </c>
      <c r="S54" s="677"/>
      <c r="T54" s="483">
        <f>$D$39+$Y$39+$Z$39</f>
        <v>1904.1370641311016</v>
      </c>
      <c r="U54" s="484">
        <f>(T54*1.54*8.34)/45000</f>
        <v>0.54346610659720485</v>
      </c>
    </row>
    <row r="55" spans="1:25" ht="15.75" thickTop="1">
      <c r="A55" s="485"/>
      <c r="B55" s="485"/>
      <c r="C55" s="485"/>
      <c r="D55" s="485"/>
      <c r="E55" s="485"/>
      <c r="F55" s="457"/>
      <c r="G55" s="457"/>
      <c r="H55" s="457"/>
      <c r="I55" s="457"/>
      <c r="J55" s="457"/>
      <c r="K55" s="457"/>
      <c r="L55" s="457"/>
      <c r="M55" s="457"/>
      <c r="N55" s="457"/>
      <c r="O55" s="457"/>
      <c r="P55" s="457"/>
      <c r="Q55" s="457"/>
      <c r="R55" s="678"/>
      <c r="S55" s="678"/>
      <c r="T55" s="486"/>
      <c r="U55" s="487"/>
    </row>
    <row r="56" spans="1:25">
      <c r="A56" s="488"/>
      <c r="B56" s="489"/>
      <c r="C56" s="457"/>
      <c r="D56" s="457"/>
      <c r="E56" s="457"/>
      <c r="F56" s="457"/>
      <c r="G56" s="457"/>
      <c r="H56" s="457"/>
      <c r="I56" s="457"/>
      <c r="J56" s="457"/>
      <c r="K56" s="457"/>
      <c r="L56" s="457"/>
      <c r="M56" s="457"/>
      <c r="N56" s="457"/>
      <c r="O56" s="457"/>
      <c r="P56" s="457"/>
      <c r="Q56" s="457"/>
      <c r="R56" s="457"/>
      <c r="S56" s="457"/>
      <c r="T56" s="457"/>
      <c r="U56" s="457"/>
      <c r="V56" s="457"/>
      <c r="W56" s="457"/>
      <c r="X56" s="457"/>
      <c r="Y56" s="457"/>
    </row>
    <row r="57" spans="1:25">
      <c r="A57" s="490"/>
      <c r="B57" s="489"/>
      <c r="C57" s="457"/>
      <c r="D57" s="457"/>
      <c r="E57" s="457"/>
      <c r="F57" s="457"/>
      <c r="G57" s="457"/>
      <c r="H57" s="457"/>
      <c r="I57" s="457"/>
      <c r="J57" s="457"/>
      <c r="K57" s="457"/>
      <c r="L57" s="457"/>
      <c r="M57" s="457"/>
      <c r="N57" s="457"/>
      <c r="O57" s="457"/>
      <c r="P57" s="457"/>
      <c r="Q57" s="457"/>
      <c r="R57" s="457"/>
      <c r="S57" s="457"/>
      <c r="T57" s="457"/>
      <c r="U57" s="457"/>
      <c r="V57" s="457"/>
      <c r="W57" s="457"/>
      <c r="X57" s="457"/>
      <c r="Y57" s="457"/>
    </row>
    <row r="58" spans="1:25">
      <c r="A58" s="489"/>
      <c r="B58" s="489"/>
      <c r="C58" s="457"/>
      <c r="D58" s="457"/>
      <c r="E58" s="457"/>
      <c r="F58" s="457"/>
      <c r="G58" s="457"/>
      <c r="H58" s="457"/>
      <c r="I58" s="457"/>
      <c r="J58" s="457"/>
      <c r="K58" s="457"/>
      <c r="L58" s="457"/>
      <c r="M58" s="457"/>
      <c r="N58" s="457"/>
      <c r="O58" s="457"/>
      <c r="P58" s="457"/>
      <c r="Q58" s="457"/>
      <c r="R58" s="457"/>
      <c r="S58" s="457"/>
      <c r="T58" s="457"/>
      <c r="U58" s="457"/>
      <c r="V58" s="457"/>
      <c r="W58" s="457"/>
      <c r="X58" s="457"/>
      <c r="Y58" s="457"/>
    </row>
    <row r="59" spans="1:25">
      <c r="A59" s="490"/>
      <c r="B59" s="489"/>
      <c r="C59" s="457"/>
      <c r="D59" s="457"/>
      <c r="E59" s="457"/>
      <c r="F59" s="457"/>
      <c r="G59" s="457"/>
      <c r="H59" s="457"/>
      <c r="I59" s="457"/>
      <c r="J59" s="457"/>
      <c r="K59" s="457"/>
      <c r="L59" s="457"/>
      <c r="M59" s="457"/>
      <c r="N59" s="457"/>
      <c r="O59" s="457"/>
      <c r="P59" s="457"/>
      <c r="Q59" s="457"/>
      <c r="R59" s="457"/>
      <c r="S59" s="457"/>
      <c r="T59" s="457"/>
      <c r="U59" s="457"/>
      <c r="V59" s="457"/>
      <c r="W59" s="457"/>
      <c r="X59" s="457"/>
      <c r="Y59" s="457"/>
    </row>
    <row r="60" spans="1:25">
      <c r="A60" s="489"/>
      <c r="B60" s="489"/>
      <c r="C60" s="457"/>
      <c r="D60" s="457"/>
      <c r="E60" s="457"/>
      <c r="F60" s="457"/>
      <c r="G60" s="457"/>
      <c r="H60" s="457"/>
      <c r="I60" s="457"/>
      <c r="J60" s="457"/>
      <c r="K60" s="457"/>
    </row>
    <row r="61" spans="1:25">
      <c r="A61" s="457"/>
      <c r="B61" s="457"/>
      <c r="C61" s="457"/>
    </row>
    <row r="62" spans="1:25">
      <c r="A62" s="457"/>
      <c r="B62" s="457"/>
      <c r="C62" s="457"/>
    </row>
  </sheetData>
  <sheetProtection password="A25B" sheet="1" objects="1" scenarios="1"/>
  <customSheetViews>
    <customSheetView guid="{322E6371-A03C-4BCA-B267-212DFC76880A}" scale="75" fitToPage="1">
      <selection activeCell="C40" sqref="C40"/>
      <pageMargins left="0.33" right="0.19" top="0.75" bottom="0.75" header="0.3" footer="0.3"/>
      <pageSetup paperSize="17" scale="22" orientation="landscape" r:id="rId1"/>
    </customSheetView>
  </customSheetViews>
  <mergeCells count="31">
    <mergeCell ref="R54:S54"/>
    <mergeCell ref="R55:S55"/>
    <mergeCell ref="R43:U43"/>
    <mergeCell ref="A53:E53"/>
    <mergeCell ref="AM4:AM5"/>
    <mergeCell ref="A42:K42"/>
    <mergeCell ref="AD4:AD5"/>
    <mergeCell ref="AE4:AE5"/>
    <mergeCell ref="AF4:AF5"/>
    <mergeCell ref="AG4:AG5"/>
    <mergeCell ref="B4:H5"/>
    <mergeCell ref="I4:N5"/>
    <mergeCell ref="O4:T5"/>
    <mergeCell ref="U4:AA5"/>
    <mergeCell ref="AB4:AB5"/>
    <mergeCell ref="AC4:AC5"/>
    <mergeCell ref="AN4:AN5"/>
    <mergeCell ref="AO4:AO5"/>
    <mergeCell ref="AP4:AP5"/>
    <mergeCell ref="AQ4:AQ5"/>
    <mergeCell ref="AH4:AH5"/>
    <mergeCell ref="AI4:AI5"/>
    <mergeCell ref="AJ4:AJ5"/>
    <mergeCell ref="AK4:AK5"/>
    <mergeCell ref="AL4:AL5"/>
    <mergeCell ref="A54:E54"/>
    <mergeCell ref="J43:K43"/>
    <mergeCell ref="J46:K46"/>
    <mergeCell ref="A43:B43"/>
    <mergeCell ref="D43:E43"/>
    <mergeCell ref="G43:H43"/>
  </mergeCells>
  <pageMargins left="0.33" right="0.19" top="0.75" bottom="0.75" header="0.3" footer="0.3"/>
  <pageSetup paperSize="17" scale="22" orientation="landscape"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U63"/>
  <sheetViews>
    <sheetView topLeftCell="A31" zoomScale="80" zoomScaleNormal="80" workbookViewId="0">
      <selection activeCell="H51" sqref="H51"/>
    </sheetView>
  </sheetViews>
  <sheetFormatPr defaultRowHeight="15"/>
  <cols>
    <col min="1" max="1" width="35.140625" style="355" bestFit="1" customWidth="1"/>
    <col min="2" max="2" width="19.28515625" style="355" bestFit="1" customWidth="1"/>
    <col min="3" max="3" width="27.7109375" style="355" bestFit="1" customWidth="1"/>
    <col min="4" max="4" width="29.5703125" style="355" customWidth="1"/>
    <col min="5" max="5" width="22.28515625" style="355" bestFit="1" customWidth="1"/>
    <col min="6" max="6" width="15" style="355" bestFit="1" customWidth="1"/>
    <col min="7" max="7" width="35.5703125" style="355" customWidth="1"/>
    <col min="8" max="8" width="17.42578125" style="355" bestFit="1" customWidth="1"/>
    <col min="9" max="9" width="15" style="355" bestFit="1" customWidth="1"/>
    <col min="10" max="10" width="16.42578125" style="355" bestFit="1" customWidth="1"/>
    <col min="11" max="11" width="19.85546875" style="355" bestFit="1" customWidth="1"/>
    <col min="12" max="12" width="17" style="355" bestFit="1" customWidth="1"/>
    <col min="13" max="13" width="16.140625" style="355" bestFit="1" customWidth="1"/>
    <col min="14" max="14" width="15.140625" style="355" bestFit="1" customWidth="1"/>
    <col min="15" max="16" width="16.28515625" style="355" bestFit="1" customWidth="1"/>
    <col min="17" max="17" width="24.140625" style="355" bestFit="1" customWidth="1"/>
    <col min="18" max="18" width="24.5703125" style="355" bestFit="1" customWidth="1"/>
    <col min="19" max="19" width="26.140625" style="355" bestFit="1" customWidth="1"/>
    <col min="20" max="20" width="26" style="355" bestFit="1" customWidth="1"/>
    <col min="21" max="22" width="14.5703125" style="355" bestFit="1" customWidth="1"/>
    <col min="23" max="23" width="20.42578125" style="355" bestFit="1" customWidth="1"/>
    <col min="24" max="24" width="20.140625" style="355" bestFit="1" customWidth="1"/>
    <col min="25" max="25" width="22.7109375" style="355" bestFit="1" customWidth="1"/>
    <col min="26" max="26" width="22.42578125" style="355" bestFit="1" customWidth="1"/>
    <col min="27" max="27" width="21.42578125" style="355" bestFit="1" customWidth="1"/>
    <col min="28" max="28" width="33" style="355" bestFit="1" customWidth="1"/>
    <col min="29" max="29" width="36.7109375" style="355" customWidth="1"/>
    <col min="30" max="30" width="33.28515625" style="355" bestFit="1" customWidth="1"/>
    <col min="31" max="31" width="26.85546875" style="355" customWidth="1"/>
    <col min="32" max="32" width="23" style="355" customWidth="1"/>
    <col min="33" max="33" width="22.28515625" style="355" customWidth="1"/>
    <col min="34" max="34" width="22.5703125" style="355" bestFit="1" customWidth="1"/>
    <col min="35" max="35" width="16" style="355" bestFit="1" customWidth="1"/>
    <col min="36" max="36" width="16.7109375" style="355" bestFit="1" customWidth="1"/>
    <col min="37" max="38" width="15.140625" style="355" bestFit="1" customWidth="1"/>
    <col min="39" max="39" width="21.28515625" style="355" bestFit="1" customWidth="1"/>
    <col min="40" max="40" width="18.28515625" style="355" bestFit="1" customWidth="1"/>
    <col min="41" max="43" width="15.140625" style="355" bestFit="1" customWidth="1"/>
    <col min="44" max="16384" width="9.140625" style="355"/>
  </cols>
  <sheetData>
    <row r="1" spans="1:47" ht="15" customHeight="1">
      <c r="A1" s="353" t="s">
        <v>0</v>
      </c>
      <c r="B1" s="354"/>
      <c r="C1" s="355" t="s">
        <v>1</v>
      </c>
      <c r="O1" s="356"/>
      <c r="P1" s="357"/>
      <c r="Q1" s="357"/>
      <c r="R1" s="357"/>
    </row>
    <row r="2" spans="1:47" ht="15" customHeight="1">
      <c r="A2" s="353" t="s">
        <v>2</v>
      </c>
      <c r="B2" s="358"/>
      <c r="O2" s="357"/>
      <c r="P2" s="357"/>
      <c r="Q2" s="357"/>
      <c r="R2" s="357"/>
    </row>
    <row r="3" spans="1:47" ht="15.75" thickBot="1">
      <c r="A3" s="359"/>
    </row>
    <row r="4" spans="1:47" ht="30" customHeight="1" thickTop="1">
      <c r="A4" s="360"/>
      <c r="B4" s="689" t="s">
        <v>3</v>
      </c>
      <c r="C4" s="690"/>
      <c r="D4" s="690"/>
      <c r="E4" s="690"/>
      <c r="F4" s="690"/>
      <c r="G4" s="690"/>
      <c r="H4" s="691"/>
      <c r="I4" s="689" t="s">
        <v>4</v>
      </c>
      <c r="J4" s="690"/>
      <c r="K4" s="690"/>
      <c r="L4" s="690"/>
      <c r="M4" s="690"/>
      <c r="N4" s="691"/>
      <c r="O4" s="695" t="s">
        <v>5</v>
      </c>
      <c r="P4" s="696"/>
      <c r="Q4" s="697"/>
      <c r="R4" s="697"/>
      <c r="S4" s="697"/>
      <c r="T4" s="698"/>
      <c r="U4" s="689" t="s">
        <v>6</v>
      </c>
      <c r="V4" s="702"/>
      <c r="W4" s="702"/>
      <c r="X4" s="702"/>
      <c r="Y4" s="702"/>
      <c r="Z4" s="702"/>
      <c r="AA4" s="703"/>
      <c r="AB4" s="674" t="s">
        <v>7</v>
      </c>
      <c r="AC4" s="708" t="s">
        <v>8</v>
      </c>
      <c r="AD4" s="687" t="s">
        <v>27</v>
      </c>
      <c r="AE4" s="687" t="s">
        <v>31</v>
      </c>
      <c r="AF4" s="687" t="s">
        <v>32</v>
      </c>
      <c r="AG4" s="687" t="s">
        <v>33</v>
      </c>
      <c r="AH4" s="674" t="s">
        <v>172</v>
      </c>
      <c r="AI4" s="674" t="s">
        <v>173</v>
      </c>
      <c r="AJ4" s="674" t="s">
        <v>174</v>
      </c>
      <c r="AK4" s="674" t="s">
        <v>175</v>
      </c>
      <c r="AL4" s="674" t="s">
        <v>176</v>
      </c>
      <c r="AM4" s="674" t="s">
        <v>177</v>
      </c>
      <c r="AN4" s="674" t="s">
        <v>178</v>
      </c>
      <c r="AO4" s="674" t="s">
        <v>181</v>
      </c>
      <c r="AP4" s="674" t="s">
        <v>179</v>
      </c>
      <c r="AQ4" s="674" t="s">
        <v>180</v>
      </c>
    </row>
    <row r="5" spans="1:47" ht="30" customHeight="1" thickBot="1">
      <c r="A5" s="360"/>
      <c r="B5" s="692"/>
      <c r="C5" s="693"/>
      <c r="D5" s="693"/>
      <c r="E5" s="693"/>
      <c r="F5" s="693"/>
      <c r="G5" s="693"/>
      <c r="H5" s="694"/>
      <c r="I5" s="692"/>
      <c r="J5" s="693"/>
      <c r="K5" s="693"/>
      <c r="L5" s="693"/>
      <c r="M5" s="693"/>
      <c r="N5" s="694"/>
      <c r="O5" s="699"/>
      <c r="P5" s="700"/>
      <c r="Q5" s="700"/>
      <c r="R5" s="700"/>
      <c r="S5" s="700"/>
      <c r="T5" s="701"/>
      <c r="U5" s="704"/>
      <c r="V5" s="705"/>
      <c r="W5" s="705"/>
      <c r="X5" s="705"/>
      <c r="Y5" s="705"/>
      <c r="Z5" s="705"/>
      <c r="AA5" s="706"/>
      <c r="AB5" s="707"/>
      <c r="AC5" s="709"/>
      <c r="AD5" s="688"/>
      <c r="AE5" s="688"/>
      <c r="AF5" s="688"/>
      <c r="AG5" s="688"/>
      <c r="AH5" s="675"/>
      <c r="AI5" s="675"/>
      <c r="AJ5" s="675"/>
      <c r="AK5" s="675"/>
      <c r="AL5" s="675"/>
      <c r="AM5" s="675"/>
      <c r="AN5" s="675"/>
      <c r="AO5" s="675"/>
      <c r="AP5" s="675"/>
      <c r="AQ5" s="675"/>
      <c r="AU5" s="454"/>
    </row>
    <row r="6" spans="1:47" ht="18">
      <c r="A6" s="362"/>
      <c r="B6" s="363" t="s">
        <v>9</v>
      </c>
      <c r="C6" s="364" t="s">
        <v>10</v>
      </c>
      <c r="D6" s="364" t="s">
        <v>11</v>
      </c>
      <c r="E6" s="364" t="s">
        <v>12</v>
      </c>
      <c r="F6" s="364" t="s">
        <v>13</v>
      </c>
      <c r="G6" s="364" t="s">
        <v>14</v>
      </c>
      <c r="H6" s="365" t="s">
        <v>15</v>
      </c>
      <c r="I6" s="366" t="s">
        <v>9</v>
      </c>
      <c r="J6" s="364" t="s">
        <v>16</v>
      </c>
      <c r="K6" s="364" t="s">
        <v>17</v>
      </c>
      <c r="L6" s="367" t="s">
        <v>18</v>
      </c>
      <c r="M6" s="364" t="s">
        <v>19</v>
      </c>
      <c r="N6" s="365" t="s">
        <v>13</v>
      </c>
      <c r="O6" s="363" t="s">
        <v>35</v>
      </c>
      <c r="P6" s="367" t="s">
        <v>36</v>
      </c>
      <c r="Q6" s="367" t="s">
        <v>37</v>
      </c>
      <c r="R6" s="367" t="s">
        <v>38</v>
      </c>
      <c r="S6" s="364" t="s">
        <v>39</v>
      </c>
      <c r="T6" s="368" t="s">
        <v>40</v>
      </c>
      <c r="U6" s="369" t="s">
        <v>41</v>
      </c>
      <c r="V6" s="364" t="s">
        <v>42</v>
      </c>
      <c r="W6" s="364" t="s">
        <v>43</v>
      </c>
      <c r="X6" s="364" t="s">
        <v>44</v>
      </c>
      <c r="Y6" s="364" t="s">
        <v>45</v>
      </c>
      <c r="Z6" s="364" t="s">
        <v>46</v>
      </c>
      <c r="AA6" s="370" t="s">
        <v>20</v>
      </c>
      <c r="AB6" s="371" t="s">
        <v>21</v>
      </c>
      <c r="AC6" s="371" t="s">
        <v>22</v>
      </c>
      <c r="AD6" s="372" t="s">
        <v>30</v>
      </c>
      <c r="AE6" s="372"/>
      <c r="AF6" s="372"/>
      <c r="AG6" s="372"/>
      <c r="AH6" s="372"/>
      <c r="AI6" s="372"/>
      <c r="AJ6" s="372"/>
      <c r="AK6" s="372"/>
      <c r="AL6" s="372"/>
      <c r="AM6" s="372"/>
      <c r="AN6" s="372"/>
      <c r="AO6" s="372"/>
      <c r="AP6" s="372"/>
      <c r="AQ6" s="372"/>
    </row>
    <row r="7" spans="1:47" ht="15.75" thickBot="1">
      <c r="A7" s="362"/>
      <c r="B7" s="373" t="s">
        <v>23</v>
      </c>
      <c r="C7" s="374" t="s">
        <v>23</v>
      </c>
      <c r="D7" s="374" t="s">
        <v>23</v>
      </c>
      <c r="E7" s="374" t="s">
        <v>23</v>
      </c>
      <c r="F7" s="374" t="s">
        <v>23</v>
      </c>
      <c r="G7" s="374" t="s">
        <v>24</v>
      </c>
      <c r="H7" s="375" t="s">
        <v>23</v>
      </c>
      <c r="I7" s="373" t="s">
        <v>23</v>
      </c>
      <c r="J7" s="374" t="s">
        <v>23</v>
      </c>
      <c r="K7" s="374" t="s">
        <v>23</v>
      </c>
      <c r="L7" s="374" t="s">
        <v>23</v>
      </c>
      <c r="M7" s="374" t="s">
        <v>23</v>
      </c>
      <c r="N7" s="375" t="s">
        <v>23</v>
      </c>
      <c r="O7" s="373" t="s">
        <v>23</v>
      </c>
      <c r="P7" s="374" t="s">
        <v>23</v>
      </c>
      <c r="Q7" s="374" t="s">
        <v>23</v>
      </c>
      <c r="R7" s="374" t="s">
        <v>23</v>
      </c>
      <c r="S7" s="374" t="s">
        <v>23</v>
      </c>
      <c r="T7" s="376" t="s">
        <v>23</v>
      </c>
      <c r="U7" s="373" t="s">
        <v>25</v>
      </c>
      <c r="V7" s="374" t="s">
        <v>25</v>
      </c>
      <c r="W7" s="374" t="s">
        <v>23</v>
      </c>
      <c r="X7" s="374" t="s">
        <v>23</v>
      </c>
      <c r="Y7" s="374" t="s">
        <v>23</v>
      </c>
      <c r="Z7" s="374" t="s">
        <v>23</v>
      </c>
      <c r="AA7" s="375" t="s">
        <v>23</v>
      </c>
      <c r="AB7" s="377" t="s">
        <v>25</v>
      </c>
      <c r="AC7" s="378" t="s">
        <v>23</v>
      </c>
      <c r="AD7" s="377" t="s">
        <v>28</v>
      </c>
      <c r="AE7" s="377" t="s">
        <v>28</v>
      </c>
      <c r="AF7" s="377" t="s">
        <v>28</v>
      </c>
      <c r="AG7" s="377" t="s">
        <v>34</v>
      </c>
      <c r="AH7" s="377" t="s">
        <v>169</v>
      </c>
      <c r="AI7" s="377" t="s">
        <v>169</v>
      </c>
      <c r="AJ7" s="377" t="s">
        <v>169</v>
      </c>
      <c r="AK7" s="377" t="s">
        <v>169</v>
      </c>
      <c r="AL7" s="377" t="s">
        <v>169</v>
      </c>
      <c r="AM7" s="377" t="s">
        <v>169</v>
      </c>
      <c r="AN7" s="377" t="s">
        <v>169</v>
      </c>
      <c r="AO7" s="377" t="s">
        <v>169</v>
      </c>
      <c r="AP7" s="377" t="s">
        <v>169</v>
      </c>
      <c r="AQ7" s="377" t="s">
        <v>169</v>
      </c>
    </row>
    <row r="8" spans="1:47">
      <c r="A8" s="379">
        <v>40940</v>
      </c>
      <c r="B8" s="380"/>
      <c r="C8" s="381">
        <v>0</v>
      </c>
      <c r="D8" s="381">
        <v>0</v>
      </c>
      <c r="E8" s="381">
        <v>0</v>
      </c>
      <c r="F8" s="381">
        <v>0</v>
      </c>
      <c r="G8" s="381">
        <v>0</v>
      </c>
      <c r="H8" s="382">
        <v>0</v>
      </c>
      <c r="I8" s="380">
        <v>0</v>
      </c>
      <c r="J8" s="381">
        <v>0</v>
      </c>
      <c r="K8" s="381">
        <v>0</v>
      </c>
      <c r="L8" s="381">
        <v>0</v>
      </c>
      <c r="M8" s="381">
        <v>0</v>
      </c>
      <c r="N8" s="382">
        <v>0</v>
      </c>
      <c r="O8" s="380">
        <v>0</v>
      </c>
      <c r="P8" s="381">
        <v>0</v>
      </c>
      <c r="Q8" s="381">
        <v>0</v>
      </c>
      <c r="R8" s="381">
        <v>0</v>
      </c>
      <c r="S8" s="381">
        <v>0</v>
      </c>
      <c r="T8" s="383">
        <v>0</v>
      </c>
      <c r="U8" s="384">
        <v>0</v>
      </c>
      <c r="V8" s="385">
        <v>0</v>
      </c>
      <c r="W8" s="385">
        <v>0</v>
      </c>
      <c r="X8" s="385">
        <v>0</v>
      </c>
      <c r="Y8" s="385">
        <v>0</v>
      </c>
      <c r="Z8" s="385">
        <v>0</v>
      </c>
      <c r="AA8" s="386">
        <v>0</v>
      </c>
      <c r="AB8" s="387">
        <v>0</v>
      </c>
      <c r="AC8" s="388">
        <v>0</v>
      </c>
      <c r="AD8" s="388">
        <v>0</v>
      </c>
      <c r="AE8" s="389">
        <v>0</v>
      </c>
      <c r="AF8" s="389">
        <v>0</v>
      </c>
      <c r="AG8" s="389">
        <v>0</v>
      </c>
      <c r="AH8" s="388">
        <v>212.45811492602036</v>
      </c>
      <c r="AI8" s="388">
        <v>500.10377720197044</v>
      </c>
      <c r="AJ8" s="388">
        <v>1114.6211056391398</v>
      </c>
      <c r="AK8" s="388">
        <v>207.31902847290041</v>
      </c>
      <c r="AL8" s="388">
        <v>1240.2181163787839</v>
      </c>
      <c r="AM8" s="388">
        <v>1843.13147354126</v>
      </c>
      <c r="AN8" s="388">
        <v>506.05548973083495</v>
      </c>
      <c r="AO8" s="388">
        <v>457.51217068036397</v>
      </c>
      <c r="AP8" s="388">
        <v>158.81355030934014</v>
      </c>
      <c r="AQ8" s="388">
        <v>731.96352081298835</v>
      </c>
    </row>
    <row r="9" spans="1:47">
      <c r="A9" s="379">
        <v>40941</v>
      </c>
      <c r="B9" s="390"/>
      <c r="C9" s="391">
        <v>0</v>
      </c>
      <c r="D9" s="391">
        <v>0</v>
      </c>
      <c r="E9" s="391">
        <v>0</v>
      </c>
      <c r="F9" s="391">
        <v>0</v>
      </c>
      <c r="G9" s="391">
        <v>0</v>
      </c>
      <c r="H9" s="392">
        <v>0</v>
      </c>
      <c r="I9" s="390">
        <v>0</v>
      </c>
      <c r="J9" s="391">
        <v>0</v>
      </c>
      <c r="K9" s="391">
        <v>0</v>
      </c>
      <c r="L9" s="391">
        <v>0</v>
      </c>
      <c r="M9" s="391">
        <v>0</v>
      </c>
      <c r="N9" s="392">
        <v>0</v>
      </c>
      <c r="O9" s="390">
        <v>0</v>
      </c>
      <c r="P9" s="391">
        <v>0</v>
      </c>
      <c r="Q9" s="393">
        <v>0</v>
      </c>
      <c r="R9" s="394">
        <v>0</v>
      </c>
      <c r="S9" s="391">
        <v>0</v>
      </c>
      <c r="T9" s="395">
        <v>0</v>
      </c>
      <c r="U9" s="396">
        <v>0</v>
      </c>
      <c r="V9" s="393">
        <v>0</v>
      </c>
      <c r="W9" s="393">
        <v>0</v>
      </c>
      <c r="X9" s="393">
        <v>0</v>
      </c>
      <c r="Y9" s="397">
        <v>0</v>
      </c>
      <c r="Z9" s="397">
        <v>0</v>
      </c>
      <c r="AA9" s="398">
        <v>0</v>
      </c>
      <c r="AB9" s="399">
        <v>0</v>
      </c>
      <c r="AC9" s="400">
        <v>0</v>
      </c>
      <c r="AD9" s="400">
        <v>0</v>
      </c>
      <c r="AE9" s="399">
        <v>0</v>
      </c>
      <c r="AF9" s="399">
        <v>0</v>
      </c>
      <c r="AG9" s="399">
        <v>0</v>
      </c>
      <c r="AH9" s="400">
        <v>222.52850620746614</v>
      </c>
      <c r="AI9" s="400">
        <v>510.80371095339456</v>
      </c>
      <c r="AJ9" s="400">
        <v>1093.3222684860229</v>
      </c>
      <c r="AK9" s="400">
        <v>220.39241885344185</v>
      </c>
      <c r="AL9" s="400">
        <v>1374.6258323033655</v>
      </c>
      <c r="AM9" s="400">
        <v>1930.5568246205646</v>
      </c>
      <c r="AN9" s="400">
        <v>479.56040517489112</v>
      </c>
      <c r="AO9" s="400">
        <v>338.6543150583903</v>
      </c>
      <c r="AP9" s="400">
        <v>176.48441836833956</v>
      </c>
      <c r="AQ9" s="400">
        <v>683.06044464111335</v>
      </c>
    </row>
    <row r="10" spans="1:47">
      <c r="A10" s="379">
        <v>40942</v>
      </c>
      <c r="B10" s="390"/>
      <c r="C10" s="391">
        <v>0</v>
      </c>
      <c r="D10" s="391">
        <v>0</v>
      </c>
      <c r="E10" s="391">
        <v>0</v>
      </c>
      <c r="F10" s="391">
        <v>0</v>
      </c>
      <c r="G10" s="391">
        <v>0</v>
      </c>
      <c r="H10" s="392">
        <v>0</v>
      </c>
      <c r="I10" s="390">
        <v>0</v>
      </c>
      <c r="J10" s="391">
        <v>0</v>
      </c>
      <c r="K10" s="391">
        <v>0</v>
      </c>
      <c r="L10" s="391">
        <v>0</v>
      </c>
      <c r="M10" s="391">
        <v>0</v>
      </c>
      <c r="N10" s="392">
        <v>0</v>
      </c>
      <c r="O10" s="390">
        <v>0</v>
      </c>
      <c r="P10" s="391">
        <v>0</v>
      </c>
      <c r="Q10" s="391">
        <v>0</v>
      </c>
      <c r="R10" s="394">
        <v>0</v>
      </c>
      <c r="S10" s="391">
        <v>0</v>
      </c>
      <c r="T10" s="395">
        <v>0</v>
      </c>
      <c r="U10" s="396">
        <v>0</v>
      </c>
      <c r="V10" s="393">
        <v>0</v>
      </c>
      <c r="W10" s="393">
        <v>0</v>
      </c>
      <c r="X10" s="393">
        <v>0</v>
      </c>
      <c r="Y10" s="397">
        <v>0</v>
      </c>
      <c r="Z10" s="397">
        <v>0</v>
      </c>
      <c r="AA10" s="398">
        <v>0</v>
      </c>
      <c r="AB10" s="399">
        <v>0</v>
      </c>
      <c r="AC10" s="400">
        <v>0</v>
      </c>
      <c r="AD10" s="400">
        <v>0</v>
      </c>
      <c r="AE10" s="399">
        <v>0</v>
      </c>
      <c r="AF10" s="399">
        <v>0</v>
      </c>
      <c r="AG10" s="399">
        <v>0</v>
      </c>
      <c r="AH10" s="400">
        <v>260.73484601974485</v>
      </c>
      <c r="AI10" s="400">
        <v>621.23896679878237</v>
      </c>
      <c r="AJ10" s="400">
        <v>1100.1710847218831</v>
      </c>
      <c r="AK10" s="400">
        <v>255.22822569211323</v>
      </c>
      <c r="AL10" s="400">
        <v>1503.994504801432</v>
      </c>
      <c r="AM10" s="400">
        <v>2001.1623043060306</v>
      </c>
      <c r="AN10" s="400">
        <v>534.85438235600782</v>
      </c>
      <c r="AO10" s="400">
        <v>332.93378036816915</v>
      </c>
      <c r="AP10" s="400">
        <v>221.18308583498003</v>
      </c>
      <c r="AQ10" s="400">
        <v>687.01908124287934</v>
      </c>
    </row>
    <row r="11" spans="1:47">
      <c r="A11" s="379">
        <v>40943</v>
      </c>
      <c r="B11" s="390"/>
      <c r="C11" s="391">
        <v>0</v>
      </c>
      <c r="D11" s="391">
        <v>0</v>
      </c>
      <c r="E11" s="391">
        <v>0</v>
      </c>
      <c r="F11" s="391">
        <v>0</v>
      </c>
      <c r="G11" s="391">
        <v>0</v>
      </c>
      <c r="H11" s="392">
        <v>0</v>
      </c>
      <c r="I11" s="390">
        <v>0</v>
      </c>
      <c r="J11" s="391">
        <v>0</v>
      </c>
      <c r="K11" s="391">
        <v>0</v>
      </c>
      <c r="L11" s="391">
        <v>0</v>
      </c>
      <c r="M11" s="391">
        <v>0</v>
      </c>
      <c r="N11" s="392">
        <v>0</v>
      </c>
      <c r="O11" s="390">
        <v>0</v>
      </c>
      <c r="P11" s="391">
        <v>0</v>
      </c>
      <c r="Q11" s="391">
        <v>0</v>
      </c>
      <c r="R11" s="394">
        <v>0</v>
      </c>
      <c r="S11" s="391">
        <v>0</v>
      </c>
      <c r="T11" s="395">
        <v>0</v>
      </c>
      <c r="U11" s="396">
        <v>0</v>
      </c>
      <c r="V11" s="393">
        <v>0</v>
      </c>
      <c r="W11" s="393">
        <v>0</v>
      </c>
      <c r="X11" s="393">
        <v>0</v>
      </c>
      <c r="Y11" s="397">
        <v>0</v>
      </c>
      <c r="Z11" s="397">
        <v>0</v>
      </c>
      <c r="AA11" s="398">
        <v>0</v>
      </c>
      <c r="AB11" s="399">
        <v>0</v>
      </c>
      <c r="AC11" s="400">
        <v>0</v>
      </c>
      <c r="AD11" s="400">
        <v>0</v>
      </c>
      <c r="AE11" s="399">
        <v>0</v>
      </c>
      <c r="AF11" s="399">
        <v>0</v>
      </c>
      <c r="AG11" s="399">
        <v>0</v>
      </c>
      <c r="AH11" s="400">
        <v>263.67424438794455</v>
      </c>
      <c r="AI11" s="400">
        <v>619.00774248441076</v>
      </c>
      <c r="AJ11" s="400">
        <v>1108.4880257924397</v>
      </c>
      <c r="AK11" s="400">
        <v>253.12361188729602</v>
      </c>
      <c r="AL11" s="400">
        <v>1293.9208864847817</v>
      </c>
      <c r="AM11" s="400">
        <v>2008.0899002075193</v>
      </c>
      <c r="AN11" s="400">
        <v>566.88510255813594</v>
      </c>
      <c r="AO11" s="400">
        <v>335.59532537460325</v>
      </c>
      <c r="AP11" s="400">
        <v>213.41037913163501</v>
      </c>
      <c r="AQ11" s="400">
        <v>690.05937337875378</v>
      </c>
    </row>
    <row r="12" spans="1:47">
      <c r="A12" s="379">
        <v>40944</v>
      </c>
      <c r="B12" s="390"/>
      <c r="C12" s="391">
        <v>0</v>
      </c>
      <c r="D12" s="391">
        <v>0</v>
      </c>
      <c r="E12" s="391">
        <v>0</v>
      </c>
      <c r="F12" s="391">
        <v>0</v>
      </c>
      <c r="G12" s="391">
        <v>0</v>
      </c>
      <c r="H12" s="392">
        <v>0</v>
      </c>
      <c r="I12" s="390">
        <v>0</v>
      </c>
      <c r="J12" s="391">
        <v>0</v>
      </c>
      <c r="K12" s="391">
        <v>0</v>
      </c>
      <c r="L12" s="391">
        <v>0</v>
      </c>
      <c r="M12" s="391">
        <v>0</v>
      </c>
      <c r="N12" s="392">
        <v>0</v>
      </c>
      <c r="O12" s="390">
        <v>0</v>
      </c>
      <c r="P12" s="391">
        <v>0</v>
      </c>
      <c r="Q12" s="391">
        <v>0</v>
      </c>
      <c r="R12" s="394">
        <v>0</v>
      </c>
      <c r="S12" s="391">
        <v>0</v>
      </c>
      <c r="T12" s="395">
        <v>0</v>
      </c>
      <c r="U12" s="396">
        <v>0</v>
      </c>
      <c r="V12" s="393">
        <v>0</v>
      </c>
      <c r="W12" s="393">
        <v>0</v>
      </c>
      <c r="X12" s="393">
        <v>0</v>
      </c>
      <c r="Y12" s="397">
        <v>0</v>
      </c>
      <c r="Z12" s="397">
        <v>0</v>
      </c>
      <c r="AA12" s="398">
        <v>0</v>
      </c>
      <c r="AB12" s="399">
        <v>0</v>
      </c>
      <c r="AC12" s="400">
        <v>0</v>
      </c>
      <c r="AD12" s="400">
        <v>0</v>
      </c>
      <c r="AE12" s="399">
        <v>0</v>
      </c>
      <c r="AF12" s="399">
        <v>0</v>
      </c>
      <c r="AG12" s="399">
        <v>0</v>
      </c>
      <c r="AH12" s="400">
        <v>258.37181517283119</v>
      </c>
      <c r="AI12" s="400">
        <v>595.21198277473457</v>
      </c>
      <c r="AJ12" s="400">
        <v>1095.3500741958617</v>
      </c>
      <c r="AK12" s="400">
        <v>250.79947671095528</v>
      </c>
      <c r="AL12" s="400">
        <v>1243.5558820724489</v>
      </c>
      <c r="AM12" s="400">
        <v>1795.0999417622884</v>
      </c>
      <c r="AN12" s="400">
        <v>559.47543837229398</v>
      </c>
      <c r="AO12" s="400">
        <v>348.74858217239381</v>
      </c>
      <c r="AP12" s="400">
        <v>180.48373662630718</v>
      </c>
      <c r="AQ12" s="400">
        <v>701.45578072865828</v>
      </c>
    </row>
    <row r="13" spans="1:47">
      <c r="A13" s="379">
        <v>40945</v>
      </c>
      <c r="B13" s="390"/>
      <c r="C13" s="391">
        <v>0</v>
      </c>
      <c r="D13" s="391">
        <v>0</v>
      </c>
      <c r="E13" s="391">
        <v>0</v>
      </c>
      <c r="F13" s="391">
        <v>0</v>
      </c>
      <c r="G13" s="391">
        <v>0</v>
      </c>
      <c r="H13" s="392">
        <v>0</v>
      </c>
      <c r="I13" s="390">
        <v>0</v>
      </c>
      <c r="J13" s="391">
        <v>0</v>
      </c>
      <c r="K13" s="391">
        <v>0</v>
      </c>
      <c r="L13" s="391">
        <v>0</v>
      </c>
      <c r="M13" s="391">
        <v>0</v>
      </c>
      <c r="N13" s="392">
        <v>0</v>
      </c>
      <c r="O13" s="390">
        <v>0</v>
      </c>
      <c r="P13" s="391">
        <v>0</v>
      </c>
      <c r="Q13" s="391">
        <v>0</v>
      </c>
      <c r="R13" s="394">
        <v>0</v>
      </c>
      <c r="S13" s="391">
        <v>0</v>
      </c>
      <c r="T13" s="395">
        <v>0</v>
      </c>
      <c r="U13" s="396">
        <v>0</v>
      </c>
      <c r="V13" s="393">
        <v>0</v>
      </c>
      <c r="W13" s="393">
        <v>0</v>
      </c>
      <c r="X13" s="393">
        <v>0</v>
      </c>
      <c r="Y13" s="397">
        <v>0</v>
      </c>
      <c r="Z13" s="397">
        <v>0</v>
      </c>
      <c r="AA13" s="398">
        <v>0</v>
      </c>
      <c r="AB13" s="399">
        <v>0</v>
      </c>
      <c r="AC13" s="400">
        <v>0</v>
      </c>
      <c r="AD13" s="400">
        <v>0</v>
      </c>
      <c r="AE13" s="399">
        <v>0</v>
      </c>
      <c r="AF13" s="399">
        <v>0</v>
      </c>
      <c r="AG13" s="399">
        <v>0</v>
      </c>
      <c r="AH13" s="400">
        <v>276.43472944895422</v>
      </c>
      <c r="AI13" s="400">
        <v>618.30357333819063</v>
      </c>
      <c r="AJ13" s="400">
        <v>1054.2356312433876</v>
      </c>
      <c r="AK13" s="400">
        <v>249.56333576043446</v>
      </c>
      <c r="AL13" s="400">
        <v>1349.5106784820557</v>
      </c>
      <c r="AM13" s="400">
        <v>1804.1149557749429</v>
      </c>
      <c r="AN13" s="400">
        <v>559.37467101414995</v>
      </c>
      <c r="AO13" s="400">
        <v>344.36218245824182</v>
      </c>
      <c r="AP13" s="400">
        <v>304.2957586487135</v>
      </c>
      <c r="AQ13" s="400">
        <v>728.26375083923335</v>
      </c>
    </row>
    <row r="14" spans="1:47">
      <c r="A14" s="379">
        <v>40946</v>
      </c>
      <c r="B14" s="390"/>
      <c r="C14" s="391">
        <v>0</v>
      </c>
      <c r="D14" s="391">
        <v>0</v>
      </c>
      <c r="E14" s="391">
        <v>0</v>
      </c>
      <c r="F14" s="391">
        <v>0</v>
      </c>
      <c r="G14" s="391">
        <v>0</v>
      </c>
      <c r="H14" s="392">
        <v>0</v>
      </c>
      <c r="I14" s="390">
        <v>0</v>
      </c>
      <c r="J14" s="391">
        <v>0</v>
      </c>
      <c r="K14" s="391">
        <v>0</v>
      </c>
      <c r="L14" s="391">
        <v>0</v>
      </c>
      <c r="M14" s="391">
        <v>0</v>
      </c>
      <c r="N14" s="392">
        <v>0</v>
      </c>
      <c r="O14" s="390">
        <v>0</v>
      </c>
      <c r="P14" s="391">
        <v>0</v>
      </c>
      <c r="Q14" s="391">
        <v>0</v>
      </c>
      <c r="R14" s="394">
        <v>0</v>
      </c>
      <c r="S14" s="391">
        <v>0</v>
      </c>
      <c r="T14" s="395">
        <v>0</v>
      </c>
      <c r="U14" s="396">
        <v>0</v>
      </c>
      <c r="V14" s="393">
        <v>0</v>
      </c>
      <c r="W14" s="393">
        <v>0</v>
      </c>
      <c r="X14" s="393">
        <v>0</v>
      </c>
      <c r="Y14" s="397">
        <v>0</v>
      </c>
      <c r="Z14" s="397">
        <v>0</v>
      </c>
      <c r="AA14" s="398">
        <v>0</v>
      </c>
      <c r="AB14" s="399">
        <v>0</v>
      </c>
      <c r="AC14" s="400">
        <v>0</v>
      </c>
      <c r="AD14" s="400">
        <v>0</v>
      </c>
      <c r="AE14" s="399">
        <v>0</v>
      </c>
      <c r="AF14" s="399">
        <v>0</v>
      </c>
      <c r="AG14" s="399">
        <v>0</v>
      </c>
      <c r="AH14" s="400">
        <v>275.0292962233226</v>
      </c>
      <c r="AI14" s="400">
        <v>655.76504762967431</v>
      </c>
      <c r="AJ14" s="400">
        <v>1058.4450333913167</v>
      </c>
      <c r="AK14" s="400">
        <v>255.87236467997235</v>
      </c>
      <c r="AL14" s="400">
        <v>1446.1512835184733</v>
      </c>
      <c r="AM14" s="400">
        <v>1803.4599656422934</v>
      </c>
      <c r="AN14" s="400">
        <v>573.54778695106506</v>
      </c>
      <c r="AO14" s="400">
        <v>339.88596161206567</v>
      </c>
      <c r="AP14" s="400">
        <v>193.83147980372107</v>
      </c>
      <c r="AQ14" s="400">
        <v>695.14898551305134</v>
      </c>
    </row>
    <row r="15" spans="1:47">
      <c r="A15" s="379">
        <v>40947</v>
      </c>
      <c r="B15" s="390"/>
      <c r="C15" s="391">
        <v>0</v>
      </c>
      <c r="D15" s="391">
        <v>0</v>
      </c>
      <c r="E15" s="391">
        <v>0</v>
      </c>
      <c r="F15" s="391">
        <v>0</v>
      </c>
      <c r="G15" s="391">
        <v>0</v>
      </c>
      <c r="H15" s="392">
        <v>0</v>
      </c>
      <c r="I15" s="390">
        <v>0</v>
      </c>
      <c r="J15" s="391">
        <v>0</v>
      </c>
      <c r="K15" s="391">
        <v>0</v>
      </c>
      <c r="L15" s="391">
        <v>0</v>
      </c>
      <c r="M15" s="391">
        <v>0</v>
      </c>
      <c r="N15" s="392">
        <v>0</v>
      </c>
      <c r="O15" s="390">
        <v>0</v>
      </c>
      <c r="P15" s="391">
        <v>0</v>
      </c>
      <c r="Q15" s="391">
        <v>0</v>
      </c>
      <c r="R15" s="394">
        <v>0</v>
      </c>
      <c r="S15" s="391">
        <v>0</v>
      </c>
      <c r="T15" s="395">
        <v>0</v>
      </c>
      <c r="U15" s="396">
        <v>0</v>
      </c>
      <c r="V15" s="393">
        <v>0</v>
      </c>
      <c r="W15" s="393">
        <v>0</v>
      </c>
      <c r="X15" s="393">
        <v>0</v>
      </c>
      <c r="Y15" s="397">
        <v>0</v>
      </c>
      <c r="Z15" s="397">
        <v>0</v>
      </c>
      <c r="AA15" s="398">
        <v>0</v>
      </c>
      <c r="AB15" s="399">
        <v>0</v>
      </c>
      <c r="AC15" s="400">
        <v>0</v>
      </c>
      <c r="AD15" s="400">
        <v>0</v>
      </c>
      <c r="AE15" s="399">
        <v>0</v>
      </c>
      <c r="AF15" s="399">
        <v>0</v>
      </c>
      <c r="AG15" s="399">
        <v>0</v>
      </c>
      <c r="AH15" s="400">
        <v>274.53348922729492</v>
      </c>
      <c r="AI15" s="400">
        <v>630.06118842760725</v>
      </c>
      <c r="AJ15" s="400">
        <v>1091.1081935246787</v>
      </c>
      <c r="AK15" s="400">
        <v>250.50135417779296</v>
      </c>
      <c r="AL15" s="400">
        <v>1475.6230587641398</v>
      </c>
      <c r="AM15" s="400">
        <v>1781.7319295247396</v>
      </c>
      <c r="AN15" s="400">
        <v>565.15677886009212</v>
      </c>
      <c r="AO15" s="400">
        <v>339.66803741455078</v>
      </c>
      <c r="AP15" s="400">
        <v>186.78917862971625</v>
      </c>
      <c r="AQ15" s="400">
        <v>701.91271117528277</v>
      </c>
    </row>
    <row r="16" spans="1:47">
      <c r="A16" s="379">
        <v>40948</v>
      </c>
      <c r="B16" s="390"/>
      <c r="C16" s="391">
        <v>0</v>
      </c>
      <c r="D16" s="391">
        <v>0</v>
      </c>
      <c r="E16" s="391">
        <v>0</v>
      </c>
      <c r="F16" s="391">
        <v>0</v>
      </c>
      <c r="G16" s="391">
        <v>0</v>
      </c>
      <c r="H16" s="392">
        <v>0</v>
      </c>
      <c r="I16" s="390">
        <v>0</v>
      </c>
      <c r="J16" s="391">
        <v>0</v>
      </c>
      <c r="K16" s="391">
        <v>0</v>
      </c>
      <c r="L16" s="391">
        <v>0</v>
      </c>
      <c r="M16" s="391">
        <v>0</v>
      </c>
      <c r="N16" s="392">
        <v>0</v>
      </c>
      <c r="O16" s="390">
        <v>0</v>
      </c>
      <c r="P16" s="391">
        <v>0</v>
      </c>
      <c r="Q16" s="391">
        <v>0</v>
      </c>
      <c r="R16" s="394">
        <v>0</v>
      </c>
      <c r="S16" s="391">
        <v>0</v>
      </c>
      <c r="T16" s="395">
        <v>0</v>
      </c>
      <c r="U16" s="396">
        <v>0</v>
      </c>
      <c r="V16" s="393">
        <v>0</v>
      </c>
      <c r="W16" s="393">
        <v>0</v>
      </c>
      <c r="X16" s="393">
        <v>0</v>
      </c>
      <c r="Y16" s="397">
        <v>0</v>
      </c>
      <c r="Z16" s="397">
        <v>0</v>
      </c>
      <c r="AA16" s="398">
        <v>0</v>
      </c>
      <c r="AB16" s="399">
        <v>0</v>
      </c>
      <c r="AC16" s="400">
        <v>0</v>
      </c>
      <c r="AD16" s="400">
        <v>0</v>
      </c>
      <c r="AE16" s="399">
        <v>0</v>
      </c>
      <c r="AF16" s="399">
        <v>0</v>
      </c>
      <c r="AG16" s="399">
        <v>0</v>
      </c>
      <c r="AH16" s="400">
        <v>251.71864963372551</v>
      </c>
      <c r="AI16" s="400">
        <v>575.68142107327776</v>
      </c>
      <c r="AJ16" s="400">
        <v>1147.6661315282183</v>
      </c>
      <c r="AK16" s="400">
        <v>235.86501009464266</v>
      </c>
      <c r="AL16" s="400">
        <v>1209.3968657811483</v>
      </c>
      <c r="AM16" s="400">
        <v>1738.119105529785</v>
      </c>
      <c r="AN16" s="400">
        <v>524.26930405298856</v>
      </c>
      <c r="AO16" s="400">
        <v>410.80951325098675</v>
      </c>
      <c r="AP16" s="400">
        <v>171.00719898541769</v>
      </c>
      <c r="AQ16" s="400">
        <v>718.72979809443154</v>
      </c>
    </row>
    <row r="17" spans="1:43">
      <c r="A17" s="379">
        <v>40949</v>
      </c>
      <c r="B17" s="380"/>
      <c r="C17" s="381">
        <v>0</v>
      </c>
      <c r="D17" s="381">
        <v>0</v>
      </c>
      <c r="E17" s="381">
        <v>0</v>
      </c>
      <c r="F17" s="381">
        <v>0</v>
      </c>
      <c r="G17" s="381">
        <v>0</v>
      </c>
      <c r="H17" s="382">
        <v>0</v>
      </c>
      <c r="I17" s="380">
        <v>0</v>
      </c>
      <c r="J17" s="381">
        <v>0</v>
      </c>
      <c r="K17" s="381">
        <v>0</v>
      </c>
      <c r="L17" s="391">
        <v>0</v>
      </c>
      <c r="M17" s="381">
        <v>0</v>
      </c>
      <c r="N17" s="382">
        <v>0</v>
      </c>
      <c r="O17" s="380">
        <v>0</v>
      </c>
      <c r="P17" s="381">
        <v>0</v>
      </c>
      <c r="Q17" s="381">
        <v>0</v>
      </c>
      <c r="R17" s="401">
        <v>0</v>
      </c>
      <c r="S17" s="381">
        <v>0</v>
      </c>
      <c r="T17" s="383">
        <v>0</v>
      </c>
      <c r="U17" s="402">
        <v>0</v>
      </c>
      <c r="V17" s="397">
        <v>0</v>
      </c>
      <c r="W17" s="393">
        <v>0</v>
      </c>
      <c r="X17" s="393">
        <v>0</v>
      </c>
      <c r="Y17" s="397">
        <v>0</v>
      </c>
      <c r="Z17" s="397">
        <v>0</v>
      </c>
      <c r="AA17" s="398">
        <v>0</v>
      </c>
      <c r="AB17" s="399">
        <v>0</v>
      </c>
      <c r="AC17" s="400">
        <v>0</v>
      </c>
      <c r="AD17" s="400">
        <v>0</v>
      </c>
      <c r="AE17" s="399">
        <v>0</v>
      </c>
      <c r="AF17" s="399">
        <v>0</v>
      </c>
      <c r="AG17" s="399">
        <v>0</v>
      </c>
      <c r="AH17" s="400">
        <v>242.21234310468034</v>
      </c>
      <c r="AI17" s="400">
        <v>580.32506097157795</v>
      </c>
      <c r="AJ17" s="400">
        <v>1114.6066259384154</v>
      </c>
      <c r="AK17" s="400">
        <v>237.01536264419559</v>
      </c>
      <c r="AL17" s="400">
        <v>1216.7734132766723</v>
      </c>
      <c r="AM17" s="400">
        <v>1708.551710510254</v>
      </c>
      <c r="AN17" s="400">
        <v>518.25009179115295</v>
      </c>
      <c r="AO17" s="400">
        <v>484.03718156814574</v>
      </c>
      <c r="AP17" s="400">
        <v>161.27957715193429</v>
      </c>
      <c r="AQ17" s="400">
        <v>713.69126160939538</v>
      </c>
    </row>
    <row r="18" spans="1:43">
      <c r="A18" s="379">
        <v>40950</v>
      </c>
      <c r="B18" s="390"/>
      <c r="C18" s="391">
        <v>0</v>
      </c>
      <c r="D18" s="391">
        <v>0</v>
      </c>
      <c r="E18" s="391">
        <v>0</v>
      </c>
      <c r="F18" s="391">
        <v>0</v>
      </c>
      <c r="G18" s="391">
        <v>0</v>
      </c>
      <c r="H18" s="392">
        <v>0</v>
      </c>
      <c r="I18" s="390">
        <v>0</v>
      </c>
      <c r="J18" s="391">
        <v>0</v>
      </c>
      <c r="K18" s="391">
        <v>0</v>
      </c>
      <c r="L18" s="391">
        <v>0</v>
      </c>
      <c r="M18" s="391">
        <v>0</v>
      </c>
      <c r="N18" s="392">
        <v>0</v>
      </c>
      <c r="O18" s="390">
        <v>0</v>
      </c>
      <c r="P18" s="391">
        <v>0</v>
      </c>
      <c r="Q18" s="391">
        <v>0</v>
      </c>
      <c r="R18" s="394">
        <v>0</v>
      </c>
      <c r="S18" s="391">
        <v>0</v>
      </c>
      <c r="T18" s="395">
        <v>0</v>
      </c>
      <c r="U18" s="396">
        <v>0</v>
      </c>
      <c r="V18" s="393">
        <v>0</v>
      </c>
      <c r="W18" s="393">
        <v>0</v>
      </c>
      <c r="X18" s="393">
        <v>0</v>
      </c>
      <c r="Y18" s="397">
        <v>0</v>
      </c>
      <c r="Z18" s="397">
        <v>0</v>
      </c>
      <c r="AA18" s="398">
        <v>0</v>
      </c>
      <c r="AB18" s="399">
        <v>0</v>
      </c>
      <c r="AC18" s="400">
        <v>0</v>
      </c>
      <c r="AD18" s="400">
        <v>0</v>
      </c>
      <c r="AE18" s="399">
        <v>0</v>
      </c>
      <c r="AF18" s="399">
        <v>0</v>
      </c>
      <c r="AG18" s="399">
        <v>0</v>
      </c>
      <c r="AH18" s="400">
        <v>274.50719555219018</v>
      </c>
      <c r="AI18" s="400">
        <v>657.00433815320332</v>
      </c>
      <c r="AJ18" s="400">
        <v>1064.4209856033324</v>
      </c>
      <c r="AK18" s="400">
        <v>261.3661121924718</v>
      </c>
      <c r="AL18" s="400">
        <v>1167.5258926391602</v>
      </c>
      <c r="AM18" s="400">
        <v>1733.6357002258305</v>
      </c>
      <c r="AN18" s="400">
        <v>557.66486600240069</v>
      </c>
      <c r="AO18" s="400">
        <v>410.68986511230469</v>
      </c>
      <c r="AP18" s="400">
        <v>172.01418543855351</v>
      </c>
      <c r="AQ18" s="400">
        <v>681.34046875635772</v>
      </c>
    </row>
    <row r="19" spans="1:43">
      <c r="A19" s="379">
        <v>40951</v>
      </c>
      <c r="B19" s="390"/>
      <c r="C19" s="391">
        <v>0</v>
      </c>
      <c r="D19" s="391">
        <v>0</v>
      </c>
      <c r="E19" s="391">
        <v>0</v>
      </c>
      <c r="F19" s="391">
        <v>0</v>
      </c>
      <c r="G19" s="391">
        <v>0</v>
      </c>
      <c r="H19" s="392">
        <v>0</v>
      </c>
      <c r="I19" s="390">
        <v>0</v>
      </c>
      <c r="J19" s="391">
        <v>0</v>
      </c>
      <c r="K19" s="391">
        <v>0</v>
      </c>
      <c r="L19" s="391">
        <v>0</v>
      </c>
      <c r="M19" s="391">
        <v>0</v>
      </c>
      <c r="N19" s="392">
        <v>0</v>
      </c>
      <c r="O19" s="390">
        <v>0</v>
      </c>
      <c r="P19" s="391">
        <v>0</v>
      </c>
      <c r="Q19" s="391">
        <v>0</v>
      </c>
      <c r="R19" s="394">
        <v>0</v>
      </c>
      <c r="S19" s="391">
        <v>0</v>
      </c>
      <c r="T19" s="395">
        <v>0</v>
      </c>
      <c r="U19" s="396">
        <v>0</v>
      </c>
      <c r="V19" s="393">
        <v>0</v>
      </c>
      <c r="W19" s="393">
        <v>0</v>
      </c>
      <c r="X19" s="393">
        <v>0</v>
      </c>
      <c r="Y19" s="397">
        <v>0</v>
      </c>
      <c r="Z19" s="397">
        <v>0</v>
      </c>
      <c r="AA19" s="398">
        <v>0</v>
      </c>
      <c r="AB19" s="399">
        <v>0</v>
      </c>
      <c r="AC19" s="400">
        <v>0</v>
      </c>
      <c r="AD19" s="400">
        <v>0</v>
      </c>
      <c r="AE19" s="399">
        <v>0</v>
      </c>
      <c r="AF19" s="399">
        <v>0</v>
      </c>
      <c r="AG19" s="399">
        <v>0</v>
      </c>
      <c r="AH19" s="400">
        <v>279.55456371307372</v>
      </c>
      <c r="AI19" s="400">
        <v>654.83757376670849</v>
      </c>
      <c r="AJ19" s="400">
        <v>1123.4701636632285</v>
      </c>
      <c r="AK19" s="400">
        <v>260.31213938395183</v>
      </c>
      <c r="AL19" s="400">
        <v>1195.3209607442222</v>
      </c>
      <c r="AM19" s="400">
        <v>1726.9843332926437</v>
      </c>
      <c r="AN19" s="400">
        <v>558.80593760808301</v>
      </c>
      <c r="AO19" s="400">
        <v>410.68986511230469</v>
      </c>
      <c r="AP19" s="400">
        <v>167.89765050013861</v>
      </c>
      <c r="AQ19" s="400">
        <v>666.89739987055441</v>
      </c>
    </row>
    <row r="20" spans="1:43">
      <c r="A20" s="379">
        <v>40952</v>
      </c>
      <c r="B20" s="390"/>
      <c r="C20" s="391">
        <v>0</v>
      </c>
      <c r="D20" s="391">
        <v>0</v>
      </c>
      <c r="E20" s="391">
        <v>0</v>
      </c>
      <c r="F20" s="391">
        <v>0</v>
      </c>
      <c r="G20" s="391">
        <v>0</v>
      </c>
      <c r="H20" s="392">
        <v>0</v>
      </c>
      <c r="I20" s="390">
        <v>0</v>
      </c>
      <c r="J20" s="391">
        <v>0</v>
      </c>
      <c r="K20" s="391">
        <v>0</v>
      </c>
      <c r="L20" s="391">
        <v>0</v>
      </c>
      <c r="M20" s="391">
        <v>0</v>
      </c>
      <c r="N20" s="392">
        <v>0</v>
      </c>
      <c r="O20" s="390">
        <v>0</v>
      </c>
      <c r="P20" s="391">
        <v>0</v>
      </c>
      <c r="Q20" s="391">
        <v>0</v>
      </c>
      <c r="R20" s="394">
        <v>0</v>
      </c>
      <c r="S20" s="391">
        <v>0</v>
      </c>
      <c r="T20" s="395">
        <v>0</v>
      </c>
      <c r="U20" s="396">
        <v>0</v>
      </c>
      <c r="V20" s="393">
        <v>0</v>
      </c>
      <c r="W20" s="393">
        <v>0</v>
      </c>
      <c r="X20" s="393">
        <v>0</v>
      </c>
      <c r="Y20" s="397">
        <v>0</v>
      </c>
      <c r="Z20" s="397">
        <v>0</v>
      </c>
      <c r="AA20" s="398">
        <v>0</v>
      </c>
      <c r="AB20" s="399">
        <v>0</v>
      </c>
      <c r="AC20" s="400">
        <v>0</v>
      </c>
      <c r="AD20" s="400">
        <v>0</v>
      </c>
      <c r="AE20" s="399">
        <v>0</v>
      </c>
      <c r="AF20" s="399">
        <v>0</v>
      </c>
      <c r="AG20" s="399">
        <v>0</v>
      </c>
      <c r="AH20" s="400">
        <v>243.47078770001733</v>
      </c>
      <c r="AI20" s="400">
        <v>577.46424563725793</v>
      </c>
      <c r="AJ20" s="400">
        <v>1133.2650021235147</v>
      </c>
      <c r="AK20" s="400">
        <v>227.50880250136058</v>
      </c>
      <c r="AL20" s="400">
        <v>964.15403127670311</v>
      </c>
      <c r="AM20" s="400">
        <v>1687.2245279947917</v>
      </c>
      <c r="AN20" s="400">
        <v>509.22886576652525</v>
      </c>
      <c r="AO20" s="400">
        <v>398.23604194323224</v>
      </c>
      <c r="AP20" s="400">
        <v>136.58550055623053</v>
      </c>
      <c r="AQ20" s="400">
        <v>698.59494899113974</v>
      </c>
    </row>
    <row r="21" spans="1:43">
      <c r="A21" s="379">
        <v>40953</v>
      </c>
      <c r="B21" s="390"/>
      <c r="C21" s="391">
        <v>0</v>
      </c>
      <c r="D21" s="391">
        <v>0</v>
      </c>
      <c r="E21" s="391">
        <v>0</v>
      </c>
      <c r="F21" s="391">
        <v>0</v>
      </c>
      <c r="G21" s="391">
        <v>0</v>
      </c>
      <c r="H21" s="392">
        <v>0</v>
      </c>
      <c r="I21" s="390">
        <v>0</v>
      </c>
      <c r="J21" s="391">
        <v>0</v>
      </c>
      <c r="K21" s="391">
        <v>0</v>
      </c>
      <c r="L21" s="391">
        <v>0</v>
      </c>
      <c r="M21" s="391">
        <v>0</v>
      </c>
      <c r="N21" s="392">
        <v>0</v>
      </c>
      <c r="O21" s="390">
        <v>0</v>
      </c>
      <c r="P21" s="391">
        <v>0</v>
      </c>
      <c r="Q21" s="391">
        <v>0</v>
      </c>
      <c r="R21" s="394">
        <v>0</v>
      </c>
      <c r="S21" s="391">
        <v>0</v>
      </c>
      <c r="T21" s="395">
        <v>0</v>
      </c>
      <c r="U21" s="396">
        <v>0</v>
      </c>
      <c r="V21" s="393">
        <v>0</v>
      </c>
      <c r="W21" s="393">
        <v>0</v>
      </c>
      <c r="X21" s="393">
        <v>0</v>
      </c>
      <c r="Y21" s="397">
        <v>0</v>
      </c>
      <c r="Z21" s="397">
        <v>0</v>
      </c>
      <c r="AA21" s="398">
        <v>0</v>
      </c>
      <c r="AB21" s="399">
        <v>0</v>
      </c>
      <c r="AC21" s="400">
        <v>0</v>
      </c>
      <c r="AD21" s="400">
        <v>0</v>
      </c>
      <c r="AE21" s="399">
        <v>0</v>
      </c>
      <c r="AF21" s="399">
        <v>0</v>
      </c>
      <c r="AG21" s="399">
        <v>0</v>
      </c>
      <c r="AH21" s="400">
        <v>254.33044027487438</v>
      </c>
      <c r="AI21" s="400">
        <v>571.97591416041053</v>
      </c>
      <c r="AJ21" s="400">
        <v>1177.7612313588459</v>
      </c>
      <c r="AK21" s="400">
        <v>224.20051359335582</v>
      </c>
      <c r="AL21" s="400">
        <v>1015.1036561965942</v>
      </c>
      <c r="AM21" s="400">
        <v>1618.2153598149616</v>
      </c>
      <c r="AN21" s="400">
        <v>502.3872296333314</v>
      </c>
      <c r="AO21" s="400">
        <v>411.49492750167849</v>
      </c>
      <c r="AP21" s="400">
        <v>132.21856537858645</v>
      </c>
      <c r="AQ21" s="400">
        <v>707.72520186106374</v>
      </c>
    </row>
    <row r="22" spans="1:43">
      <c r="A22" s="379">
        <v>40954</v>
      </c>
      <c r="B22" s="390"/>
      <c r="C22" s="391">
        <v>0</v>
      </c>
      <c r="D22" s="391">
        <v>0</v>
      </c>
      <c r="E22" s="391">
        <v>0</v>
      </c>
      <c r="F22" s="391">
        <v>0</v>
      </c>
      <c r="G22" s="391">
        <v>0</v>
      </c>
      <c r="H22" s="392">
        <v>0</v>
      </c>
      <c r="I22" s="390">
        <v>0</v>
      </c>
      <c r="J22" s="391">
        <v>0</v>
      </c>
      <c r="K22" s="391">
        <v>0</v>
      </c>
      <c r="L22" s="391">
        <v>0</v>
      </c>
      <c r="M22" s="391">
        <v>0</v>
      </c>
      <c r="N22" s="392">
        <v>0</v>
      </c>
      <c r="O22" s="390">
        <v>0</v>
      </c>
      <c r="P22" s="391">
        <v>0</v>
      </c>
      <c r="Q22" s="391">
        <v>0</v>
      </c>
      <c r="R22" s="394">
        <v>0</v>
      </c>
      <c r="S22" s="391">
        <v>0</v>
      </c>
      <c r="T22" s="395">
        <v>0</v>
      </c>
      <c r="U22" s="396">
        <v>0</v>
      </c>
      <c r="V22" s="393">
        <v>0</v>
      </c>
      <c r="W22" s="393">
        <v>0</v>
      </c>
      <c r="X22" s="393">
        <v>0</v>
      </c>
      <c r="Y22" s="397">
        <v>0</v>
      </c>
      <c r="Z22" s="397">
        <v>0</v>
      </c>
      <c r="AA22" s="398">
        <v>0</v>
      </c>
      <c r="AB22" s="399">
        <v>0</v>
      </c>
      <c r="AC22" s="400">
        <v>0</v>
      </c>
      <c r="AD22" s="400">
        <v>0</v>
      </c>
      <c r="AE22" s="399">
        <v>0</v>
      </c>
      <c r="AF22" s="399">
        <v>0</v>
      </c>
      <c r="AG22" s="399">
        <v>0</v>
      </c>
      <c r="AH22" s="400">
        <v>277.68998735745748</v>
      </c>
      <c r="AI22" s="400">
        <v>646.73214991887414</v>
      </c>
      <c r="AJ22" s="400">
        <v>1120.8988032658897</v>
      </c>
      <c r="AK22" s="400">
        <v>234.94952201843259</v>
      </c>
      <c r="AL22" s="400">
        <v>1165.3116121292114</v>
      </c>
      <c r="AM22" s="400">
        <v>1604.7030372619631</v>
      </c>
      <c r="AN22" s="400">
        <v>522.2235746383667</v>
      </c>
      <c r="AO22" s="400">
        <v>405.00992809931438</v>
      </c>
      <c r="AP22" s="400">
        <v>419.45448019305877</v>
      </c>
      <c r="AQ22" s="400">
        <v>735.44452587763465</v>
      </c>
    </row>
    <row r="23" spans="1:43">
      <c r="A23" s="379">
        <v>40955</v>
      </c>
      <c r="B23" s="390"/>
      <c r="C23" s="391">
        <v>0</v>
      </c>
      <c r="D23" s="391">
        <v>0</v>
      </c>
      <c r="E23" s="391">
        <v>0</v>
      </c>
      <c r="F23" s="391">
        <v>0</v>
      </c>
      <c r="G23" s="391">
        <v>0</v>
      </c>
      <c r="H23" s="392">
        <v>0</v>
      </c>
      <c r="I23" s="390">
        <v>0</v>
      </c>
      <c r="J23" s="391">
        <v>0</v>
      </c>
      <c r="K23" s="391">
        <v>0</v>
      </c>
      <c r="L23" s="391">
        <v>0</v>
      </c>
      <c r="M23" s="391">
        <v>0</v>
      </c>
      <c r="N23" s="392">
        <v>0</v>
      </c>
      <c r="O23" s="390">
        <v>0</v>
      </c>
      <c r="P23" s="391">
        <v>0</v>
      </c>
      <c r="Q23" s="391">
        <v>0</v>
      </c>
      <c r="R23" s="394">
        <v>0</v>
      </c>
      <c r="S23" s="391">
        <v>0</v>
      </c>
      <c r="T23" s="395">
        <v>0</v>
      </c>
      <c r="U23" s="396">
        <v>0</v>
      </c>
      <c r="V23" s="393">
        <v>0</v>
      </c>
      <c r="W23" s="393">
        <v>0</v>
      </c>
      <c r="X23" s="393">
        <v>0</v>
      </c>
      <c r="Y23" s="397">
        <v>0</v>
      </c>
      <c r="Z23" s="397">
        <v>0</v>
      </c>
      <c r="AA23" s="398">
        <v>0</v>
      </c>
      <c r="AB23" s="399">
        <v>0</v>
      </c>
      <c r="AC23" s="400">
        <v>0</v>
      </c>
      <c r="AD23" s="400">
        <v>0</v>
      </c>
      <c r="AE23" s="399">
        <v>0</v>
      </c>
      <c r="AF23" s="399">
        <v>0</v>
      </c>
      <c r="AG23" s="399">
        <v>0</v>
      </c>
      <c r="AH23" s="400">
        <v>269.23199821313227</v>
      </c>
      <c r="AI23" s="400">
        <v>602.55144837697344</v>
      </c>
      <c r="AJ23" s="400">
        <v>1149.9622536341349</v>
      </c>
      <c r="AK23" s="400">
        <v>232.73256149291993</v>
      </c>
      <c r="AL23" s="400">
        <v>1257.4372466405232</v>
      </c>
      <c r="AM23" s="400">
        <v>1638.4942188262937</v>
      </c>
      <c r="AN23" s="400">
        <v>501.80797225634262</v>
      </c>
      <c r="AO23" s="400">
        <v>403.57663259506228</v>
      </c>
      <c r="AP23" s="400">
        <v>142.8887535293897</v>
      </c>
      <c r="AQ23" s="400">
        <v>682.00193055470788</v>
      </c>
    </row>
    <row r="24" spans="1:43">
      <c r="A24" s="379">
        <v>40956</v>
      </c>
      <c r="B24" s="390"/>
      <c r="C24" s="391">
        <v>0</v>
      </c>
      <c r="D24" s="391">
        <v>0</v>
      </c>
      <c r="E24" s="391">
        <v>0</v>
      </c>
      <c r="F24" s="391">
        <v>0</v>
      </c>
      <c r="G24" s="391">
        <v>0</v>
      </c>
      <c r="H24" s="392">
        <v>0</v>
      </c>
      <c r="I24" s="390">
        <v>0</v>
      </c>
      <c r="J24" s="391">
        <v>0</v>
      </c>
      <c r="K24" s="391">
        <v>0</v>
      </c>
      <c r="L24" s="391">
        <v>0</v>
      </c>
      <c r="M24" s="391">
        <v>0</v>
      </c>
      <c r="N24" s="392">
        <v>0</v>
      </c>
      <c r="O24" s="390">
        <v>0</v>
      </c>
      <c r="P24" s="391">
        <v>0</v>
      </c>
      <c r="Q24" s="391">
        <v>0</v>
      </c>
      <c r="R24" s="394">
        <v>0</v>
      </c>
      <c r="S24" s="391">
        <v>0</v>
      </c>
      <c r="T24" s="395">
        <v>0</v>
      </c>
      <c r="U24" s="396">
        <v>0</v>
      </c>
      <c r="V24" s="393">
        <v>0</v>
      </c>
      <c r="W24" s="393">
        <v>0</v>
      </c>
      <c r="X24" s="393">
        <v>0</v>
      </c>
      <c r="Y24" s="397">
        <v>0</v>
      </c>
      <c r="Z24" s="397">
        <v>0</v>
      </c>
      <c r="AA24" s="398">
        <v>0</v>
      </c>
      <c r="AB24" s="399">
        <v>0</v>
      </c>
      <c r="AC24" s="400">
        <v>0</v>
      </c>
      <c r="AD24" s="400">
        <v>0</v>
      </c>
      <c r="AE24" s="399">
        <v>0</v>
      </c>
      <c r="AF24" s="399">
        <v>0</v>
      </c>
      <c r="AG24" s="399">
        <v>0</v>
      </c>
      <c r="AH24" s="400">
        <v>269.48993368148803</v>
      </c>
      <c r="AI24" s="400">
        <v>607.79652345975239</v>
      </c>
      <c r="AJ24" s="400">
        <v>1113.3978022257486</v>
      </c>
      <c r="AK24" s="400">
        <v>229.38653655052181</v>
      </c>
      <c r="AL24" s="400">
        <v>1267.0542161305748</v>
      </c>
      <c r="AM24" s="400">
        <v>1523.6995756149292</v>
      </c>
      <c r="AN24" s="400">
        <v>509.21516151428216</v>
      </c>
      <c r="AO24" s="400">
        <v>403.49926643371583</v>
      </c>
      <c r="AP24" s="400">
        <v>137.71173095703125</v>
      </c>
      <c r="AQ24" s="400">
        <v>691.18043832778915</v>
      </c>
    </row>
    <row r="25" spans="1:43">
      <c r="A25" s="379">
        <v>40957</v>
      </c>
      <c r="B25" s="390"/>
      <c r="C25" s="391">
        <v>0</v>
      </c>
      <c r="D25" s="391">
        <v>0</v>
      </c>
      <c r="E25" s="391">
        <v>0</v>
      </c>
      <c r="F25" s="391">
        <v>0</v>
      </c>
      <c r="G25" s="391">
        <v>0</v>
      </c>
      <c r="H25" s="392">
        <v>0</v>
      </c>
      <c r="I25" s="390">
        <v>0</v>
      </c>
      <c r="J25" s="391">
        <v>0</v>
      </c>
      <c r="K25" s="391">
        <v>0</v>
      </c>
      <c r="L25" s="391">
        <v>0</v>
      </c>
      <c r="M25" s="391">
        <v>0</v>
      </c>
      <c r="N25" s="392">
        <v>0</v>
      </c>
      <c r="O25" s="390">
        <v>0</v>
      </c>
      <c r="P25" s="391">
        <v>0</v>
      </c>
      <c r="Q25" s="391">
        <v>0</v>
      </c>
      <c r="R25" s="394">
        <v>0</v>
      </c>
      <c r="S25" s="391">
        <v>0</v>
      </c>
      <c r="T25" s="395">
        <v>0</v>
      </c>
      <c r="U25" s="396">
        <v>0</v>
      </c>
      <c r="V25" s="393">
        <v>0</v>
      </c>
      <c r="W25" s="393">
        <v>0</v>
      </c>
      <c r="X25" s="393">
        <v>0</v>
      </c>
      <c r="Y25" s="397">
        <v>0</v>
      </c>
      <c r="Z25" s="397">
        <v>0</v>
      </c>
      <c r="AA25" s="398">
        <v>0</v>
      </c>
      <c r="AB25" s="399">
        <v>0</v>
      </c>
      <c r="AC25" s="400">
        <v>0</v>
      </c>
      <c r="AD25" s="400">
        <v>0</v>
      </c>
      <c r="AE25" s="399">
        <v>0</v>
      </c>
      <c r="AF25" s="399">
        <v>0</v>
      </c>
      <c r="AG25" s="399">
        <v>0</v>
      </c>
      <c r="AH25" s="400">
        <v>268.68888801733652</v>
      </c>
      <c r="AI25" s="400">
        <v>608.28262114524841</v>
      </c>
      <c r="AJ25" s="400">
        <v>1077.065442911784</v>
      </c>
      <c r="AK25" s="400">
        <v>233.32303758462271</v>
      </c>
      <c r="AL25" s="400">
        <v>1271.8428377151488</v>
      </c>
      <c r="AM25" s="400">
        <v>1590.0783805847163</v>
      </c>
      <c r="AN25" s="400">
        <v>523.86422195434568</v>
      </c>
      <c r="AO25" s="400">
        <v>406.44960021972656</v>
      </c>
      <c r="AP25" s="400">
        <v>140.13694408337275</v>
      </c>
      <c r="AQ25" s="400">
        <v>682.57799415588374</v>
      </c>
    </row>
    <row r="26" spans="1:43">
      <c r="A26" s="379">
        <v>40958</v>
      </c>
      <c r="B26" s="390"/>
      <c r="C26" s="391">
        <v>0</v>
      </c>
      <c r="D26" s="391">
        <v>0</v>
      </c>
      <c r="E26" s="391">
        <v>0</v>
      </c>
      <c r="F26" s="391">
        <v>0</v>
      </c>
      <c r="G26" s="391">
        <v>0</v>
      </c>
      <c r="H26" s="392">
        <v>0</v>
      </c>
      <c r="I26" s="390">
        <v>0</v>
      </c>
      <c r="J26" s="391">
        <v>0</v>
      </c>
      <c r="K26" s="391">
        <v>0</v>
      </c>
      <c r="L26" s="391">
        <v>0</v>
      </c>
      <c r="M26" s="391">
        <v>0</v>
      </c>
      <c r="N26" s="392">
        <v>0</v>
      </c>
      <c r="O26" s="390">
        <v>0</v>
      </c>
      <c r="P26" s="391">
        <v>0</v>
      </c>
      <c r="Q26" s="391">
        <v>0</v>
      </c>
      <c r="R26" s="394">
        <v>0</v>
      </c>
      <c r="S26" s="391">
        <v>0</v>
      </c>
      <c r="T26" s="395">
        <v>0</v>
      </c>
      <c r="U26" s="396">
        <v>0</v>
      </c>
      <c r="V26" s="393">
        <v>0</v>
      </c>
      <c r="W26" s="393">
        <v>0</v>
      </c>
      <c r="X26" s="393">
        <v>0</v>
      </c>
      <c r="Y26" s="397">
        <v>0</v>
      </c>
      <c r="Z26" s="397">
        <v>0</v>
      </c>
      <c r="AA26" s="398">
        <v>0</v>
      </c>
      <c r="AB26" s="399">
        <v>0</v>
      </c>
      <c r="AC26" s="400">
        <v>0</v>
      </c>
      <c r="AD26" s="400">
        <v>0</v>
      </c>
      <c r="AE26" s="399">
        <v>0</v>
      </c>
      <c r="AF26" s="399">
        <v>0</v>
      </c>
      <c r="AG26" s="399">
        <v>0</v>
      </c>
      <c r="AH26" s="400">
        <v>260.06103190581001</v>
      </c>
      <c r="AI26" s="400">
        <v>575.62649243672672</v>
      </c>
      <c r="AJ26" s="400">
        <v>1042.6745305379231</v>
      </c>
      <c r="AK26" s="400">
        <v>220.88206309477494</v>
      </c>
      <c r="AL26" s="400">
        <v>1235.7335669835406</v>
      </c>
      <c r="AM26" s="400">
        <v>1567.893531545003</v>
      </c>
      <c r="AN26" s="400">
        <v>517.92086103757231</v>
      </c>
      <c r="AO26" s="400">
        <v>406.44960021972656</v>
      </c>
      <c r="AP26" s="400">
        <v>132.32369408806164</v>
      </c>
      <c r="AQ26" s="400">
        <v>678.68510503768925</v>
      </c>
    </row>
    <row r="27" spans="1:43">
      <c r="A27" s="379">
        <v>40959</v>
      </c>
      <c r="B27" s="390"/>
      <c r="C27" s="391">
        <v>0</v>
      </c>
      <c r="D27" s="391">
        <v>0</v>
      </c>
      <c r="E27" s="391">
        <v>0</v>
      </c>
      <c r="F27" s="391">
        <v>0</v>
      </c>
      <c r="G27" s="391">
        <v>0</v>
      </c>
      <c r="H27" s="392">
        <v>0</v>
      </c>
      <c r="I27" s="390">
        <v>0</v>
      </c>
      <c r="J27" s="391">
        <v>0</v>
      </c>
      <c r="K27" s="391">
        <v>0</v>
      </c>
      <c r="L27" s="391">
        <v>0</v>
      </c>
      <c r="M27" s="391">
        <v>0</v>
      </c>
      <c r="N27" s="392">
        <v>0</v>
      </c>
      <c r="O27" s="390">
        <v>0</v>
      </c>
      <c r="P27" s="391">
        <v>0</v>
      </c>
      <c r="Q27" s="391">
        <v>0</v>
      </c>
      <c r="R27" s="394">
        <v>0</v>
      </c>
      <c r="S27" s="391">
        <v>0</v>
      </c>
      <c r="T27" s="395">
        <v>0</v>
      </c>
      <c r="U27" s="396">
        <v>0</v>
      </c>
      <c r="V27" s="393">
        <v>0</v>
      </c>
      <c r="W27" s="393">
        <v>0</v>
      </c>
      <c r="X27" s="393">
        <v>0</v>
      </c>
      <c r="Y27" s="393">
        <v>0</v>
      </c>
      <c r="Z27" s="393">
        <v>0</v>
      </c>
      <c r="AA27" s="403">
        <v>0</v>
      </c>
      <c r="AB27" s="400">
        <v>0</v>
      </c>
      <c r="AC27" s="400">
        <v>0</v>
      </c>
      <c r="AD27" s="400">
        <v>0</v>
      </c>
      <c r="AE27" s="400">
        <v>0</v>
      </c>
      <c r="AF27" s="400">
        <v>0</v>
      </c>
      <c r="AG27" s="400">
        <v>0</v>
      </c>
      <c r="AH27" s="400">
        <v>280.01496636867523</v>
      </c>
      <c r="AI27" s="400">
        <v>620.97993674278268</v>
      </c>
      <c r="AJ27" s="400">
        <v>1090.8020203908284</v>
      </c>
      <c r="AK27" s="400">
        <v>239.0712090969086</v>
      </c>
      <c r="AL27" s="400">
        <v>1301.1345291773475</v>
      </c>
      <c r="AM27" s="400">
        <v>1566.526777903239</v>
      </c>
      <c r="AN27" s="400">
        <v>524.30839902559921</v>
      </c>
      <c r="AO27" s="400">
        <v>406.44960021972656</v>
      </c>
      <c r="AP27" s="400">
        <v>153.41687070528667</v>
      </c>
      <c r="AQ27" s="400">
        <v>689.32185637156158</v>
      </c>
    </row>
    <row r="28" spans="1:43">
      <c r="A28" s="379">
        <v>40960</v>
      </c>
      <c r="B28" s="390"/>
      <c r="C28" s="391">
        <v>0</v>
      </c>
      <c r="D28" s="391">
        <v>0</v>
      </c>
      <c r="E28" s="391">
        <v>0</v>
      </c>
      <c r="F28" s="391">
        <v>0</v>
      </c>
      <c r="G28" s="391">
        <v>0</v>
      </c>
      <c r="H28" s="392">
        <v>0</v>
      </c>
      <c r="I28" s="390">
        <v>0</v>
      </c>
      <c r="J28" s="391">
        <v>0</v>
      </c>
      <c r="K28" s="391">
        <v>0</v>
      </c>
      <c r="L28" s="391">
        <v>0</v>
      </c>
      <c r="M28" s="391">
        <v>0</v>
      </c>
      <c r="N28" s="392">
        <v>0</v>
      </c>
      <c r="O28" s="390">
        <v>0</v>
      </c>
      <c r="P28" s="391">
        <v>0</v>
      </c>
      <c r="Q28" s="391">
        <v>0</v>
      </c>
      <c r="R28" s="394">
        <v>0</v>
      </c>
      <c r="S28" s="391">
        <v>0</v>
      </c>
      <c r="T28" s="395">
        <v>0</v>
      </c>
      <c r="U28" s="396">
        <v>0</v>
      </c>
      <c r="V28" s="393">
        <v>0</v>
      </c>
      <c r="W28" s="393">
        <v>0</v>
      </c>
      <c r="X28" s="393">
        <v>0</v>
      </c>
      <c r="Y28" s="397">
        <v>0</v>
      </c>
      <c r="Z28" s="397">
        <v>0</v>
      </c>
      <c r="AA28" s="398">
        <v>0</v>
      </c>
      <c r="AB28" s="399">
        <v>0</v>
      </c>
      <c r="AC28" s="400">
        <v>0</v>
      </c>
      <c r="AD28" s="400">
        <v>0</v>
      </c>
      <c r="AE28" s="399">
        <v>0</v>
      </c>
      <c r="AF28" s="399">
        <v>0</v>
      </c>
      <c r="AG28" s="399">
        <v>0</v>
      </c>
      <c r="AH28" s="400">
        <v>267.6957011938095</v>
      </c>
      <c r="AI28" s="400">
        <v>582.88950419425964</v>
      </c>
      <c r="AJ28" s="400">
        <v>1088.7105497360228</v>
      </c>
      <c r="AK28" s="400">
        <v>228.30919198989869</v>
      </c>
      <c r="AL28" s="400">
        <v>1254.545582771301</v>
      </c>
      <c r="AM28" s="400">
        <v>1635.1309294382731</v>
      </c>
      <c r="AN28" s="400">
        <v>504.75378297170005</v>
      </c>
      <c r="AO28" s="400">
        <v>402.57513249715169</v>
      </c>
      <c r="AP28" s="400">
        <v>138.63185803294184</v>
      </c>
      <c r="AQ28" s="400">
        <v>712.71685345967603</v>
      </c>
    </row>
    <row r="29" spans="1:43">
      <c r="A29" s="379">
        <v>40961</v>
      </c>
      <c r="B29" s="390"/>
      <c r="C29" s="391">
        <v>0</v>
      </c>
      <c r="D29" s="391">
        <v>0</v>
      </c>
      <c r="E29" s="391">
        <v>0</v>
      </c>
      <c r="F29" s="391">
        <v>0</v>
      </c>
      <c r="G29" s="391">
        <v>0</v>
      </c>
      <c r="H29" s="392">
        <v>0</v>
      </c>
      <c r="I29" s="390">
        <v>0</v>
      </c>
      <c r="J29" s="391">
        <v>0</v>
      </c>
      <c r="K29" s="391">
        <v>0</v>
      </c>
      <c r="L29" s="391">
        <v>0</v>
      </c>
      <c r="M29" s="391">
        <v>0</v>
      </c>
      <c r="N29" s="392">
        <v>0</v>
      </c>
      <c r="O29" s="390">
        <v>0</v>
      </c>
      <c r="P29" s="391">
        <v>0</v>
      </c>
      <c r="Q29" s="391">
        <v>0</v>
      </c>
      <c r="R29" s="394">
        <v>0</v>
      </c>
      <c r="S29" s="391">
        <v>0</v>
      </c>
      <c r="T29" s="395">
        <v>0</v>
      </c>
      <c r="U29" s="396">
        <v>0</v>
      </c>
      <c r="V29" s="393">
        <v>0</v>
      </c>
      <c r="W29" s="393">
        <v>0</v>
      </c>
      <c r="X29" s="393">
        <v>0</v>
      </c>
      <c r="Y29" s="397">
        <v>0</v>
      </c>
      <c r="Z29" s="397">
        <v>0</v>
      </c>
      <c r="AA29" s="398">
        <v>0</v>
      </c>
      <c r="AB29" s="399">
        <v>0</v>
      </c>
      <c r="AC29" s="400">
        <v>0</v>
      </c>
      <c r="AD29" s="400">
        <v>0</v>
      </c>
      <c r="AE29" s="399">
        <v>0</v>
      </c>
      <c r="AF29" s="399">
        <v>0</v>
      </c>
      <c r="AG29" s="399">
        <v>0</v>
      </c>
      <c r="AH29" s="400">
        <v>229.12363001505534</v>
      </c>
      <c r="AI29" s="400">
        <v>494.59293902715052</v>
      </c>
      <c r="AJ29" s="400">
        <v>1040.7719636281333</v>
      </c>
      <c r="AK29" s="400">
        <v>196.39373225371043</v>
      </c>
      <c r="AL29" s="400">
        <v>1141.0562856356305</v>
      </c>
      <c r="AM29" s="400">
        <v>1636.8085032780964</v>
      </c>
      <c r="AN29" s="400">
        <v>451.42392714818305</v>
      </c>
      <c r="AO29" s="400">
        <v>383.73683630625408</v>
      </c>
      <c r="AP29" s="400">
        <v>104.7936042288939</v>
      </c>
      <c r="AQ29" s="400">
        <v>698.90618947347002</v>
      </c>
    </row>
    <row r="30" spans="1:43">
      <c r="A30" s="379">
        <v>40962</v>
      </c>
      <c r="B30" s="390"/>
      <c r="C30" s="391">
        <v>0</v>
      </c>
      <c r="D30" s="391">
        <v>0</v>
      </c>
      <c r="E30" s="391">
        <v>0</v>
      </c>
      <c r="F30" s="391">
        <v>0</v>
      </c>
      <c r="G30" s="391">
        <v>0</v>
      </c>
      <c r="H30" s="392">
        <v>0</v>
      </c>
      <c r="I30" s="390">
        <v>0</v>
      </c>
      <c r="J30" s="391">
        <v>0</v>
      </c>
      <c r="K30" s="391">
        <v>0</v>
      </c>
      <c r="L30" s="391">
        <v>0</v>
      </c>
      <c r="M30" s="391">
        <v>0</v>
      </c>
      <c r="N30" s="392">
        <v>0</v>
      </c>
      <c r="O30" s="390">
        <v>0</v>
      </c>
      <c r="P30" s="391">
        <v>0</v>
      </c>
      <c r="Q30" s="391">
        <v>0</v>
      </c>
      <c r="R30" s="394">
        <v>0</v>
      </c>
      <c r="S30" s="391">
        <v>0</v>
      </c>
      <c r="T30" s="395">
        <v>0</v>
      </c>
      <c r="U30" s="396">
        <v>0</v>
      </c>
      <c r="V30" s="393">
        <v>0</v>
      </c>
      <c r="W30" s="393">
        <v>0</v>
      </c>
      <c r="X30" s="393">
        <v>0</v>
      </c>
      <c r="Y30" s="397">
        <v>0</v>
      </c>
      <c r="Z30" s="397">
        <v>0</v>
      </c>
      <c r="AA30" s="398">
        <v>0</v>
      </c>
      <c r="AB30" s="399">
        <v>0</v>
      </c>
      <c r="AC30" s="400">
        <v>0</v>
      </c>
      <c r="AD30" s="400">
        <v>0</v>
      </c>
      <c r="AE30" s="399">
        <v>0</v>
      </c>
      <c r="AF30" s="399">
        <v>0</v>
      </c>
      <c r="AG30" s="399">
        <v>0</v>
      </c>
      <c r="AH30" s="400">
        <v>254.97564131418861</v>
      </c>
      <c r="AI30" s="400">
        <v>554.74454873402919</v>
      </c>
      <c r="AJ30" s="400">
        <v>1038.0174230575562</v>
      </c>
      <c r="AK30" s="400">
        <v>232.24921091397601</v>
      </c>
      <c r="AL30" s="400">
        <v>1259.5456822713215</v>
      </c>
      <c r="AM30" s="400">
        <v>1619.2696677525839</v>
      </c>
      <c r="AN30" s="400">
        <v>537.49570798873901</v>
      </c>
      <c r="AO30" s="400">
        <v>401.91396074295039</v>
      </c>
      <c r="AP30" s="400">
        <v>144.42296895980837</v>
      </c>
      <c r="AQ30" s="400">
        <v>707.86227938334127</v>
      </c>
    </row>
    <row r="31" spans="1:43">
      <c r="A31" s="379">
        <v>40963</v>
      </c>
      <c r="B31" s="390"/>
      <c r="C31" s="391">
        <v>0</v>
      </c>
      <c r="D31" s="391">
        <v>0</v>
      </c>
      <c r="E31" s="391">
        <v>0</v>
      </c>
      <c r="F31" s="391">
        <v>0</v>
      </c>
      <c r="G31" s="391">
        <v>0</v>
      </c>
      <c r="H31" s="392">
        <v>0</v>
      </c>
      <c r="I31" s="390">
        <v>0</v>
      </c>
      <c r="J31" s="391">
        <v>0</v>
      </c>
      <c r="K31" s="391">
        <v>0</v>
      </c>
      <c r="L31" s="391">
        <v>0</v>
      </c>
      <c r="M31" s="391">
        <v>0</v>
      </c>
      <c r="N31" s="392">
        <v>0</v>
      </c>
      <c r="O31" s="390">
        <v>0</v>
      </c>
      <c r="P31" s="391">
        <v>0</v>
      </c>
      <c r="Q31" s="391">
        <v>0</v>
      </c>
      <c r="R31" s="394">
        <v>0</v>
      </c>
      <c r="S31" s="391">
        <v>0</v>
      </c>
      <c r="T31" s="395">
        <v>0</v>
      </c>
      <c r="U31" s="396">
        <v>0</v>
      </c>
      <c r="V31" s="393">
        <v>0</v>
      </c>
      <c r="W31" s="393">
        <v>0</v>
      </c>
      <c r="X31" s="393">
        <v>0</v>
      </c>
      <c r="Y31" s="397">
        <v>0</v>
      </c>
      <c r="Z31" s="397">
        <v>0</v>
      </c>
      <c r="AA31" s="398">
        <v>0</v>
      </c>
      <c r="AB31" s="399">
        <v>0</v>
      </c>
      <c r="AC31" s="400">
        <v>0</v>
      </c>
      <c r="AD31" s="400">
        <v>0</v>
      </c>
      <c r="AE31" s="399">
        <v>0</v>
      </c>
      <c r="AF31" s="399">
        <v>0</v>
      </c>
      <c r="AG31" s="399">
        <v>0</v>
      </c>
      <c r="AH31" s="400">
        <v>283.61063879330959</v>
      </c>
      <c r="AI31" s="400">
        <v>622.48799510002129</v>
      </c>
      <c r="AJ31" s="400">
        <v>1088.16616636912</v>
      </c>
      <c r="AK31" s="400">
        <v>251.97509696483615</v>
      </c>
      <c r="AL31" s="400">
        <v>1294.3042049407961</v>
      </c>
      <c r="AM31" s="400">
        <v>1619.9515646616617</v>
      </c>
      <c r="AN31" s="400">
        <v>577.46555139223722</v>
      </c>
      <c r="AO31" s="400">
        <v>401.06076049804687</v>
      </c>
      <c r="AP31" s="400">
        <v>435.58749736547463</v>
      </c>
      <c r="AQ31" s="400">
        <v>713.15397291183479</v>
      </c>
    </row>
    <row r="32" spans="1:43">
      <c r="A32" s="379">
        <v>40964</v>
      </c>
      <c r="B32" s="390"/>
      <c r="C32" s="391">
        <v>0</v>
      </c>
      <c r="D32" s="391">
        <v>0</v>
      </c>
      <c r="E32" s="391">
        <v>0</v>
      </c>
      <c r="F32" s="391">
        <v>0</v>
      </c>
      <c r="G32" s="391">
        <v>0</v>
      </c>
      <c r="H32" s="392">
        <v>0</v>
      </c>
      <c r="I32" s="390">
        <v>0</v>
      </c>
      <c r="J32" s="391">
        <v>0</v>
      </c>
      <c r="K32" s="391">
        <v>0</v>
      </c>
      <c r="L32" s="391">
        <v>0</v>
      </c>
      <c r="M32" s="391">
        <v>0</v>
      </c>
      <c r="N32" s="392">
        <v>0</v>
      </c>
      <c r="O32" s="390">
        <v>0</v>
      </c>
      <c r="P32" s="391">
        <v>0</v>
      </c>
      <c r="Q32" s="391">
        <v>0</v>
      </c>
      <c r="R32" s="394">
        <v>0</v>
      </c>
      <c r="S32" s="391">
        <v>0</v>
      </c>
      <c r="T32" s="395">
        <v>0</v>
      </c>
      <c r="U32" s="396">
        <v>0</v>
      </c>
      <c r="V32" s="393">
        <v>0</v>
      </c>
      <c r="W32" s="393">
        <v>0</v>
      </c>
      <c r="X32" s="393">
        <v>0</v>
      </c>
      <c r="Y32" s="397">
        <v>0</v>
      </c>
      <c r="Z32" s="397">
        <v>0</v>
      </c>
      <c r="AA32" s="398">
        <v>0</v>
      </c>
      <c r="AB32" s="399">
        <v>0</v>
      </c>
      <c r="AC32" s="400">
        <v>0</v>
      </c>
      <c r="AD32" s="400">
        <v>0</v>
      </c>
      <c r="AE32" s="399">
        <v>0</v>
      </c>
      <c r="AF32" s="399">
        <v>0</v>
      </c>
      <c r="AG32" s="399">
        <v>0</v>
      </c>
      <c r="AH32" s="400">
        <v>246.9780010700226</v>
      </c>
      <c r="AI32" s="400">
        <v>539.65506353378305</v>
      </c>
      <c r="AJ32" s="400">
        <v>1100.5010328928629</v>
      </c>
      <c r="AK32" s="400">
        <v>219.57050776481631</v>
      </c>
      <c r="AL32" s="400">
        <v>1196.8085156440734</v>
      </c>
      <c r="AM32" s="400">
        <v>1598.5822546005252</v>
      </c>
      <c r="AN32" s="400">
        <v>501.20262138048804</v>
      </c>
      <c r="AO32" s="400">
        <v>401.13144501050311</v>
      </c>
      <c r="AP32" s="400">
        <v>156.9680776834488</v>
      </c>
      <c r="AQ32" s="400">
        <v>664.42773062388096</v>
      </c>
    </row>
    <row r="33" spans="1:43">
      <c r="A33" s="379">
        <v>40965</v>
      </c>
      <c r="B33" s="390"/>
      <c r="C33" s="391">
        <v>0</v>
      </c>
      <c r="D33" s="391">
        <v>0</v>
      </c>
      <c r="E33" s="391">
        <v>0</v>
      </c>
      <c r="F33" s="391">
        <v>0</v>
      </c>
      <c r="G33" s="391">
        <v>0</v>
      </c>
      <c r="H33" s="392">
        <v>0</v>
      </c>
      <c r="I33" s="390">
        <v>0</v>
      </c>
      <c r="J33" s="391">
        <v>0</v>
      </c>
      <c r="K33" s="391">
        <v>0</v>
      </c>
      <c r="L33" s="391">
        <v>0</v>
      </c>
      <c r="M33" s="391">
        <v>0</v>
      </c>
      <c r="N33" s="392">
        <v>0</v>
      </c>
      <c r="O33" s="390">
        <v>0</v>
      </c>
      <c r="P33" s="391">
        <v>0</v>
      </c>
      <c r="Q33" s="391">
        <v>0</v>
      </c>
      <c r="R33" s="394">
        <v>0</v>
      </c>
      <c r="S33" s="391">
        <v>0</v>
      </c>
      <c r="T33" s="395">
        <v>0</v>
      </c>
      <c r="U33" s="396">
        <v>0</v>
      </c>
      <c r="V33" s="393">
        <v>0</v>
      </c>
      <c r="W33" s="393">
        <v>0</v>
      </c>
      <c r="X33" s="393">
        <v>0</v>
      </c>
      <c r="Y33" s="397">
        <v>0</v>
      </c>
      <c r="Z33" s="397">
        <v>0</v>
      </c>
      <c r="AA33" s="398">
        <v>0</v>
      </c>
      <c r="AB33" s="399">
        <v>0</v>
      </c>
      <c r="AC33" s="400">
        <v>0</v>
      </c>
      <c r="AD33" s="400">
        <v>0</v>
      </c>
      <c r="AE33" s="399">
        <v>0</v>
      </c>
      <c r="AF33" s="399">
        <v>0</v>
      </c>
      <c r="AG33" s="399">
        <v>0</v>
      </c>
      <c r="AH33" s="400">
        <v>259.17216018040972</v>
      </c>
      <c r="AI33" s="400">
        <v>568.04919908841464</v>
      </c>
      <c r="AJ33" s="400">
        <v>1055.2585917154947</v>
      </c>
      <c r="AK33" s="400">
        <v>232.7037697394689</v>
      </c>
      <c r="AL33" s="400">
        <v>1259.1339465459189</v>
      </c>
      <c r="AM33" s="400">
        <v>1729.089691480001</v>
      </c>
      <c r="AN33" s="400">
        <v>505.78790103594469</v>
      </c>
      <c r="AO33" s="400">
        <v>404.96113586425781</v>
      </c>
      <c r="AP33" s="400">
        <v>170.52223457098009</v>
      </c>
      <c r="AQ33" s="400">
        <v>632.28693291346212</v>
      </c>
    </row>
    <row r="34" spans="1:43">
      <c r="A34" s="379">
        <v>40966</v>
      </c>
      <c r="B34" s="390"/>
      <c r="C34" s="391">
        <v>0</v>
      </c>
      <c r="D34" s="391">
        <v>0</v>
      </c>
      <c r="E34" s="391">
        <v>0</v>
      </c>
      <c r="F34" s="391">
        <v>0</v>
      </c>
      <c r="G34" s="391">
        <v>0</v>
      </c>
      <c r="H34" s="392">
        <v>0</v>
      </c>
      <c r="I34" s="390">
        <v>0</v>
      </c>
      <c r="J34" s="391">
        <v>0</v>
      </c>
      <c r="K34" s="391">
        <v>0</v>
      </c>
      <c r="L34" s="391">
        <v>0</v>
      </c>
      <c r="M34" s="391">
        <v>0</v>
      </c>
      <c r="N34" s="392">
        <v>0</v>
      </c>
      <c r="O34" s="390">
        <v>0</v>
      </c>
      <c r="P34" s="391">
        <v>0</v>
      </c>
      <c r="Q34" s="391">
        <v>0</v>
      </c>
      <c r="R34" s="394">
        <v>0</v>
      </c>
      <c r="S34" s="391">
        <v>0</v>
      </c>
      <c r="T34" s="395">
        <v>0</v>
      </c>
      <c r="U34" s="396">
        <v>0</v>
      </c>
      <c r="V34" s="393">
        <v>0</v>
      </c>
      <c r="W34" s="393">
        <v>0</v>
      </c>
      <c r="X34" s="393">
        <v>0</v>
      </c>
      <c r="Y34" s="397">
        <v>0</v>
      </c>
      <c r="Z34" s="397">
        <v>0</v>
      </c>
      <c r="AA34" s="398">
        <v>0</v>
      </c>
      <c r="AB34" s="399">
        <v>0</v>
      </c>
      <c r="AC34" s="400">
        <v>0</v>
      </c>
      <c r="AD34" s="400">
        <v>0</v>
      </c>
      <c r="AE34" s="399">
        <v>0</v>
      </c>
      <c r="AF34" s="399">
        <v>0</v>
      </c>
      <c r="AG34" s="399">
        <v>0</v>
      </c>
      <c r="AH34" s="400">
        <v>270.45011790593475</v>
      </c>
      <c r="AI34" s="400">
        <v>631.52502044041967</v>
      </c>
      <c r="AJ34" s="400">
        <v>1087.006404177348</v>
      </c>
      <c r="AK34" s="400">
        <v>245.1006790320078</v>
      </c>
      <c r="AL34" s="400">
        <v>1277.2550934473675</v>
      </c>
      <c r="AM34" s="400">
        <v>1729.2563974380498</v>
      </c>
      <c r="AN34" s="400">
        <v>532.73347630500814</v>
      </c>
      <c r="AO34" s="400">
        <v>404.96113586425781</v>
      </c>
      <c r="AP34" s="400">
        <v>180.61685721079508</v>
      </c>
      <c r="AQ34" s="400">
        <v>687.66773455937698</v>
      </c>
    </row>
    <row r="35" spans="1:43">
      <c r="A35" s="379">
        <v>40967</v>
      </c>
      <c r="B35" s="390"/>
      <c r="C35" s="391">
        <v>0</v>
      </c>
      <c r="D35" s="391">
        <v>0</v>
      </c>
      <c r="E35" s="391">
        <v>0</v>
      </c>
      <c r="F35" s="391">
        <v>0</v>
      </c>
      <c r="G35" s="391">
        <v>0</v>
      </c>
      <c r="H35" s="392">
        <v>0</v>
      </c>
      <c r="I35" s="390">
        <v>0</v>
      </c>
      <c r="J35" s="391">
        <v>0</v>
      </c>
      <c r="K35" s="391">
        <v>0</v>
      </c>
      <c r="L35" s="391">
        <v>0</v>
      </c>
      <c r="M35" s="391">
        <v>0</v>
      </c>
      <c r="N35" s="392">
        <v>0</v>
      </c>
      <c r="O35" s="390">
        <v>0</v>
      </c>
      <c r="P35" s="391">
        <v>0</v>
      </c>
      <c r="Q35" s="391">
        <v>0</v>
      </c>
      <c r="R35" s="394">
        <v>0</v>
      </c>
      <c r="S35" s="391">
        <v>0</v>
      </c>
      <c r="T35" s="395">
        <v>0</v>
      </c>
      <c r="U35" s="396">
        <v>0</v>
      </c>
      <c r="V35" s="393">
        <v>0</v>
      </c>
      <c r="W35" s="393">
        <v>0</v>
      </c>
      <c r="X35" s="393">
        <v>0</v>
      </c>
      <c r="Y35" s="397">
        <v>0</v>
      </c>
      <c r="Z35" s="397">
        <v>0</v>
      </c>
      <c r="AA35" s="398">
        <v>0</v>
      </c>
      <c r="AB35" s="399">
        <v>0</v>
      </c>
      <c r="AC35" s="400">
        <v>0</v>
      </c>
      <c r="AD35" s="400">
        <v>0</v>
      </c>
      <c r="AE35" s="399">
        <v>0</v>
      </c>
      <c r="AF35" s="399">
        <v>0</v>
      </c>
      <c r="AG35" s="399">
        <v>0</v>
      </c>
      <c r="AH35" s="400">
        <v>259.09040596485141</v>
      </c>
      <c r="AI35" s="400">
        <v>570.92743366559341</v>
      </c>
      <c r="AJ35" s="400">
        <v>1057.8112073262535</v>
      </c>
      <c r="AK35" s="400">
        <v>213.53594339688618</v>
      </c>
      <c r="AL35" s="400">
        <v>1241.9110484759017</v>
      </c>
      <c r="AM35" s="400">
        <v>1671.3854760487875</v>
      </c>
      <c r="AN35" s="400">
        <v>538.49433979988089</v>
      </c>
      <c r="AO35" s="400">
        <v>404.96113586425781</v>
      </c>
      <c r="AP35" s="400">
        <v>142.77451660037039</v>
      </c>
      <c r="AQ35" s="400">
        <v>716.1575362205507</v>
      </c>
    </row>
    <row r="36" spans="1:43">
      <c r="A36" s="379">
        <v>40968</v>
      </c>
      <c r="B36" s="390"/>
      <c r="C36" s="391">
        <v>0</v>
      </c>
      <c r="D36" s="391">
        <v>0</v>
      </c>
      <c r="E36" s="391">
        <v>0</v>
      </c>
      <c r="F36" s="391">
        <v>0</v>
      </c>
      <c r="G36" s="391">
        <v>0</v>
      </c>
      <c r="H36" s="392">
        <v>0</v>
      </c>
      <c r="I36" s="390">
        <v>0</v>
      </c>
      <c r="J36" s="391">
        <v>0</v>
      </c>
      <c r="K36" s="391">
        <v>0</v>
      </c>
      <c r="L36" s="391">
        <v>0</v>
      </c>
      <c r="M36" s="391">
        <v>0</v>
      </c>
      <c r="N36" s="392">
        <v>0</v>
      </c>
      <c r="O36" s="390">
        <v>0</v>
      </c>
      <c r="P36" s="391">
        <v>0</v>
      </c>
      <c r="Q36" s="391">
        <v>0</v>
      </c>
      <c r="R36" s="394">
        <v>0</v>
      </c>
      <c r="S36" s="391">
        <v>0</v>
      </c>
      <c r="T36" s="395">
        <v>0</v>
      </c>
      <c r="U36" s="396">
        <v>0</v>
      </c>
      <c r="V36" s="393">
        <v>0</v>
      </c>
      <c r="W36" s="393">
        <v>0</v>
      </c>
      <c r="X36" s="393">
        <v>0</v>
      </c>
      <c r="Y36" s="397">
        <v>0</v>
      </c>
      <c r="Z36" s="397">
        <v>0</v>
      </c>
      <c r="AA36" s="398">
        <v>0</v>
      </c>
      <c r="AB36" s="399">
        <v>0</v>
      </c>
      <c r="AC36" s="400">
        <v>0</v>
      </c>
      <c r="AD36" s="400">
        <v>0</v>
      </c>
      <c r="AE36" s="399">
        <v>0</v>
      </c>
      <c r="AF36" s="399">
        <v>0</v>
      </c>
      <c r="AG36" s="399">
        <v>0</v>
      </c>
      <c r="AH36" s="400">
        <v>246.48686418533327</v>
      </c>
      <c r="AI36" s="400">
        <v>533.63877976735432</v>
      </c>
      <c r="AJ36" s="400">
        <v>1066.2419202168783</v>
      </c>
      <c r="AK36" s="400">
        <v>204.62459129492439</v>
      </c>
      <c r="AL36" s="400">
        <v>1167.6576777776083</v>
      </c>
      <c r="AM36" s="400">
        <v>1565.0220421473189</v>
      </c>
      <c r="AN36" s="400">
        <v>532.26930224100749</v>
      </c>
      <c r="AO36" s="400">
        <v>390.46328846613562</v>
      </c>
      <c r="AP36" s="400">
        <v>132.10106845100722</v>
      </c>
      <c r="AQ36" s="400">
        <v>716.30399945576994</v>
      </c>
    </row>
    <row r="37" spans="1:43">
      <c r="A37" s="379"/>
      <c r="B37" s="390"/>
      <c r="C37" s="391"/>
      <c r="D37" s="391"/>
      <c r="E37" s="391"/>
      <c r="F37" s="391"/>
      <c r="G37" s="391"/>
      <c r="H37" s="392"/>
      <c r="I37" s="390"/>
      <c r="J37" s="391"/>
      <c r="K37" s="391"/>
      <c r="L37" s="391"/>
      <c r="M37" s="391"/>
      <c r="N37" s="392"/>
      <c r="O37" s="390"/>
      <c r="P37" s="391"/>
      <c r="Q37" s="391"/>
      <c r="R37" s="394"/>
      <c r="S37" s="391"/>
      <c r="T37" s="395"/>
      <c r="U37" s="396"/>
      <c r="V37" s="393"/>
      <c r="W37" s="393"/>
      <c r="X37" s="393"/>
      <c r="Y37" s="397"/>
      <c r="Z37" s="397"/>
      <c r="AA37" s="398"/>
      <c r="AB37" s="399"/>
      <c r="AC37" s="400"/>
      <c r="AD37" s="400"/>
      <c r="AE37" s="399"/>
      <c r="AF37" s="399"/>
      <c r="AG37" s="399"/>
      <c r="AH37" s="400"/>
      <c r="AI37" s="400"/>
      <c r="AJ37" s="400"/>
      <c r="AK37" s="400"/>
      <c r="AL37" s="400"/>
      <c r="AM37" s="400"/>
      <c r="AN37" s="400"/>
      <c r="AO37" s="400"/>
      <c r="AP37" s="400"/>
      <c r="AQ37" s="400"/>
    </row>
    <row r="38" spans="1:43" ht="15.75" thickBot="1">
      <c r="A38" s="379"/>
      <c r="B38" s="404"/>
      <c r="C38" s="405"/>
      <c r="D38" s="405"/>
      <c r="E38" s="405"/>
      <c r="F38" s="405"/>
      <c r="G38" s="405"/>
      <c r="H38" s="406"/>
      <c r="I38" s="407"/>
      <c r="J38" s="405"/>
      <c r="K38" s="405"/>
      <c r="L38" s="405"/>
      <c r="M38" s="405"/>
      <c r="N38" s="406"/>
      <c r="O38" s="407"/>
      <c r="P38" s="405"/>
      <c r="Q38" s="405"/>
      <c r="R38" s="408"/>
      <c r="S38" s="405"/>
      <c r="T38" s="409"/>
      <c r="U38" s="410"/>
      <c r="V38" s="411"/>
      <c r="W38" s="412"/>
      <c r="X38" s="412"/>
      <c r="Y38" s="411"/>
      <c r="Z38" s="411"/>
      <c r="AA38" s="413"/>
      <c r="AB38" s="414"/>
      <c r="AC38" s="415"/>
      <c r="AD38" s="416"/>
      <c r="AE38" s="414"/>
      <c r="AF38" s="414"/>
      <c r="AG38" s="414"/>
      <c r="AH38" s="415"/>
      <c r="AI38" s="415"/>
      <c r="AJ38" s="415"/>
      <c r="AK38" s="415"/>
      <c r="AL38" s="415"/>
      <c r="AM38" s="415"/>
      <c r="AN38" s="415"/>
      <c r="AO38" s="415"/>
      <c r="AP38" s="415"/>
      <c r="AQ38" s="415"/>
    </row>
    <row r="39" spans="1:43" ht="15.75" thickTop="1">
      <c r="A39" s="417" t="s">
        <v>170</v>
      </c>
      <c r="B39" s="418">
        <f>SUM(B8:B38)</f>
        <v>0</v>
      </c>
      <c r="C39" s="419">
        <f t="shared" ref="C39:AC39" si="0">SUM(C8:C38)</f>
        <v>0</v>
      </c>
      <c r="D39" s="419">
        <f t="shared" si="0"/>
        <v>0</v>
      </c>
      <c r="E39" s="419">
        <f t="shared" si="0"/>
        <v>0</v>
      </c>
      <c r="F39" s="419">
        <f t="shared" si="0"/>
        <v>0</v>
      </c>
      <c r="G39" s="419">
        <f t="shared" si="0"/>
        <v>0</v>
      </c>
      <c r="H39" s="420">
        <f t="shared" si="0"/>
        <v>0</v>
      </c>
      <c r="I39" s="418">
        <f t="shared" si="0"/>
        <v>0</v>
      </c>
      <c r="J39" s="419">
        <f t="shared" si="0"/>
        <v>0</v>
      </c>
      <c r="K39" s="419">
        <f t="shared" si="0"/>
        <v>0</v>
      </c>
      <c r="L39" s="419">
        <f t="shared" si="0"/>
        <v>0</v>
      </c>
      <c r="M39" s="419">
        <f t="shared" si="0"/>
        <v>0</v>
      </c>
      <c r="N39" s="420">
        <f t="shared" si="0"/>
        <v>0</v>
      </c>
      <c r="O39" s="421">
        <f t="shared" si="0"/>
        <v>0</v>
      </c>
      <c r="P39" s="422">
        <f t="shared" si="0"/>
        <v>0</v>
      </c>
      <c r="Q39" s="422">
        <f t="shared" si="0"/>
        <v>0</v>
      </c>
      <c r="R39" s="422">
        <f t="shared" si="0"/>
        <v>0</v>
      </c>
      <c r="S39" s="422">
        <f t="shared" si="0"/>
        <v>0</v>
      </c>
      <c r="T39" s="423">
        <f t="shared" si="0"/>
        <v>0</v>
      </c>
      <c r="U39" s="421">
        <f t="shared" si="0"/>
        <v>0</v>
      </c>
      <c r="V39" s="422">
        <f t="shared" si="0"/>
        <v>0</v>
      </c>
      <c r="W39" s="422">
        <f t="shared" si="0"/>
        <v>0</v>
      </c>
      <c r="X39" s="422">
        <f t="shared" si="0"/>
        <v>0</v>
      </c>
      <c r="Y39" s="422">
        <f t="shared" si="0"/>
        <v>0</v>
      </c>
      <c r="Z39" s="422">
        <f t="shared" si="0"/>
        <v>0</v>
      </c>
      <c r="AA39" s="424">
        <f t="shared" si="0"/>
        <v>0</v>
      </c>
      <c r="AB39" s="425">
        <f t="shared" si="0"/>
        <v>0</v>
      </c>
      <c r="AC39" s="425">
        <f t="shared" si="0"/>
        <v>0</v>
      </c>
      <c r="AD39" s="426" t="s">
        <v>29</v>
      </c>
      <c r="AE39" s="426" t="s">
        <v>29</v>
      </c>
      <c r="AF39" s="426" t="s">
        <v>29</v>
      </c>
      <c r="AG39" s="426" t="s">
        <v>158</v>
      </c>
      <c r="AH39" s="425">
        <f t="shared" ref="AH39:AQ39" si="1">SUM(AH8:AH38)</f>
        <v>7532.318987758953</v>
      </c>
      <c r="AI39" s="425">
        <f t="shared" si="1"/>
        <v>17128.264199002588</v>
      </c>
      <c r="AJ39" s="425">
        <f t="shared" si="1"/>
        <v>31694.217669296257</v>
      </c>
      <c r="AK39" s="425">
        <f t="shared" si="1"/>
        <v>6803.8754098335894</v>
      </c>
      <c r="AL39" s="425">
        <f t="shared" si="1"/>
        <v>36286.607109006247</v>
      </c>
      <c r="AM39" s="425">
        <f t="shared" si="1"/>
        <v>49475.970081329346</v>
      </c>
      <c r="AN39" s="425">
        <f t="shared" si="1"/>
        <v>15296.483150561651</v>
      </c>
      <c r="AO39" s="425">
        <f t="shared" si="1"/>
        <v>11390.517208528519</v>
      </c>
      <c r="AP39" s="425">
        <f t="shared" si="1"/>
        <v>5308.6454220235355</v>
      </c>
      <c r="AQ39" s="425">
        <f t="shared" si="1"/>
        <v>20214.557806841534</v>
      </c>
    </row>
    <row r="40" spans="1:43" ht="15.75" thickBot="1">
      <c r="A40" s="427" t="s">
        <v>171</v>
      </c>
      <c r="B40" s="428">
        <f>Projection!$AA$30</f>
        <v>0.91139353199999984</v>
      </c>
      <c r="C40" s="429">
        <f>Projection!$AA$28</f>
        <v>1.4375491199999999</v>
      </c>
      <c r="D40" s="429">
        <f>Projection!$AA$31</f>
        <v>2.1834120000000001</v>
      </c>
      <c r="E40" s="429">
        <f>Projection!$AA$26</f>
        <v>4.7363493840000004</v>
      </c>
      <c r="F40" s="429">
        <f>Projection!$AA$23</f>
        <v>5.8379999999999994E-2</v>
      </c>
      <c r="G40" s="429">
        <f>Projection!$AA$24</f>
        <v>5.3200000000000004E-2</v>
      </c>
      <c r="H40" s="430">
        <f>Projection!$AA$29</f>
        <v>3.6371774160000006</v>
      </c>
      <c r="I40" s="428">
        <f>Projection!$AA$30</f>
        <v>0.91139353199999984</v>
      </c>
      <c r="J40" s="429">
        <f>Projection!$AA$28</f>
        <v>1.4375491199999999</v>
      </c>
      <c r="K40" s="429">
        <f>Projection!$AA$26</f>
        <v>4.7363493840000004</v>
      </c>
      <c r="L40" s="429">
        <f>Projection!$AA$25</f>
        <v>0.37613399999999997</v>
      </c>
      <c r="M40" s="429">
        <f>Projection!$AA$23</f>
        <v>5.8379999999999994E-2</v>
      </c>
      <c r="N40" s="430">
        <f>Projection!$AA$23</f>
        <v>5.8379999999999994E-2</v>
      </c>
      <c r="O40" s="431">
        <v>15.77</v>
      </c>
      <c r="P40" s="432">
        <v>15.77</v>
      </c>
      <c r="Q40" s="432">
        <v>15.77</v>
      </c>
      <c r="R40" s="432">
        <v>15.77</v>
      </c>
      <c r="S40" s="432">
        <f>Projection!$AA$28</f>
        <v>1.4375491199999999</v>
      </c>
      <c r="T40" s="433">
        <f>Projection!$AA$28</f>
        <v>1.4375491199999999</v>
      </c>
      <c r="U40" s="431">
        <f>Projection!$AA$27</f>
        <v>0.29749999999999999</v>
      </c>
      <c r="V40" s="432">
        <f>Projection!$AA$27</f>
        <v>0.29749999999999999</v>
      </c>
      <c r="W40" s="432">
        <f>Projection!$AA$22</f>
        <v>1.1475</v>
      </c>
      <c r="X40" s="432">
        <f>Projection!$AA$22</f>
        <v>1.1475</v>
      </c>
      <c r="Y40" s="432">
        <f>Projection!$AA$31</f>
        <v>2.1834120000000001</v>
      </c>
      <c r="Z40" s="432">
        <f>Projection!$AA$31</f>
        <v>2.1834120000000001</v>
      </c>
      <c r="AA40" s="434">
        <v>0</v>
      </c>
      <c r="AB40" s="435">
        <f>Projection!$AA$27</f>
        <v>0.29749999999999999</v>
      </c>
      <c r="AC40" s="435">
        <f>Projection!$AA$30</f>
        <v>0.91139353199999984</v>
      </c>
      <c r="AD40" s="436">
        <f>SUM(AD8:AD38)</f>
        <v>0</v>
      </c>
      <c r="AE40" s="436">
        <f>SUM(AE8:AE38)</f>
        <v>0</v>
      </c>
      <c r="AF40" s="436">
        <f>SUM(AF8:AF38)</f>
        <v>0</v>
      </c>
      <c r="AG40" s="436">
        <v>0.5</v>
      </c>
      <c r="AH40" s="437">
        <v>7.0000000000000007E-2</v>
      </c>
      <c r="AI40" s="437">
        <f t="shared" ref="AI40:AQ40" si="2">$AH$40</f>
        <v>7.0000000000000007E-2</v>
      </c>
      <c r="AJ40" s="437">
        <f t="shared" si="2"/>
        <v>7.0000000000000007E-2</v>
      </c>
      <c r="AK40" s="437">
        <f t="shared" si="2"/>
        <v>7.0000000000000007E-2</v>
      </c>
      <c r="AL40" s="437">
        <f t="shared" si="2"/>
        <v>7.0000000000000007E-2</v>
      </c>
      <c r="AM40" s="437">
        <f t="shared" si="2"/>
        <v>7.0000000000000007E-2</v>
      </c>
      <c r="AN40" s="437">
        <f t="shared" si="2"/>
        <v>7.0000000000000007E-2</v>
      </c>
      <c r="AO40" s="437">
        <f t="shared" si="2"/>
        <v>7.0000000000000007E-2</v>
      </c>
      <c r="AP40" s="437">
        <f t="shared" si="2"/>
        <v>7.0000000000000007E-2</v>
      </c>
      <c r="AQ40" s="437">
        <f t="shared" si="2"/>
        <v>7.0000000000000007E-2</v>
      </c>
    </row>
    <row r="41" spans="1:43" ht="16.5" thickTop="1" thickBot="1">
      <c r="A41" s="438" t="s">
        <v>26</v>
      </c>
      <c r="B41" s="439">
        <f t="shared" ref="B41:AC41" si="3">B40*B39</f>
        <v>0</v>
      </c>
      <c r="C41" s="440">
        <f t="shared" si="3"/>
        <v>0</v>
      </c>
      <c r="D41" s="440">
        <f t="shared" si="3"/>
        <v>0</v>
      </c>
      <c r="E41" s="440">
        <f t="shared" si="3"/>
        <v>0</v>
      </c>
      <c r="F41" s="440">
        <f t="shared" si="3"/>
        <v>0</v>
      </c>
      <c r="G41" s="440">
        <f t="shared" si="3"/>
        <v>0</v>
      </c>
      <c r="H41" s="441">
        <f t="shared" si="3"/>
        <v>0</v>
      </c>
      <c r="I41" s="439">
        <f t="shared" si="3"/>
        <v>0</v>
      </c>
      <c r="J41" s="440">
        <f t="shared" si="3"/>
        <v>0</v>
      </c>
      <c r="K41" s="440">
        <f t="shared" si="3"/>
        <v>0</v>
      </c>
      <c r="L41" s="440">
        <f t="shared" si="3"/>
        <v>0</v>
      </c>
      <c r="M41" s="440">
        <f t="shared" si="3"/>
        <v>0</v>
      </c>
      <c r="N41" s="441">
        <f t="shared" si="3"/>
        <v>0</v>
      </c>
      <c r="O41" s="442">
        <f t="shared" si="3"/>
        <v>0</v>
      </c>
      <c r="P41" s="443">
        <f t="shared" si="3"/>
        <v>0</v>
      </c>
      <c r="Q41" s="443">
        <f t="shared" si="3"/>
        <v>0</v>
      </c>
      <c r="R41" s="443">
        <f t="shared" si="3"/>
        <v>0</v>
      </c>
      <c r="S41" s="443">
        <f t="shared" si="3"/>
        <v>0</v>
      </c>
      <c r="T41" s="444">
        <f t="shared" si="3"/>
        <v>0</v>
      </c>
      <c r="U41" s="442">
        <f t="shared" si="3"/>
        <v>0</v>
      </c>
      <c r="V41" s="443">
        <f t="shared" si="3"/>
        <v>0</v>
      </c>
      <c r="W41" s="443">
        <f t="shared" si="3"/>
        <v>0</v>
      </c>
      <c r="X41" s="443">
        <f t="shared" si="3"/>
        <v>0</v>
      </c>
      <c r="Y41" s="443">
        <f t="shared" si="3"/>
        <v>0</v>
      </c>
      <c r="Z41" s="443">
        <f t="shared" si="3"/>
        <v>0</v>
      </c>
      <c r="AA41" s="445">
        <f t="shared" si="3"/>
        <v>0</v>
      </c>
      <c r="AB41" s="446">
        <f t="shared" si="3"/>
        <v>0</v>
      </c>
      <c r="AC41" s="446">
        <f t="shared" si="3"/>
        <v>0</v>
      </c>
      <c r="AH41" s="447">
        <f t="shared" ref="AH41:AQ41" si="4">AH40*AH39</f>
        <v>527.26232914312675</v>
      </c>
      <c r="AI41" s="447">
        <f t="shared" si="4"/>
        <v>1198.9784939301812</v>
      </c>
      <c r="AJ41" s="447">
        <f t="shared" si="4"/>
        <v>2218.5952368507383</v>
      </c>
      <c r="AK41" s="447">
        <f t="shared" si="4"/>
        <v>476.27127868835129</v>
      </c>
      <c r="AL41" s="447">
        <f t="shared" si="4"/>
        <v>2540.0624976304375</v>
      </c>
      <c r="AM41" s="447">
        <f t="shared" si="4"/>
        <v>3463.3179056930544</v>
      </c>
      <c r="AN41" s="447">
        <f t="shared" si="4"/>
        <v>1070.7538205393157</v>
      </c>
      <c r="AO41" s="447">
        <f t="shared" si="4"/>
        <v>797.33620459699648</v>
      </c>
      <c r="AP41" s="447">
        <f t="shared" si="4"/>
        <v>371.60517954164754</v>
      </c>
      <c r="AQ41" s="447">
        <f t="shared" si="4"/>
        <v>1415.0190464789075</v>
      </c>
    </row>
    <row r="42" spans="1:43" ht="49.5" customHeight="1" thickTop="1" thickBot="1">
      <c r="A42" s="685" t="s">
        <v>208</v>
      </c>
      <c r="B42" s="686"/>
      <c r="C42" s="686"/>
      <c r="D42" s="686"/>
      <c r="E42" s="686"/>
      <c r="F42" s="686"/>
      <c r="G42" s="686"/>
      <c r="H42" s="686"/>
      <c r="I42" s="686"/>
      <c r="J42" s="686"/>
      <c r="K42" s="670"/>
      <c r="L42" s="448"/>
      <c r="M42" s="448"/>
      <c r="N42" s="448"/>
      <c r="O42" s="449"/>
      <c r="P42" s="449"/>
      <c r="Q42" s="449"/>
      <c r="R42" s="449"/>
      <c r="S42" s="449"/>
      <c r="T42" s="449"/>
      <c r="U42" s="449"/>
      <c r="V42" s="449"/>
      <c r="W42" s="449"/>
      <c r="X42" s="449"/>
      <c r="Y42" s="449"/>
      <c r="Z42" s="449"/>
      <c r="AA42" s="449"/>
      <c r="AB42" s="449"/>
      <c r="AC42" s="449"/>
      <c r="AG42" s="450" t="s">
        <v>183</v>
      </c>
      <c r="AH42" s="451">
        <v>1507.15</v>
      </c>
      <c r="AI42" s="447" t="s">
        <v>196</v>
      </c>
      <c r="AJ42" s="447">
        <v>3573.24</v>
      </c>
      <c r="AK42" s="447">
        <v>1736.25</v>
      </c>
      <c r="AL42" s="447">
        <v>2591.21</v>
      </c>
      <c r="AM42" s="447">
        <v>8195.58</v>
      </c>
      <c r="AN42" s="447">
        <v>2402.62</v>
      </c>
      <c r="AO42" s="447" t="s">
        <v>196</v>
      </c>
      <c r="AP42" s="447">
        <v>237.42</v>
      </c>
      <c r="AQ42" s="447">
        <v>901.15</v>
      </c>
    </row>
    <row r="43" spans="1:43" ht="38.25" customHeight="1" thickTop="1" thickBot="1">
      <c r="A43" s="673" t="s">
        <v>49</v>
      </c>
      <c r="B43" s="669"/>
      <c r="C43" s="452"/>
      <c r="D43" s="669" t="s">
        <v>47</v>
      </c>
      <c r="E43" s="669"/>
      <c r="F43" s="452"/>
      <c r="G43" s="669" t="s">
        <v>48</v>
      </c>
      <c r="H43" s="669"/>
      <c r="I43" s="453"/>
      <c r="J43" s="669" t="s">
        <v>50</v>
      </c>
      <c r="K43" s="670"/>
      <c r="L43" s="448"/>
      <c r="M43" s="448"/>
      <c r="N43" s="448"/>
      <c r="O43" s="449"/>
      <c r="P43" s="449"/>
      <c r="Q43" s="449"/>
      <c r="R43" s="679" t="s">
        <v>165</v>
      </c>
      <c r="S43" s="680"/>
      <c r="T43" s="680"/>
      <c r="U43" s="681"/>
      <c r="AC43" s="449"/>
      <c r="AQ43" s="454" t="s">
        <v>206</v>
      </c>
    </row>
    <row r="44" spans="1:43" ht="24.75" thickTop="1" thickBot="1">
      <c r="A44" s="455" t="s">
        <v>135</v>
      </c>
      <c r="B44" s="456">
        <f>SUM(B41:AC41)</f>
        <v>0</v>
      </c>
      <c r="C44" s="457"/>
      <c r="D44" s="455" t="s">
        <v>135</v>
      </c>
      <c r="E44" s="456">
        <f>SUM(B41:H41)+P41+R41+T41+V41+X41+Z41</f>
        <v>0</v>
      </c>
      <c r="F44" s="457"/>
      <c r="G44" s="455" t="s">
        <v>135</v>
      </c>
      <c r="H44" s="456">
        <f>SUM(I41:N41)+O41+Q41+S41+U41+W41+Y41</f>
        <v>0</v>
      </c>
      <c r="I44" s="457"/>
      <c r="J44" s="455" t="s">
        <v>197</v>
      </c>
      <c r="K44" s="456">
        <v>120995.22</v>
      </c>
      <c r="L44" s="457"/>
      <c r="M44" s="457"/>
      <c r="N44" s="457"/>
      <c r="O44" s="457"/>
      <c r="P44" s="457"/>
      <c r="Q44" s="457"/>
      <c r="R44" s="458" t="s">
        <v>135</v>
      </c>
      <c r="S44" s="459"/>
      <c r="T44" s="460" t="s">
        <v>166</v>
      </c>
      <c r="U44" s="461" t="s">
        <v>167</v>
      </c>
    </row>
    <row r="45" spans="1:43" ht="24" thickBot="1">
      <c r="A45" s="462" t="s">
        <v>182</v>
      </c>
      <c r="B45" s="463">
        <f>SUM(AH41:AQ41)</f>
        <v>14079.20199309276</v>
      </c>
      <c r="C45" s="457"/>
      <c r="D45" s="462" t="s">
        <v>182</v>
      </c>
      <c r="E45" s="463">
        <f>AH41*(1-$AG$40)+AI41+AJ41*0.5+AL41+AM41*(1-$AG$40)+AN41*(1-$AG$40)+AO41*(1-$AG$40)+AP41*0.5+AQ41*0.5</f>
        <v>8670.9858529825124</v>
      </c>
      <c r="F45" s="464"/>
      <c r="G45" s="462" t="s">
        <v>182</v>
      </c>
      <c r="H45" s="463">
        <f>AH41*AG40+AJ41*0.5+AK41+AM41*AG40+AN41*AG40+AO41*AG40+AP41*0.5+AQ41*0.5</f>
        <v>5408.2161401102458</v>
      </c>
      <c r="I45" s="457"/>
      <c r="J45" s="457"/>
      <c r="K45" s="465"/>
      <c r="L45" s="457"/>
      <c r="M45" s="457"/>
      <c r="N45" s="457"/>
      <c r="O45" s="457"/>
      <c r="P45" s="457"/>
      <c r="Q45" s="457"/>
      <c r="R45" s="466" t="s">
        <v>140</v>
      </c>
      <c r="S45" s="467"/>
      <c r="T45" s="468">
        <f>$W$39+$X$39</f>
        <v>0</v>
      </c>
      <c r="U45" s="469">
        <f>(T45*8.34*0.895)/27000</f>
        <v>0</v>
      </c>
    </row>
    <row r="46" spans="1:43" ht="32.25" thickBot="1">
      <c r="A46" s="470" t="s">
        <v>183</v>
      </c>
      <c r="B46" s="471">
        <f>SUM(AH42:AQ42)</f>
        <v>21144.62</v>
      </c>
      <c r="C46" s="457"/>
      <c r="D46" s="470" t="s">
        <v>183</v>
      </c>
      <c r="E46" s="471">
        <f>AH42*(1-$AG$40)+AJ42*0.5+AL42+AM42*(1-$AG$40)+AN42*(1-$AG$40)+AP42*0.5+AQ42*0.5</f>
        <v>10999.789999999999</v>
      </c>
      <c r="F46" s="472"/>
      <c r="G46" s="470" t="s">
        <v>183</v>
      </c>
      <c r="H46" s="471">
        <f>AH42*AG40+AJ42*0.5+AK42+AM42*AG40+AN42*AG40+AP42*0.5+AQ42*0.5</f>
        <v>10144.83</v>
      </c>
      <c r="I46" s="457"/>
      <c r="J46" s="671" t="s">
        <v>198</v>
      </c>
      <c r="K46" s="672"/>
      <c r="L46" s="457"/>
      <c r="M46" s="457"/>
      <c r="N46" s="457"/>
      <c r="O46" s="457"/>
      <c r="P46" s="457"/>
      <c r="Q46" s="457"/>
      <c r="R46" s="466" t="s">
        <v>144</v>
      </c>
      <c r="S46" s="467"/>
      <c r="T46" s="468">
        <f>$M$39+$N$39+$F$39</f>
        <v>0</v>
      </c>
      <c r="U46" s="473">
        <f>(((T46*8.34)*0.005)/(8.34*1.055))/400</f>
        <v>0</v>
      </c>
    </row>
    <row r="47" spans="1:43" ht="24.75" thickTop="1" thickBot="1">
      <c r="A47" s="470" t="s">
        <v>184</v>
      </c>
      <c r="B47" s="471">
        <f>K44</f>
        <v>120995.22</v>
      </c>
      <c r="C47" s="457"/>
      <c r="D47" s="470" t="s">
        <v>186</v>
      </c>
      <c r="E47" s="471">
        <f>K44*0.5</f>
        <v>60497.61</v>
      </c>
      <c r="F47" s="464"/>
      <c r="G47" s="470" t="s">
        <v>184</v>
      </c>
      <c r="H47" s="471">
        <f>K44*0.5</f>
        <v>60497.61</v>
      </c>
      <c r="I47" s="457"/>
      <c r="J47" s="455" t="s">
        <v>197</v>
      </c>
      <c r="K47" s="456">
        <v>57272.44</v>
      </c>
      <c r="L47" s="457"/>
      <c r="M47" s="457"/>
      <c r="N47" s="457"/>
      <c r="O47" s="457"/>
      <c r="P47" s="457"/>
      <c r="Q47" s="457"/>
      <c r="R47" s="466" t="s">
        <v>147</v>
      </c>
      <c r="S47" s="467"/>
      <c r="T47" s="468">
        <f>$G$39</f>
        <v>0</v>
      </c>
      <c r="U47" s="469">
        <f>T47/40000</f>
        <v>0</v>
      </c>
    </row>
    <row r="48" spans="1:43" ht="24" thickBot="1">
      <c r="A48" s="470" t="s">
        <v>185</v>
      </c>
      <c r="B48" s="471">
        <f>K47</f>
        <v>57272.44</v>
      </c>
      <c r="C48" s="457"/>
      <c r="D48" s="470" t="s">
        <v>185</v>
      </c>
      <c r="E48" s="471">
        <f>K47*0.5</f>
        <v>28636.22</v>
      </c>
      <c r="F48" s="472"/>
      <c r="G48" s="470" t="s">
        <v>185</v>
      </c>
      <c r="H48" s="471">
        <f>K47*0.5</f>
        <v>28636.22</v>
      </c>
      <c r="I48" s="457"/>
      <c r="J48" s="457"/>
      <c r="K48" s="474"/>
      <c r="L48" s="457"/>
      <c r="M48" s="457"/>
      <c r="N48" s="457"/>
      <c r="O48" s="457"/>
      <c r="P48" s="457"/>
      <c r="Q48" s="457"/>
      <c r="R48" s="466" t="s">
        <v>149</v>
      </c>
      <c r="S48" s="467"/>
      <c r="T48" s="468">
        <f>$L$39</f>
        <v>0</v>
      </c>
      <c r="U48" s="469">
        <f>T48*9.34*0.107</f>
        <v>0</v>
      </c>
    </row>
    <row r="49" spans="1:25" ht="48" thickTop="1" thickBot="1">
      <c r="A49" s="475" t="s">
        <v>193</v>
      </c>
      <c r="B49" s="476">
        <f>AD40</f>
        <v>0</v>
      </c>
      <c r="C49" s="457"/>
      <c r="D49" s="475" t="s">
        <v>194</v>
      </c>
      <c r="E49" s="476">
        <f>AF40</f>
        <v>0</v>
      </c>
      <c r="F49" s="472"/>
      <c r="G49" s="475" t="s">
        <v>195</v>
      </c>
      <c r="H49" s="476">
        <f>AE40</f>
        <v>0</v>
      </c>
      <c r="I49" s="457"/>
      <c r="J49" s="457"/>
      <c r="K49" s="474"/>
      <c r="L49" s="457"/>
      <c r="M49" s="457"/>
      <c r="N49" s="457"/>
      <c r="O49" s="457"/>
      <c r="P49" s="457"/>
      <c r="Q49" s="457"/>
      <c r="R49" s="466" t="s">
        <v>151</v>
      </c>
      <c r="S49" s="467"/>
      <c r="T49" s="468">
        <f>$E$39+$K$39</f>
        <v>0</v>
      </c>
      <c r="U49" s="469">
        <f>(T49*8.34*1.04)/45000</f>
        <v>0</v>
      </c>
    </row>
    <row r="50" spans="1:25" ht="48" thickTop="1" thickBot="1">
      <c r="A50" s="475" t="s">
        <v>189</v>
      </c>
      <c r="B50" s="477" t="e">
        <f>(SUM(B44:B48)/AD40)</f>
        <v>#DIV/0!</v>
      </c>
      <c r="C50" s="457"/>
      <c r="D50" s="475" t="s">
        <v>187</v>
      </c>
      <c r="E50" s="477" t="e">
        <f>SUM(E44:E48)/AF40</f>
        <v>#DIV/0!</v>
      </c>
      <c r="F50" s="472"/>
      <c r="G50" s="475" t="s">
        <v>188</v>
      </c>
      <c r="H50" s="477" t="e">
        <f>SUM(H44:H48)/AE40</f>
        <v>#DIV/0!</v>
      </c>
      <c r="I50" s="457"/>
      <c r="J50" s="457"/>
      <c r="K50" s="474"/>
      <c r="L50" s="457"/>
      <c r="M50" s="457"/>
      <c r="N50" s="457"/>
      <c r="O50" s="457"/>
      <c r="P50" s="457"/>
      <c r="Q50" s="457"/>
      <c r="R50" s="466" t="s">
        <v>152</v>
      </c>
      <c r="S50" s="467"/>
      <c r="T50" s="468">
        <f>$U$39+$V$39+$AB$39</f>
        <v>0</v>
      </c>
      <c r="U50" s="469">
        <f>T50/2000/8</f>
        <v>0</v>
      </c>
    </row>
    <row r="51" spans="1:25" ht="47.25" customHeight="1" thickTop="1" thickBot="1">
      <c r="A51" s="478" t="s">
        <v>190</v>
      </c>
      <c r="B51" s="479" t="e">
        <f>B50/1000</f>
        <v>#DIV/0!</v>
      </c>
      <c r="C51" s="457"/>
      <c r="D51" s="478" t="s">
        <v>191</v>
      </c>
      <c r="E51" s="479" t="e">
        <f>E50/1000</f>
        <v>#DIV/0!</v>
      </c>
      <c r="F51" s="457"/>
      <c r="G51" s="478" t="s">
        <v>192</v>
      </c>
      <c r="H51" s="479" t="e">
        <f>H50/1000</f>
        <v>#DIV/0!</v>
      </c>
      <c r="I51" s="457"/>
      <c r="J51" s="457"/>
      <c r="K51" s="474"/>
      <c r="L51" s="457"/>
      <c r="M51" s="457"/>
      <c r="N51" s="457"/>
      <c r="O51" s="457"/>
      <c r="P51" s="457"/>
      <c r="Q51" s="457"/>
      <c r="R51" s="466" t="s">
        <v>153</v>
      </c>
      <c r="S51" s="467"/>
      <c r="T51" s="468">
        <f>$C$39+$J$39+$S$39+$T$39</f>
        <v>0</v>
      </c>
      <c r="U51" s="469">
        <f>(T51*8.34*1.4)/45000</f>
        <v>0</v>
      </c>
    </row>
    <row r="52" spans="1:25" ht="16.5" thickTop="1" thickBot="1">
      <c r="A52" s="480"/>
      <c r="B52" s="457"/>
      <c r="C52" s="457"/>
      <c r="D52" s="457"/>
      <c r="E52" s="457"/>
      <c r="F52" s="457"/>
      <c r="G52" s="457"/>
      <c r="H52" s="457"/>
      <c r="I52" s="457"/>
      <c r="J52" s="457"/>
      <c r="K52" s="474"/>
      <c r="L52" s="457"/>
      <c r="M52" s="457"/>
      <c r="N52" s="457"/>
      <c r="O52" s="457"/>
      <c r="P52" s="457"/>
      <c r="Q52" s="457"/>
      <c r="R52" s="466" t="s">
        <v>154</v>
      </c>
      <c r="S52" s="467"/>
      <c r="T52" s="468">
        <f>$H$39</f>
        <v>0</v>
      </c>
      <c r="U52" s="469">
        <f>(T52*8.34*1.135)/45000</f>
        <v>0</v>
      </c>
    </row>
    <row r="53" spans="1:25" ht="48" customHeight="1" thickTop="1" thickBot="1">
      <c r="A53" s="682" t="s">
        <v>51</v>
      </c>
      <c r="B53" s="683"/>
      <c r="C53" s="683"/>
      <c r="D53" s="683"/>
      <c r="E53" s="684"/>
      <c r="F53" s="457"/>
      <c r="G53" s="457"/>
      <c r="H53" s="457"/>
      <c r="I53" s="457"/>
      <c r="J53" s="457"/>
      <c r="K53" s="474"/>
      <c r="L53" s="457"/>
      <c r="M53" s="457"/>
      <c r="N53" s="457"/>
      <c r="O53" s="457"/>
      <c r="P53" s="457"/>
      <c r="Q53" s="457"/>
      <c r="R53" s="466" t="s">
        <v>155</v>
      </c>
      <c r="S53" s="467"/>
      <c r="T53" s="468">
        <f>$B$39+$I$39+$AC$39</f>
        <v>0</v>
      </c>
      <c r="U53" s="469">
        <f>(T53*8.34*1.029*0.03)/3300</f>
        <v>0</v>
      </c>
    </row>
    <row r="54" spans="1:25" ht="42" customHeight="1" thickBot="1">
      <c r="A54" s="666" t="s">
        <v>199</v>
      </c>
      <c r="B54" s="667"/>
      <c r="C54" s="667"/>
      <c r="D54" s="667"/>
      <c r="E54" s="668"/>
      <c r="F54" s="481"/>
      <c r="G54" s="481"/>
      <c r="H54" s="481"/>
      <c r="I54" s="481"/>
      <c r="J54" s="481"/>
      <c r="K54" s="482"/>
      <c r="L54" s="457"/>
      <c r="M54" s="457"/>
      <c r="N54" s="457"/>
      <c r="O54" s="457"/>
      <c r="P54" s="457"/>
      <c r="Q54" s="457"/>
      <c r="R54" s="676" t="s">
        <v>157</v>
      </c>
      <c r="S54" s="677"/>
      <c r="T54" s="483">
        <f>$D$39+$Y$39+$Z$39</f>
        <v>0</v>
      </c>
      <c r="U54" s="484">
        <f>(T54*1.54*8.34)/45000</f>
        <v>0</v>
      </c>
    </row>
    <row r="55" spans="1:25" ht="24" thickTop="1">
      <c r="A55" s="712"/>
      <c r="B55" s="713"/>
      <c r="C55" s="457"/>
      <c r="D55" s="457"/>
      <c r="E55" s="457"/>
      <c r="F55" s="457"/>
      <c r="G55" s="457"/>
      <c r="H55" s="457"/>
      <c r="I55" s="457"/>
      <c r="J55" s="457"/>
      <c r="K55" s="457"/>
      <c r="L55" s="457"/>
      <c r="M55" s="457"/>
      <c r="N55" s="457"/>
      <c r="O55" s="457"/>
      <c r="P55" s="457"/>
      <c r="Q55" s="457"/>
      <c r="R55" s="457"/>
      <c r="S55" s="457"/>
      <c r="T55" s="457"/>
      <c r="U55" s="457"/>
      <c r="V55" s="457"/>
      <c r="W55" s="457"/>
      <c r="X55" s="457"/>
      <c r="Y55" s="457"/>
    </row>
    <row r="56" spans="1:25">
      <c r="A56" s="714"/>
      <c r="B56" s="715"/>
      <c r="C56" s="457"/>
      <c r="D56" s="457"/>
      <c r="E56" s="457"/>
      <c r="F56" s="457"/>
      <c r="G56" s="457"/>
      <c r="H56" s="457"/>
      <c r="I56" s="457"/>
      <c r="J56" s="457"/>
      <c r="K56" s="457"/>
      <c r="L56" s="457"/>
      <c r="M56" s="457"/>
      <c r="N56" s="457"/>
      <c r="O56" s="457"/>
      <c r="P56" s="457"/>
      <c r="Q56" s="457"/>
      <c r="R56" s="457"/>
      <c r="S56" s="457"/>
      <c r="T56" s="457"/>
      <c r="U56" s="457"/>
      <c r="V56" s="457"/>
      <c r="W56" s="457"/>
      <c r="X56" s="457"/>
      <c r="Y56" s="457"/>
    </row>
    <row r="57" spans="1:25">
      <c r="A57" s="710"/>
      <c r="B57" s="711"/>
      <c r="C57" s="457"/>
      <c r="D57" s="457"/>
      <c r="E57" s="457"/>
      <c r="F57" s="457"/>
      <c r="G57" s="457"/>
      <c r="H57" s="457"/>
      <c r="I57" s="457"/>
      <c r="J57" s="457"/>
      <c r="K57" s="457"/>
      <c r="L57" s="457"/>
      <c r="M57" s="457"/>
      <c r="N57" s="457"/>
      <c r="O57" s="457"/>
      <c r="P57" s="457"/>
      <c r="Q57" s="457"/>
      <c r="R57" s="457"/>
      <c r="S57" s="457"/>
      <c r="T57" s="457"/>
      <c r="U57" s="457"/>
      <c r="V57" s="457"/>
      <c r="W57" s="457"/>
      <c r="X57" s="457"/>
      <c r="Y57" s="457"/>
    </row>
    <row r="58" spans="1:25">
      <c r="A58" s="711"/>
      <c r="B58" s="711"/>
      <c r="C58" s="457"/>
      <c r="D58" s="457"/>
      <c r="E58" s="457"/>
      <c r="F58" s="457"/>
      <c r="G58" s="457"/>
      <c r="H58" s="457"/>
      <c r="I58" s="457"/>
      <c r="J58" s="457"/>
      <c r="K58" s="457"/>
      <c r="L58" s="457"/>
      <c r="M58" s="457"/>
      <c r="N58" s="457"/>
      <c r="O58" s="457"/>
      <c r="P58" s="457"/>
      <c r="Q58" s="457"/>
      <c r="R58" s="457"/>
      <c r="S58" s="457"/>
      <c r="T58" s="457"/>
      <c r="U58" s="457"/>
      <c r="V58" s="457"/>
      <c r="W58" s="457"/>
      <c r="X58" s="457"/>
      <c r="Y58" s="457"/>
    </row>
    <row r="59" spans="1:25">
      <c r="A59" s="710"/>
      <c r="B59" s="711"/>
      <c r="C59" s="457"/>
      <c r="D59" s="457"/>
      <c r="E59" s="457"/>
      <c r="F59" s="457"/>
      <c r="G59" s="457"/>
      <c r="H59" s="457"/>
      <c r="I59" s="457"/>
      <c r="J59" s="457"/>
      <c r="K59" s="457"/>
      <c r="L59" s="457"/>
      <c r="M59" s="457"/>
      <c r="N59" s="457"/>
      <c r="O59" s="457"/>
      <c r="P59" s="457"/>
      <c r="Q59" s="457"/>
      <c r="R59" s="457"/>
      <c r="S59" s="457"/>
      <c r="T59" s="457"/>
      <c r="U59" s="457"/>
      <c r="V59" s="457"/>
      <c r="W59" s="457"/>
      <c r="X59" s="457"/>
      <c r="Y59" s="457"/>
    </row>
    <row r="60" spans="1:25">
      <c r="A60" s="711"/>
      <c r="B60" s="711"/>
      <c r="C60" s="457"/>
      <c r="D60" s="457"/>
      <c r="E60" s="457"/>
      <c r="F60" s="457"/>
      <c r="G60" s="457"/>
      <c r="H60" s="457"/>
      <c r="I60" s="457"/>
      <c r="J60" s="457"/>
      <c r="K60" s="457"/>
    </row>
    <row r="61" spans="1:25">
      <c r="A61" s="457"/>
      <c r="B61" s="457"/>
      <c r="C61" s="457"/>
    </row>
    <row r="62" spans="1:25">
      <c r="A62" s="457"/>
      <c r="B62" s="457"/>
      <c r="C62" s="457"/>
    </row>
    <row r="63" spans="1:25">
      <c r="A63" s="457"/>
      <c r="B63" s="457"/>
      <c r="C63" s="457"/>
    </row>
  </sheetData>
  <sheetProtection password="A25B" sheet="1" objects="1" scenarios="1"/>
  <customSheetViews>
    <customSheetView guid="{322E6371-A03C-4BCA-B267-212DFC76880A}" scale="80" fitToPage="1">
      <selection activeCell="A14" sqref="A14"/>
      <pageMargins left="0.33" right="0.19" top="0.75" bottom="0.75" header="0.3" footer="0.3"/>
      <pageSetup paperSize="17" scale="22" orientation="landscape" r:id="rId1"/>
    </customSheetView>
  </customSheetViews>
  <mergeCells count="34">
    <mergeCell ref="A57:B58"/>
    <mergeCell ref="A59:B60"/>
    <mergeCell ref="A55:B55"/>
    <mergeCell ref="A56:B56"/>
    <mergeCell ref="AB4:AB5"/>
    <mergeCell ref="A53:E53"/>
    <mergeCell ref="A54:E54"/>
    <mergeCell ref="R54:S54"/>
    <mergeCell ref="U4:AA5"/>
    <mergeCell ref="AC4:AC5"/>
    <mergeCell ref="J43:K43"/>
    <mergeCell ref="J46:K46"/>
    <mergeCell ref="A42:K42"/>
    <mergeCell ref="AN4:AN5"/>
    <mergeCell ref="R43:U43"/>
    <mergeCell ref="AD4:AD5"/>
    <mergeCell ref="AE4:AE5"/>
    <mergeCell ref="AF4:AF5"/>
    <mergeCell ref="AG4:AG5"/>
    <mergeCell ref="A43:B43"/>
    <mergeCell ref="D43:E43"/>
    <mergeCell ref="G43:H43"/>
    <mergeCell ref="B4:H5"/>
    <mergeCell ref="I4:N5"/>
    <mergeCell ref="O4:T5"/>
    <mergeCell ref="AO4:AO5"/>
    <mergeCell ref="AP4:AP5"/>
    <mergeCell ref="AQ4:AQ5"/>
    <mergeCell ref="AH4:AH5"/>
    <mergeCell ref="AI4:AI5"/>
    <mergeCell ref="AJ4:AJ5"/>
    <mergeCell ref="AK4:AK5"/>
    <mergeCell ref="AL4:AL5"/>
    <mergeCell ref="AM4:AM5"/>
  </mergeCells>
  <pageMargins left="0.33" right="0.19" top="0.75" bottom="0.75" header="0.3" footer="0.3"/>
  <pageSetup paperSize="17" scale="22" orientation="landscape"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U63"/>
  <sheetViews>
    <sheetView topLeftCell="A28" zoomScale="80" zoomScaleNormal="80" workbookViewId="0">
      <selection activeCell="H51" sqref="H51"/>
    </sheetView>
  </sheetViews>
  <sheetFormatPr defaultRowHeight="15"/>
  <cols>
    <col min="1" max="1" width="35.140625" style="355" bestFit="1" customWidth="1"/>
    <col min="2" max="2" width="19.28515625" style="355" bestFit="1" customWidth="1"/>
    <col min="3" max="3" width="27.7109375" style="355" bestFit="1" customWidth="1"/>
    <col min="4" max="4" width="29.5703125" style="355" customWidth="1"/>
    <col min="5" max="5" width="22.28515625" style="355" bestFit="1" customWidth="1"/>
    <col min="6" max="6" width="15" style="355" bestFit="1" customWidth="1"/>
    <col min="7" max="7" width="35.5703125" style="355" customWidth="1"/>
    <col min="8" max="8" width="17.28515625" style="355" bestFit="1" customWidth="1"/>
    <col min="9" max="9" width="15" style="355" bestFit="1" customWidth="1"/>
    <col min="10" max="10" width="16.42578125" style="355" bestFit="1" customWidth="1"/>
    <col min="11" max="11" width="19.85546875" style="355" bestFit="1" customWidth="1"/>
    <col min="12" max="12" width="17" style="355" bestFit="1" customWidth="1"/>
    <col min="13" max="13" width="16" style="355" bestFit="1" customWidth="1"/>
    <col min="14" max="14" width="15" style="355" bestFit="1" customWidth="1"/>
    <col min="15" max="16" width="16.140625" style="355" bestFit="1" customWidth="1"/>
    <col min="17" max="17" width="23.85546875" style="355" bestFit="1" customWidth="1"/>
    <col min="18" max="18" width="24.28515625" style="355" bestFit="1" customWidth="1"/>
    <col min="19" max="19" width="25.85546875" style="355" bestFit="1" customWidth="1"/>
    <col min="20" max="20" width="25.7109375" style="355" bestFit="1" customWidth="1"/>
    <col min="21" max="22" width="11.42578125" style="355" bestFit="1" customWidth="1"/>
    <col min="23" max="23" width="20.140625" style="355" bestFit="1" customWidth="1"/>
    <col min="24" max="24" width="19.85546875" style="355" bestFit="1" customWidth="1"/>
    <col min="25" max="25" width="22.42578125" style="355" bestFit="1" customWidth="1"/>
    <col min="26" max="26" width="22.140625" style="355" bestFit="1" customWidth="1"/>
    <col min="27" max="27" width="21.140625" style="355" bestFit="1" customWidth="1"/>
    <col min="28" max="28" width="32.7109375" style="355" bestFit="1" customWidth="1"/>
    <col min="29" max="29" width="36.7109375" style="355" customWidth="1"/>
    <col min="30" max="30" width="33.140625" style="355" bestFit="1" customWidth="1"/>
    <col min="31" max="31" width="26.85546875" style="355" customWidth="1"/>
    <col min="32" max="32" width="23" style="355" customWidth="1"/>
    <col min="33" max="33" width="22.28515625" style="355" customWidth="1"/>
    <col min="34" max="34" width="22.5703125" style="355" bestFit="1" customWidth="1"/>
    <col min="35" max="35" width="16" style="355" bestFit="1" customWidth="1"/>
    <col min="36" max="36" width="16.7109375" style="355" bestFit="1" customWidth="1"/>
    <col min="37" max="38" width="15.140625" style="355" bestFit="1" customWidth="1"/>
    <col min="39" max="39" width="21.28515625" style="355" bestFit="1" customWidth="1"/>
    <col min="40" max="40" width="18.28515625" style="355" bestFit="1" customWidth="1"/>
    <col min="41" max="43" width="15.140625" style="355" bestFit="1" customWidth="1"/>
    <col min="44" max="16384" width="9.140625" style="355"/>
  </cols>
  <sheetData>
    <row r="1" spans="1:47" ht="15" customHeight="1">
      <c r="A1" s="353" t="s">
        <v>0</v>
      </c>
      <c r="B1" s="354"/>
      <c r="C1" s="355" t="s">
        <v>1</v>
      </c>
      <c r="O1" s="356"/>
      <c r="P1" s="357"/>
      <c r="Q1" s="357"/>
      <c r="R1" s="357"/>
    </row>
    <row r="2" spans="1:47" ht="15" customHeight="1">
      <c r="A2" s="353" t="s">
        <v>2</v>
      </c>
      <c r="B2" s="358"/>
      <c r="O2" s="357"/>
      <c r="P2" s="357"/>
      <c r="Q2" s="357"/>
      <c r="R2" s="357"/>
    </row>
    <row r="3" spans="1:47" ht="15.75" thickBot="1">
      <c r="A3" s="359"/>
    </row>
    <row r="4" spans="1:47" ht="30" customHeight="1" thickTop="1">
      <c r="A4" s="360"/>
      <c r="B4" s="689" t="s">
        <v>3</v>
      </c>
      <c r="C4" s="690"/>
      <c r="D4" s="690"/>
      <c r="E4" s="690"/>
      <c r="F4" s="690"/>
      <c r="G4" s="690"/>
      <c r="H4" s="691"/>
      <c r="I4" s="689" t="s">
        <v>4</v>
      </c>
      <c r="J4" s="690"/>
      <c r="K4" s="690"/>
      <c r="L4" s="690"/>
      <c r="M4" s="690"/>
      <c r="N4" s="691"/>
      <c r="O4" s="695" t="s">
        <v>5</v>
      </c>
      <c r="P4" s="696"/>
      <c r="Q4" s="697"/>
      <c r="R4" s="697"/>
      <c r="S4" s="697"/>
      <c r="T4" s="698"/>
      <c r="U4" s="689" t="s">
        <v>6</v>
      </c>
      <c r="V4" s="702"/>
      <c r="W4" s="702"/>
      <c r="X4" s="702"/>
      <c r="Y4" s="702"/>
      <c r="Z4" s="702"/>
      <c r="AA4" s="703"/>
      <c r="AB4" s="674" t="s">
        <v>7</v>
      </c>
      <c r="AC4" s="708" t="s">
        <v>8</v>
      </c>
      <c r="AD4" s="687" t="s">
        <v>27</v>
      </c>
      <c r="AE4" s="687" t="s">
        <v>31</v>
      </c>
      <c r="AF4" s="687" t="s">
        <v>32</v>
      </c>
      <c r="AG4" s="687" t="s">
        <v>33</v>
      </c>
      <c r="AH4" s="674" t="s">
        <v>172</v>
      </c>
      <c r="AI4" s="674" t="s">
        <v>173</v>
      </c>
      <c r="AJ4" s="674" t="s">
        <v>174</v>
      </c>
      <c r="AK4" s="674" t="s">
        <v>175</v>
      </c>
      <c r="AL4" s="674" t="s">
        <v>176</v>
      </c>
      <c r="AM4" s="674" t="s">
        <v>177</v>
      </c>
      <c r="AN4" s="674" t="s">
        <v>178</v>
      </c>
      <c r="AO4" s="674" t="s">
        <v>181</v>
      </c>
      <c r="AP4" s="674" t="s">
        <v>179</v>
      </c>
      <c r="AQ4" s="674" t="s">
        <v>180</v>
      </c>
      <c r="AU4" s="454"/>
    </row>
    <row r="5" spans="1:47" ht="30" customHeight="1" thickBot="1">
      <c r="A5" s="360"/>
      <c r="B5" s="692"/>
      <c r="C5" s="693"/>
      <c r="D5" s="693"/>
      <c r="E5" s="693"/>
      <c r="F5" s="693"/>
      <c r="G5" s="693"/>
      <c r="H5" s="694"/>
      <c r="I5" s="692"/>
      <c r="J5" s="693"/>
      <c r="K5" s="693"/>
      <c r="L5" s="693"/>
      <c r="M5" s="693"/>
      <c r="N5" s="694"/>
      <c r="O5" s="699"/>
      <c r="P5" s="700"/>
      <c r="Q5" s="700"/>
      <c r="R5" s="700"/>
      <c r="S5" s="700"/>
      <c r="T5" s="701"/>
      <c r="U5" s="704"/>
      <c r="V5" s="705"/>
      <c r="W5" s="705"/>
      <c r="X5" s="705"/>
      <c r="Y5" s="705"/>
      <c r="Z5" s="705"/>
      <c r="AA5" s="706"/>
      <c r="AB5" s="707"/>
      <c r="AC5" s="709"/>
      <c r="AD5" s="688"/>
      <c r="AE5" s="688"/>
      <c r="AF5" s="688"/>
      <c r="AG5" s="688"/>
      <c r="AH5" s="675"/>
      <c r="AI5" s="675"/>
      <c r="AJ5" s="675"/>
      <c r="AK5" s="675"/>
      <c r="AL5" s="675"/>
      <c r="AM5" s="675"/>
      <c r="AN5" s="675"/>
      <c r="AO5" s="675"/>
      <c r="AP5" s="675"/>
      <c r="AQ5" s="675"/>
    </row>
    <row r="6" spans="1:47" ht="15.75" customHeight="1">
      <c r="A6" s="362"/>
      <c r="B6" s="363" t="s">
        <v>9</v>
      </c>
      <c r="C6" s="364" t="s">
        <v>10</v>
      </c>
      <c r="D6" s="364" t="s">
        <v>11</v>
      </c>
      <c r="E6" s="364" t="s">
        <v>12</v>
      </c>
      <c r="F6" s="364" t="s">
        <v>13</v>
      </c>
      <c r="G6" s="364" t="s">
        <v>14</v>
      </c>
      <c r="H6" s="365" t="s">
        <v>15</v>
      </c>
      <c r="I6" s="366" t="s">
        <v>9</v>
      </c>
      <c r="J6" s="364" t="s">
        <v>16</v>
      </c>
      <c r="K6" s="364" t="s">
        <v>17</v>
      </c>
      <c r="L6" s="367" t="s">
        <v>18</v>
      </c>
      <c r="M6" s="364" t="s">
        <v>19</v>
      </c>
      <c r="N6" s="365" t="s">
        <v>13</v>
      </c>
      <c r="O6" s="363" t="s">
        <v>35</v>
      </c>
      <c r="P6" s="367" t="s">
        <v>36</v>
      </c>
      <c r="Q6" s="367" t="s">
        <v>37</v>
      </c>
      <c r="R6" s="367" t="s">
        <v>38</v>
      </c>
      <c r="S6" s="364" t="s">
        <v>39</v>
      </c>
      <c r="T6" s="368" t="s">
        <v>40</v>
      </c>
      <c r="U6" s="369" t="s">
        <v>41</v>
      </c>
      <c r="V6" s="364" t="s">
        <v>42</v>
      </c>
      <c r="W6" s="364" t="s">
        <v>43</v>
      </c>
      <c r="X6" s="364" t="s">
        <v>44</v>
      </c>
      <c r="Y6" s="364" t="s">
        <v>45</v>
      </c>
      <c r="Z6" s="364" t="s">
        <v>46</v>
      </c>
      <c r="AA6" s="370" t="s">
        <v>20</v>
      </c>
      <c r="AB6" s="371" t="s">
        <v>21</v>
      </c>
      <c r="AC6" s="371" t="s">
        <v>22</v>
      </c>
      <c r="AD6" s="372" t="s">
        <v>30</v>
      </c>
      <c r="AE6" s="372"/>
      <c r="AF6" s="372"/>
      <c r="AG6" s="372"/>
      <c r="AH6" s="372"/>
      <c r="AI6" s="372"/>
      <c r="AJ6" s="372"/>
      <c r="AK6" s="372"/>
      <c r="AL6" s="372"/>
      <c r="AM6" s="372"/>
      <c r="AN6" s="372"/>
      <c r="AO6" s="372"/>
      <c r="AP6" s="372"/>
      <c r="AQ6" s="372"/>
    </row>
    <row r="7" spans="1:47" ht="15.75" customHeight="1" thickBot="1">
      <c r="A7" s="362"/>
      <c r="B7" s="373" t="s">
        <v>23</v>
      </c>
      <c r="C7" s="374" t="s">
        <v>23</v>
      </c>
      <c r="D7" s="374" t="s">
        <v>23</v>
      </c>
      <c r="E7" s="374" t="s">
        <v>23</v>
      </c>
      <c r="F7" s="374" t="s">
        <v>23</v>
      </c>
      <c r="G7" s="374" t="s">
        <v>24</v>
      </c>
      <c r="H7" s="375" t="s">
        <v>23</v>
      </c>
      <c r="I7" s="373" t="s">
        <v>23</v>
      </c>
      <c r="J7" s="374" t="s">
        <v>23</v>
      </c>
      <c r="K7" s="374" t="s">
        <v>23</v>
      </c>
      <c r="L7" s="374" t="s">
        <v>23</v>
      </c>
      <c r="M7" s="374" t="s">
        <v>23</v>
      </c>
      <c r="N7" s="375" t="s">
        <v>23</v>
      </c>
      <c r="O7" s="373" t="s">
        <v>23</v>
      </c>
      <c r="P7" s="374" t="s">
        <v>23</v>
      </c>
      <c r="Q7" s="374" t="s">
        <v>23</v>
      </c>
      <c r="R7" s="374" t="s">
        <v>23</v>
      </c>
      <c r="S7" s="374" t="s">
        <v>23</v>
      </c>
      <c r="T7" s="376" t="s">
        <v>23</v>
      </c>
      <c r="U7" s="373" t="s">
        <v>25</v>
      </c>
      <c r="V7" s="374" t="s">
        <v>25</v>
      </c>
      <c r="W7" s="374" t="s">
        <v>23</v>
      </c>
      <c r="X7" s="374" t="s">
        <v>23</v>
      </c>
      <c r="Y7" s="374" t="s">
        <v>23</v>
      </c>
      <c r="Z7" s="374" t="s">
        <v>23</v>
      </c>
      <c r="AA7" s="375" t="s">
        <v>23</v>
      </c>
      <c r="AB7" s="377" t="s">
        <v>25</v>
      </c>
      <c r="AC7" s="378" t="s">
        <v>23</v>
      </c>
      <c r="AD7" s="377" t="s">
        <v>28</v>
      </c>
      <c r="AE7" s="377" t="s">
        <v>28</v>
      </c>
      <c r="AF7" s="377" t="s">
        <v>28</v>
      </c>
      <c r="AG7" s="377" t="s">
        <v>34</v>
      </c>
      <c r="AH7" s="377" t="s">
        <v>169</v>
      </c>
      <c r="AI7" s="377" t="s">
        <v>169</v>
      </c>
      <c r="AJ7" s="377" t="s">
        <v>169</v>
      </c>
      <c r="AK7" s="377" t="s">
        <v>169</v>
      </c>
      <c r="AL7" s="377" t="s">
        <v>169</v>
      </c>
      <c r="AM7" s="377" t="s">
        <v>169</v>
      </c>
      <c r="AN7" s="377" t="s">
        <v>169</v>
      </c>
      <c r="AO7" s="377" t="s">
        <v>169</v>
      </c>
      <c r="AP7" s="377" t="s">
        <v>169</v>
      </c>
      <c r="AQ7" s="377" t="s">
        <v>169</v>
      </c>
    </row>
    <row r="8" spans="1:47">
      <c r="A8" s="379">
        <v>40969</v>
      </c>
      <c r="B8" s="380"/>
      <c r="C8" s="381">
        <v>0</v>
      </c>
      <c r="D8" s="381">
        <v>0</v>
      </c>
      <c r="E8" s="381">
        <v>0</v>
      </c>
      <c r="F8" s="381">
        <v>0</v>
      </c>
      <c r="G8" s="381">
        <v>0</v>
      </c>
      <c r="H8" s="382">
        <v>0</v>
      </c>
      <c r="I8" s="380">
        <v>0</v>
      </c>
      <c r="J8" s="381">
        <v>0</v>
      </c>
      <c r="K8" s="381">
        <v>0</v>
      </c>
      <c r="L8" s="381">
        <v>0</v>
      </c>
      <c r="M8" s="381">
        <v>0</v>
      </c>
      <c r="N8" s="382">
        <v>0</v>
      </c>
      <c r="O8" s="380">
        <v>0</v>
      </c>
      <c r="P8" s="381">
        <v>0</v>
      </c>
      <c r="Q8" s="381">
        <v>0</v>
      </c>
      <c r="R8" s="381">
        <v>0</v>
      </c>
      <c r="S8" s="381">
        <v>0</v>
      </c>
      <c r="T8" s="383">
        <v>0</v>
      </c>
      <c r="U8" s="384">
        <v>0</v>
      </c>
      <c r="V8" s="385">
        <v>0</v>
      </c>
      <c r="W8" s="385">
        <v>0</v>
      </c>
      <c r="X8" s="385">
        <v>0</v>
      </c>
      <c r="Y8" s="385">
        <v>0</v>
      </c>
      <c r="Z8" s="385">
        <v>0</v>
      </c>
      <c r="AA8" s="386">
        <v>0</v>
      </c>
      <c r="AB8" s="387">
        <v>0</v>
      </c>
      <c r="AC8" s="388">
        <v>0</v>
      </c>
      <c r="AD8" s="388">
        <v>0</v>
      </c>
      <c r="AE8" s="389">
        <v>0</v>
      </c>
      <c r="AF8" s="389">
        <v>0</v>
      </c>
      <c r="AG8" s="389">
        <v>0</v>
      </c>
      <c r="AH8" s="388">
        <v>241.4688621044159</v>
      </c>
      <c r="AI8" s="388">
        <v>546.53676528930669</v>
      </c>
      <c r="AJ8" s="388">
        <v>1015.9210293451945</v>
      </c>
      <c r="AK8" s="388">
        <v>210.88926127751662</v>
      </c>
      <c r="AL8" s="388">
        <v>1128.7126722971598</v>
      </c>
      <c r="AM8" s="388">
        <v>1506.3152837753296</v>
      </c>
      <c r="AN8" s="388">
        <v>530.21134626070659</v>
      </c>
      <c r="AO8" s="388">
        <v>413.5858154296875</v>
      </c>
      <c r="AP8" s="388">
        <v>139.83609721461931</v>
      </c>
      <c r="AQ8" s="388">
        <v>662.1104474067688</v>
      </c>
    </row>
    <row r="9" spans="1:47">
      <c r="A9" s="379">
        <v>40970</v>
      </c>
      <c r="B9" s="390"/>
      <c r="C9" s="391">
        <v>0</v>
      </c>
      <c r="D9" s="391">
        <v>0</v>
      </c>
      <c r="E9" s="391">
        <v>0</v>
      </c>
      <c r="F9" s="391">
        <v>0</v>
      </c>
      <c r="G9" s="391">
        <v>0</v>
      </c>
      <c r="H9" s="392">
        <v>0</v>
      </c>
      <c r="I9" s="390">
        <v>0</v>
      </c>
      <c r="J9" s="391">
        <v>0</v>
      </c>
      <c r="K9" s="391">
        <v>0</v>
      </c>
      <c r="L9" s="391">
        <v>0</v>
      </c>
      <c r="M9" s="391">
        <v>0</v>
      </c>
      <c r="N9" s="392">
        <v>0</v>
      </c>
      <c r="O9" s="390">
        <v>0</v>
      </c>
      <c r="P9" s="391">
        <v>0</v>
      </c>
      <c r="Q9" s="393">
        <v>0</v>
      </c>
      <c r="R9" s="394">
        <v>0</v>
      </c>
      <c r="S9" s="391">
        <v>0</v>
      </c>
      <c r="T9" s="395">
        <v>0</v>
      </c>
      <c r="U9" s="396">
        <v>0</v>
      </c>
      <c r="V9" s="393">
        <v>0</v>
      </c>
      <c r="W9" s="393">
        <v>0</v>
      </c>
      <c r="X9" s="393">
        <v>0</v>
      </c>
      <c r="Y9" s="397">
        <v>0</v>
      </c>
      <c r="Z9" s="397">
        <v>0</v>
      </c>
      <c r="AA9" s="398">
        <v>0</v>
      </c>
      <c r="AB9" s="399">
        <v>0</v>
      </c>
      <c r="AC9" s="400">
        <v>0</v>
      </c>
      <c r="AD9" s="400">
        <v>0</v>
      </c>
      <c r="AE9" s="399">
        <v>0</v>
      </c>
      <c r="AF9" s="399">
        <v>0</v>
      </c>
      <c r="AG9" s="399">
        <v>0</v>
      </c>
      <c r="AH9" s="400">
        <v>254.31267495950061</v>
      </c>
      <c r="AI9" s="400">
        <v>583.85936737060547</v>
      </c>
      <c r="AJ9" s="400">
        <v>1056.2119208017982</v>
      </c>
      <c r="AK9" s="400">
        <v>231.24826815923058</v>
      </c>
      <c r="AL9" s="400">
        <v>1204.2750785509747</v>
      </c>
      <c r="AM9" s="400">
        <v>1553.8613736470543</v>
      </c>
      <c r="AN9" s="400">
        <v>568.17283603350313</v>
      </c>
      <c r="AO9" s="400">
        <v>413.5858154296875</v>
      </c>
      <c r="AP9" s="400">
        <v>154.51505650679272</v>
      </c>
      <c r="AQ9" s="400">
        <v>676.341637102763</v>
      </c>
    </row>
    <row r="10" spans="1:47">
      <c r="A10" s="379">
        <v>40971</v>
      </c>
      <c r="B10" s="390"/>
      <c r="C10" s="391">
        <v>0</v>
      </c>
      <c r="D10" s="391">
        <v>0</v>
      </c>
      <c r="E10" s="391">
        <v>0</v>
      </c>
      <c r="F10" s="391">
        <v>0</v>
      </c>
      <c r="G10" s="391">
        <v>0</v>
      </c>
      <c r="H10" s="392">
        <v>0</v>
      </c>
      <c r="I10" s="390">
        <v>0</v>
      </c>
      <c r="J10" s="391">
        <v>0</v>
      </c>
      <c r="K10" s="391">
        <v>0</v>
      </c>
      <c r="L10" s="391">
        <v>0</v>
      </c>
      <c r="M10" s="391">
        <v>0</v>
      </c>
      <c r="N10" s="392">
        <v>0</v>
      </c>
      <c r="O10" s="390">
        <v>0</v>
      </c>
      <c r="P10" s="391">
        <v>0</v>
      </c>
      <c r="Q10" s="391">
        <v>0</v>
      </c>
      <c r="R10" s="394">
        <v>0</v>
      </c>
      <c r="S10" s="391">
        <v>0</v>
      </c>
      <c r="T10" s="395">
        <v>0</v>
      </c>
      <c r="U10" s="396">
        <v>0</v>
      </c>
      <c r="V10" s="393">
        <v>0</v>
      </c>
      <c r="W10" s="393">
        <v>0</v>
      </c>
      <c r="X10" s="393">
        <v>0</v>
      </c>
      <c r="Y10" s="397">
        <v>0</v>
      </c>
      <c r="Z10" s="397">
        <v>0</v>
      </c>
      <c r="AA10" s="398">
        <v>0</v>
      </c>
      <c r="AB10" s="399">
        <v>0</v>
      </c>
      <c r="AC10" s="400">
        <v>0</v>
      </c>
      <c r="AD10" s="400">
        <v>0</v>
      </c>
      <c r="AE10" s="399">
        <v>0</v>
      </c>
      <c r="AF10" s="399">
        <v>0</v>
      </c>
      <c r="AG10" s="399">
        <v>0</v>
      </c>
      <c r="AH10" s="400">
        <v>273.20325973033908</v>
      </c>
      <c r="AI10" s="400">
        <v>587.56831281979885</v>
      </c>
      <c r="AJ10" s="400">
        <v>1081.4033346811927</v>
      </c>
      <c r="AK10" s="400">
        <v>227.85791402657827</v>
      </c>
      <c r="AL10" s="400">
        <v>1116.8901596069336</v>
      </c>
      <c r="AM10" s="400">
        <v>1625.0929402669267</v>
      </c>
      <c r="AN10" s="400">
        <v>585.98450530370087</v>
      </c>
      <c r="AO10" s="400">
        <v>413.5858154296875</v>
      </c>
      <c r="AP10" s="400">
        <v>233.84220286011697</v>
      </c>
      <c r="AQ10" s="400">
        <v>693.27150408426928</v>
      </c>
    </row>
    <row r="11" spans="1:47">
      <c r="A11" s="379">
        <v>40972</v>
      </c>
      <c r="B11" s="390"/>
      <c r="C11" s="391">
        <v>0</v>
      </c>
      <c r="D11" s="391">
        <v>0</v>
      </c>
      <c r="E11" s="391">
        <v>0</v>
      </c>
      <c r="F11" s="391">
        <v>0</v>
      </c>
      <c r="G11" s="391">
        <v>0</v>
      </c>
      <c r="H11" s="392">
        <v>0</v>
      </c>
      <c r="I11" s="390">
        <v>0</v>
      </c>
      <c r="J11" s="391">
        <v>0</v>
      </c>
      <c r="K11" s="391">
        <v>0</v>
      </c>
      <c r="L11" s="391">
        <v>0</v>
      </c>
      <c r="M11" s="391">
        <v>0</v>
      </c>
      <c r="N11" s="392">
        <v>0</v>
      </c>
      <c r="O11" s="390">
        <v>0</v>
      </c>
      <c r="P11" s="391">
        <v>0</v>
      </c>
      <c r="Q11" s="391">
        <v>0</v>
      </c>
      <c r="R11" s="394">
        <v>0</v>
      </c>
      <c r="S11" s="391">
        <v>0</v>
      </c>
      <c r="T11" s="395">
        <v>0</v>
      </c>
      <c r="U11" s="396">
        <v>0</v>
      </c>
      <c r="V11" s="393">
        <v>0</v>
      </c>
      <c r="W11" s="393">
        <v>0</v>
      </c>
      <c r="X11" s="393">
        <v>0</v>
      </c>
      <c r="Y11" s="397">
        <v>0</v>
      </c>
      <c r="Z11" s="397">
        <v>0</v>
      </c>
      <c r="AA11" s="398">
        <v>0</v>
      </c>
      <c r="AB11" s="399">
        <v>0</v>
      </c>
      <c r="AC11" s="400">
        <v>0</v>
      </c>
      <c r="AD11" s="400">
        <v>0</v>
      </c>
      <c r="AE11" s="399">
        <v>0</v>
      </c>
      <c r="AF11" s="399">
        <v>0</v>
      </c>
      <c r="AG11" s="399">
        <v>0</v>
      </c>
      <c r="AH11" s="400">
        <v>217.92714691162112</v>
      </c>
      <c r="AI11" s="400">
        <v>484.31035814285275</v>
      </c>
      <c r="AJ11" s="400">
        <v>1096.1407929738361</v>
      </c>
      <c r="AK11" s="400">
        <v>179.15800009568537</v>
      </c>
      <c r="AL11" s="400">
        <v>1006.0642543792728</v>
      </c>
      <c r="AM11" s="400">
        <v>1494.3730667114257</v>
      </c>
      <c r="AN11" s="400">
        <v>537.78394130071001</v>
      </c>
      <c r="AO11" s="400">
        <v>381.27793593406682</v>
      </c>
      <c r="AP11" s="400">
        <v>110.21116701165835</v>
      </c>
      <c r="AQ11" s="400">
        <v>700.77573480606088</v>
      </c>
    </row>
    <row r="12" spans="1:47">
      <c r="A12" s="379">
        <v>40973</v>
      </c>
      <c r="B12" s="390"/>
      <c r="C12" s="391">
        <v>0</v>
      </c>
      <c r="D12" s="391">
        <v>0</v>
      </c>
      <c r="E12" s="391">
        <v>0</v>
      </c>
      <c r="F12" s="391">
        <v>0</v>
      </c>
      <c r="G12" s="391">
        <v>0</v>
      </c>
      <c r="H12" s="392">
        <v>0</v>
      </c>
      <c r="I12" s="390">
        <v>0</v>
      </c>
      <c r="J12" s="391">
        <v>0</v>
      </c>
      <c r="K12" s="391">
        <v>0</v>
      </c>
      <c r="L12" s="391">
        <v>0</v>
      </c>
      <c r="M12" s="391">
        <v>0</v>
      </c>
      <c r="N12" s="392">
        <v>0</v>
      </c>
      <c r="O12" s="390">
        <v>0</v>
      </c>
      <c r="P12" s="391">
        <v>0</v>
      </c>
      <c r="Q12" s="391">
        <v>0</v>
      </c>
      <c r="R12" s="394">
        <v>0</v>
      </c>
      <c r="S12" s="391">
        <v>0</v>
      </c>
      <c r="T12" s="395">
        <v>0</v>
      </c>
      <c r="U12" s="396">
        <v>0</v>
      </c>
      <c r="V12" s="393">
        <v>0</v>
      </c>
      <c r="W12" s="393">
        <v>0</v>
      </c>
      <c r="X12" s="393">
        <v>0</v>
      </c>
      <c r="Y12" s="397">
        <v>0</v>
      </c>
      <c r="Z12" s="397">
        <v>0</v>
      </c>
      <c r="AA12" s="398">
        <v>0</v>
      </c>
      <c r="AB12" s="399">
        <v>0</v>
      </c>
      <c r="AC12" s="400">
        <v>0</v>
      </c>
      <c r="AD12" s="400">
        <v>0</v>
      </c>
      <c r="AE12" s="399">
        <v>0</v>
      </c>
      <c r="AF12" s="399">
        <v>0</v>
      </c>
      <c r="AG12" s="399">
        <v>0</v>
      </c>
      <c r="AH12" s="400">
        <v>192.63676429589589</v>
      </c>
      <c r="AI12" s="400">
        <v>446.34280893007912</v>
      </c>
      <c r="AJ12" s="400">
        <v>1004.4864492416381</v>
      </c>
      <c r="AK12" s="400">
        <v>175.37034022013347</v>
      </c>
      <c r="AL12" s="400">
        <v>932.49184128443392</v>
      </c>
      <c r="AM12" s="400">
        <v>1510.7579876581829</v>
      </c>
      <c r="AN12" s="400">
        <v>501.70529478391012</v>
      </c>
      <c r="AO12" s="400">
        <v>403.18711279233298</v>
      </c>
      <c r="AP12" s="400">
        <v>97.279142938057589</v>
      </c>
      <c r="AQ12" s="400">
        <v>744.53407351175952</v>
      </c>
    </row>
    <row r="13" spans="1:47">
      <c r="A13" s="379">
        <v>40974</v>
      </c>
      <c r="B13" s="390"/>
      <c r="C13" s="391">
        <v>0</v>
      </c>
      <c r="D13" s="391">
        <v>0</v>
      </c>
      <c r="E13" s="391">
        <v>0</v>
      </c>
      <c r="F13" s="391">
        <v>0</v>
      </c>
      <c r="G13" s="391">
        <v>0</v>
      </c>
      <c r="H13" s="392">
        <v>0</v>
      </c>
      <c r="I13" s="390">
        <v>0</v>
      </c>
      <c r="J13" s="391">
        <v>0</v>
      </c>
      <c r="K13" s="391">
        <v>0</v>
      </c>
      <c r="L13" s="391">
        <v>0</v>
      </c>
      <c r="M13" s="391">
        <v>0</v>
      </c>
      <c r="N13" s="392">
        <v>0</v>
      </c>
      <c r="O13" s="390">
        <v>0</v>
      </c>
      <c r="P13" s="391">
        <v>0</v>
      </c>
      <c r="Q13" s="391">
        <v>0</v>
      </c>
      <c r="R13" s="394">
        <v>0</v>
      </c>
      <c r="S13" s="391">
        <v>0</v>
      </c>
      <c r="T13" s="395">
        <v>0</v>
      </c>
      <c r="U13" s="396">
        <v>0</v>
      </c>
      <c r="V13" s="393">
        <v>0</v>
      </c>
      <c r="W13" s="393">
        <v>0</v>
      </c>
      <c r="X13" s="393">
        <v>0</v>
      </c>
      <c r="Y13" s="397">
        <v>0</v>
      </c>
      <c r="Z13" s="397">
        <v>0</v>
      </c>
      <c r="AA13" s="398">
        <v>0</v>
      </c>
      <c r="AB13" s="399">
        <v>0</v>
      </c>
      <c r="AC13" s="400">
        <v>0</v>
      </c>
      <c r="AD13" s="400">
        <v>0</v>
      </c>
      <c r="AE13" s="399">
        <v>0</v>
      </c>
      <c r="AF13" s="399">
        <v>0</v>
      </c>
      <c r="AG13" s="399">
        <v>0</v>
      </c>
      <c r="AH13" s="400">
        <v>185.08726472059888</v>
      </c>
      <c r="AI13" s="400">
        <v>486.09594845771784</v>
      </c>
      <c r="AJ13" s="400">
        <v>1066.5232170422869</v>
      </c>
      <c r="AK13" s="400">
        <v>167.9073729991913</v>
      </c>
      <c r="AL13" s="400">
        <v>933.96026871999072</v>
      </c>
      <c r="AM13" s="400">
        <v>1347.8685423533123</v>
      </c>
      <c r="AN13" s="400">
        <v>474.1002386887867</v>
      </c>
      <c r="AO13" s="400">
        <v>349.83999427159625</v>
      </c>
      <c r="AP13" s="400">
        <v>84.188213398059204</v>
      </c>
      <c r="AQ13" s="400">
        <v>753.03311440149946</v>
      </c>
    </row>
    <row r="14" spans="1:47">
      <c r="A14" s="379">
        <v>40975</v>
      </c>
      <c r="B14" s="390"/>
      <c r="C14" s="391">
        <v>0</v>
      </c>
      <c r="D14" s="391">
        <v>0</v>
      </c>
      <c r="E14" s="391">
        <v>0</v>
      </c>
      <c r="F14" s="391">
        <v>0</v>
      </c>
      <c r="G14" s="391">
        <v>0</v>
      </c>
      <c r="H14" s="392">
        <v>0</v>
      </c>
      <c r="I14" s="390">
        <v>0</v>
      </c>
      <c r="J14" s="391">
        <v>0</v>
      </c>
      <c r="K14" s="391">
        <v>0</v>
      </c>
      <c r="L14" s="391">
        <v>0</v>
      </c>
      <c r="M14" s="391">
        <v>0</v>
      </c>
      <c r="N14" s="392">
        <v>0</v>
      </c>
      <c r="O14" s="390">
        <v>0</v>
      </c>
      <c r="P14" s="391">
        <v>0</v>
      </c>
      <c r="Q14" s="391">
        <v>0</v>
      </c>
      <c r="R14" s="394">
        <v>0</v>
      </c>
      <c r="S14" s="391">
        <v>0</v>
      </c>
      <c r="T14" s="395">
        <v>0</v>
      </c>
      <c r="U14" s="396">
        <v>0</v>
      </c>
      <c r="V14" s="393">
        <v>0</v>
      </c>
      <c r="W14" s="393">
        <v>0</v>
      </c>
      <c r="X14" s="393">
        <v>0</v>
      </c>
      <c r="Y14" s="397">
        <v>0</v>
      </c>
      <c r="Z14" s="397">
        <v>0</v>
      </c>
      <c r="AA14" s="398">
        <v>0</v>
      </c>
      <c r="AB14" s="399">
        <v>0</v>
      </c>
      <c r="AC14" s="400">
        <v>0</v>
      </c>
      <c r="AD14" s="400">
        <v>0</v>
      </c>
      <c r="AE14" s="399">
        <v>0</v>
      </c>
      <c r="AF14" s="399">
        <v>0</v>
      </c>
      <c r="AG14" s="399">
        <v>0</v>
      </c>
      <c r="AH14" s="400">
        <v>219.13214760621386</v>
      </c>
      <c r="AI14" s="400">
        <v>543.12730145454407</v>
      </c>
      <c r="AJ14" s="400">
        <v>1030.455308596293</v>
      </c>
      <c r="AK14" s="400">
        <v>206.55387714703875</v>
      </c>
      <c r="AL14" s="400">
        <v>1053.2233881632485</v>
      </c>
      <c r="AM14" s="400">
        <v>1312.658393414815</v>
      </c>
      <c r="AN14" s="400">
        <v>510.97086060841877</v>
      </c>
      <c r="AO14" s="400">
        <v>387.37656970024108</v>
      </c>
      <c r="AP14" s="400">
        <v>142.23202594518659</v>
      </c>
      <c r="AQ14" s="400">
        <v>671.17820539474474</v>
      </c>
    </row>
    <row r="15" spans="1:47">
      <c r="A15" s="379">
        <v>40976</v>
      </c>
      <c r="B15" s="390"/>
      <c r="C15" s="391">
        <v>0</v>
      </c>
      <c r="D15" s="391">
        <v>0</v>
      </c>
      <c r="E15" s="391">
        <v>0</v>
      </c>
      <c r="F15" s="391">
        <v>0</v>
      </c>
      <c r="G15" s="391">
        <v>0</v>
      </c>
      <c r="H15" s="392">
        <v>0</v>
      </c>
      <c r="I15" s="390">
        <v>0</v>
      </c>
      <c r="J15" s="391">
        <v>0</v>
      </c>
      <c r="K15" s="391">
        <v>0</v>
      </c>
      <c r="L15" s="391">
        <v>0</v>
      </c>
      <c r="M15" s="391">
        <v>0</v>
      </c>
      <c r="N15" s="392">
        <v>0</v>
      </c>
      <c r="O15" s="390">
        <v>0</v>
      </c>
      <c r="P15" s="391">
        <v>0</v>
      </c>
      <c r="Q15" s="391">
        <v>0</v>
      </c>
      <c r="R15" s="394">
        <v>0</v>
      </c>
      <c r="S15" s="391">
        <v>0</v>
      </c>
      <c r="T15" s="395">
        <v>0</v>
      </c>
      <c r="U15" s="396">
        <v>0</v>
      </c>
      <c r="V15" s="393">
        <v>0</v>
      </c>
      <c r="W15" s="393">
        <v>0</v>
      </c>
      <c r="X15" s="393">
        <v>0</v>
      </c>
      <c r="Y15" s="397">
        <v>0</v>
      </c>
      <c r="Z15" s="397">
        <v>0</v>
      </c>
      <c r="AA15" s="398">
        <v>0</v>
      </c>
      <c r="AB15" s="399">
        <v>0</v>
      </c>
      <c r="AC15" s="400">
        <v>0</v>
      </c>
      <c r="AD15" s="400">
        <v>0</v>
      </c>
      <c r="AE15" s="399">
        <v>0</v>
      </c>
      <c r="AF15" s="399">
        <v>0</v>
      </c>
      <c r="AG15" s="399">
        <v>0</v>
      </c>
      <c r="AH15" s="400">
        <v>231.10860817432408</v>
      </c>
      <c r="AI15" s="400">
        <v>553.30862196286535</v>
      </c>
      <c r="AJ15" s="400">
        <v>1099.4359402338662</v>
      </c>
      <c r="AK15" s="400">
        <v>220.80099217096966</v>
      </c>
      <c r="AL15" s="400">
        <v>1069.7115444819133</v>
      </c>
      <c r="AM15" s="400">
        <v>1314.5762331644698</v>
      </c>
      <c r="AN15" s="400">
        <v>543.26619032224028</v>
      </c>
      <c r="AO15" s="400">
        <v>360.96169711748757</v>
      </c>
      <c r="AP15" s="400">
        <v>243.86963824629785</v>
      </c>
      <c r="AQ15" s="400">
        <v>681.46526117324822</v>
      </c>
    </row>
    <row r="16" spans="1:47">
      <c r="A16" s="379">
        <v>40977</v>
      </c>
      <c r="B16" s="390"/>
      <c r="C16" s="391">
        <v>0</v>
      </c>
      <c r="D16" s="391">
        <v>0</v>
      </c>
      <c r="E16" s="391">
        <v>0</v>
      </c>
      <c r="F16" s="391">
        <v>0</v>
      </c>
      <c r="G16" s="391">
        <v>0</v>
      </c>
      <c r="H16" s="392">
        <v>0</v>
      </c>
      <c r="I16" s="390">
        <v>0</v>
      </c>
      <c r="J16" s="391">
        <v>0</v>
      </c>
      <c r="K16" s="391">
        <v>0</v>
      </c>
      <c r="L16" s="391">
        <v>0</v>
      </c>
      <c r="M16" s="391">
        <v>0</v>
      </c>
      <c r="N16" s="392">
        <v>0</v>
      </c>
      <c r="O16" s="390">
        <v>0</v>
      </c>
      <c r="P16" s="391">
        <v>0</v>
      </c>
      <c r="Q16" s="391">
        <v>0</v>
      </c>
      <c r="R16" s="394">
        <v>0</v>
      </c>
      <c r="S16" s="391">
        <v>0</v>
      </c>
      <c r="T16" s="395">
        <v>0</v>
      </c>
      <c r="U16" s="396">
        <v>0</v>
      </c>
      <c r="V16" s="393">
        <v>0</v>
      </c>
      <c r="W16" s="393">
        <v>0</v>
      </c>
      <c r="X16" s="393">
        <v>0</v>
      </c>
      <c r="Y16" s="397">
        <v>0</v>
      </c>
      <c r="Z16" s="397">
        <v>0</v>
      </c>
      <c r="AA16" s="398">
        <v>0</v>
      </c>
      <c r="AB16" s="399">
        <v>0</v>
      </c>
      <c r="AC16" s="400">
        <v>0</v>
      </c>
      <c r="AD16" s="400">
        <v>0</v>
      </c>
      <c r="AE16" s="399">
        <v>0</v>
      </c>
      <c r="AF16" s="399">
        <v>0</v>
      </c>
      <c r="AG16" s="399">
        <v>0</v>
      </c>
      <c r="AH16" s="400">
        <v>204.74716239770254</v>
      </c>
      <c r="AI16" s="400">
        <v>499.53180001576743</v>
      </c>
      <c r="AJ16" s="400">
        <v>1112.472464243571</v>
      </c>
      <c r="AK16" s="400">
        <v>208.59787356058757</v>
      </c>
      <c r="AL16" s="400">
        <v>1015.1511638641358</v>
      </c>
      <c r="AM16" s="400">
        <v>1187.3576399485271</v>
      </c>
      <c r="AN16" s="400">
        <v>564.27185309727986</v>
      </c>
      <c r="AO16" s="400">
        <v>333.53871145248416</v>
      </c>
      <c r="AP16" s="400">
        <v>164.86977527340255</v>
      </c>
      <c r="AQ16" s="400">
        <v>705.99164498647065</v>
      </c>
    </row>
    <row r="17" spans="1:43">
      <c r="A17" s="379">
        <v>40978</v>
      </c>
      <c r="B17" s="380"/>
      <c r="C17" s="381">
        <v>0</v>
      </c>
      <c r="D17" s="381">
        <v>0</v>
      </c>
      <c r="E17" s="381">
        <v>0</v>
      </c>
      <c r="F17" s="381">
        <v>0</v>
      </c>
      <c r="G17" s="381">
        <v>0</v>
      </c>
      <c r="H17" s="382">
        <v>0</v>
      </c>
      <c r="I17" s="380">
        <v>0</v>
      </c>
      <c r="J17" s="381">
        <v>0</v>
      </c>
      <c r="K17" s="381">
        <v>0</v>
      </c>
      <c r="L17" s="391">
        <v>0</v>
      </c>
      <c r="M17" s="381">
        <v>0</v>
      </c>
      <c r="N17" s="382">
        <v>0</v>
      </c>
      <c r="O17" s="380">
        <v>0</v>
      </c>
      <c r="P17" s="381">
        <v>0</v>
      </c>
      <c r="Q17" s="381">
        <v>0</v>
      </c>
      <c r="R17" s="401">
        <v>0</v>
      </c>
      <c r="S17" s="381">
        <v>0</v>
      </c>
      <c r="T17" s="383">
        <v>0</v>
      </c>
      <c r="U17" s="402">
        <v>0</v>
      </c>
      <c r="V17" s="397">
        <v>0</v>
      </c>
      <c r="W17" s="393">
        <v>0</v>
      </c>
      <c r="X17" s="393">
        <v>0</v>
      </c>
      <c r="Y17" s="397">
        <v>0</v>
      </c>
      <c r="Z17" s="397">
        <v>0</v>
      </c>
      <c r="AA17" s="398">
        <v>0</v>
      </c>
      <c r="AB17" s="399">
        <v>0</v>
      </c>
      <c r="AC17" s="400">
        <v>0</v>
      </c>
      <c r="AD17" s="400">
        <v>0</v>
      </c>
      <c r="AE17" s="399">
        <v>0</v>
      </c>
      <c r="AF17" s="399">
        <v>0</v>
      </c>
      <c r="AG17" s="399">
        <v>0</v>
      </c>
      <c r="AH17" s="400">
        <v>194.2472383181254</v>
      </c>
      <c r="AI17" s="400">
        <v>509.68598322868354</v>
      </c>
      <c r="AJ17" s="400">
        <v>1116.707303937276</v>
      </c>
      <c r="AK17" s="400">
        <v>196.68297561009723</v>
      </c>
      <c r="AL17" s="400">
        <v>971.35422840118406</v>
      </c>
      <c r="AM17" s="400">
        <v>1156.0532288233437</v>
      </c>
      <c r="AN17" s="400">
        <v>509.34569379488624</v>
      </c>
      <c r="AO17" s="400">
        <v>336.59949747721356</v>
      </c>
      <c r="AP17" s="400">
        <v>101.50623009006182</v>
      </c>
      <c r="AQ17" s="400">
        <v>652.40229794184393</v>
      </c>
    </row>
    <row r="18" spans="1:43">
      <c r="A18" s="379">
        <v>40979</v>
      </c>
      <c r="B18" s="390"/>
      <c r="C18" s="391">
        <v>0</v>
      </c>
      <c r="D18" s="391">
        <v>0</v>
      </c>
      <c r="E18" s="391">
        <v>0</v>
      </c>
      <c r="F18" s="391">
        <v>0</v>
      </c>
      <c r="G18" s="391">
        <v>0</v>
      </c>
      <c r="H18" s="392">
        <v>0</v>
      </c>
      <c r="I18" s="390">
        <v>0</v>
      </c>
      <c r="J18" s="391">
        <v>0</v>
      </c>
      <c r="K18" s="391">
        <v>0</v>
      </c>
      <c r="L18" s="391">
        <v>0</v>
      </c>
      <c r="M18" s="391">
        <v>0</v>
      </c>
      <c r="N18" s="392">
        <v>0</v>
      </c>
      <c r="O18" s="390">
        <v>0</v>
      </c>
      <c r="P18" s="391">
        <v>0</v>
      </c>
      <c r="Q18" s="391">
        <v>0</v>
      </c>
      <c r="R18" s="394">
        <v>0</v>
      </c>
      <c r="S18" s="391">
        <v>0</v>
      </c>
      <c r="T18" s="395">
        <v>0</v>
      </c>
      <c r="U18" s="396">
        <v>0</v>
      </c>
      <c r="V18" s="393">
        <v>0</v>
      </c>
      <c r="W18" s="393">
        <v>0</v>
      </c>
      <c r="X18" s="393">
        <v>0</v>
      </c>
      <c r="Y18" s="397">
        <v>0</v>
      </c>
      <c r="Z18" s="397">
        <v>0</v>
      </c>
      <c r="AA18" s="398">
        <v>0</v>
      </c>
      <c r="AB18" s="399">
        <v>0</v>
      </c>
      <c r="AC18" s="400">
        <v>0</v>
      </c>
      <c r="AD18" s="400">
        <v>0</v>
      </c>
      <c r="AE18" s="399">
        <v>0</v>
      </c>
      <c r="AF18" s="399">
        <v>0</v>
      </c>
      <c r="AG18" s="399">
        <v>0</v>
      </c>
      <c r="AH18" s="400">
        <v>192.63739052613579</v>
      </c>
      <c r="AI18" s="400">
        <v>484.88426443735756</v>
      </c>
      <c r="AJ18" s="400">
        <v>1090.1764325459799</v>
      </c>
      <c r="AK18" s="400">
        <v>192.20770165125529</v>
      </c>
      <c r="AL18" s="400">
        <v>956.33948554992662</v>
      </c>
      <c r="AM18" s="400">
        <v>1190.1468940734862</v>
      </c>
      <c r="AN18" s="400">
        <v>481.4153314908346</v>
      </c>
      <c r="AO18" s="400">
        <v>327.95869628588355</v>
      </c>
      <c r="AP18" s="400">
        <v>113.03810445864997</v>
      </c>
      <c r="AQ18" s="400">
        <v>624.18594500223799</v>
      </c>
    </row>
    <row r="19" spans="1:43">
      <c r="A19" s="379">
        <v>40980</v>
      </c>
      <c r="B19" s="390"/>
      <c r="C19" s="391">
        <v>0</v>
      </c>
      <c r="D19" s="391">
        <v>0</v>
      </c>
      <c r="E19" s="391">
        <v>0</v>
      </c>
      <c r="F19" s="391">
        <v>0</v>
      </c>
      <c r="G19" s="391">
        <v>0</v>
      </c>
      <c r="H19" s="392">
        <v>0</v>
      </c>
      <c r="I19" s="390">
        <v>0</v>
      </c>
      <c r="J19" s="391">
        <v>0</v>
      </c>
      <c r="K19" s="391">
        <v>0</v>
      </c>
      <c r="L19" s="391">
        <v>0</v>
      </c>
      <c r="M19" s="391">
        <v>0</v>
      </c>
      <c r="N19" s="392">
        <v>0</v>
      </c>
      <c r="O19" s="390">
        <v>0</v>
      </c>
      <c r="P19" s="391">
        <v>0</v>
      </c>
      <c r="Q19" s="391">
        <v>0</v>
      </c>
      <c r="R19" s="394">
        <v>0</v>
      </c>
      <c r="S19" s="391">
        <v>0</v>
      </c>
      <c r="T19" s="395">
        <v>0</v>
      </c>
      <c r="U19" s="396">
        <v>0</v>
      </c>
      <c r="V19" s="393">
        <v>0</v>
      </c>
      <c r="W19" s="393">
        <v>0</v>
      </c>
      <c r="X19" s="393">
        <v>0</v>
      </c>
      <c r="Y19" s="397">
        <v>0</v>
      </c>
      <c r="Z19" s="397">
        <v>0</v>
      </c>
      <c r="AA19" s="398">
        <v>0</v>
      </c>
      <c r="AB19" s="399">
        <v>0</v>
      </c>
      <c r="AC19" s="400">
        <v>0</v>
      </c>
      <c r="AD19" s="400">
        <v>0</v>
      </c>
      <c r="AE19" s="399">
        <v>0</v>
      </c>
      <c r="AF19" s="399">
        <v>0</v>
      </c>
      <c r="AG19" s="399">
        <v>0</v>
      </c>
      <c r="AH19" s="400">
        <v>183.70926876862842</v>
      </c>
      <c r="AI19" s="400">
        <v>491.27187724113463</v>
      </c>
      <c r="AJ19" s="400">
        <v>1109.6377459208168</v>
      </c>
      <c r="AK19" s="400">
        <v>190.84341073036194</v>
      </c>
      <c r="AL19" s="400">
        <v>930.70629851023341</v>
      </c>
      <c r="AM19" s="400">
        <v>1227.8417306900024</v>
      </c>
      <c r="AN19" s="400">
        <v>495.25809717178339</v>
      </c>
      <c r="AO19" s="400">
        <v>326.71633216540016</v>
      </c>
      <c r="AP19" s="400">
        <v>131.37771003444988</v>
      </c>
      <c r="AQ19" s="400">
        <v>711.37254400253278</v>
      </c>
    </row>
    <row r="20" spans="1:43">
      <c r="A20" s="379">
        <v>40981</v>
      </c>
      <c r="B20" s="390"/>
      <c r="C20" s="391">
        <v>0</v>
      </c>
      <c r="D20" s="391">
        <v>0</v>
      </c>
      <c r="E20" s="391">
        <v>0</v>
      </c>
      <c r="F20" s="391">
        <v>0</v>
      </c>
      <c r="G20" s="391">
        <v>0</v>
      </c>
      <c r="H20" s="392">
        <v>0</v>
      </c>
      <c r="I20" s="390">
        <v>0</v>
      </c>
      <c r="J20" s="391">
        <v>0</v>
      </c>
      <c r="K20" s="391">
        <v>0</v>
      </c>
      <c r="L20" s="391">
        <v>0</v>
      </c>
      <c r="M20" s="391">
        <v>0</v>
      </c>
      <c r="N20" s="392">
        <v>0</v>
      </c>
      <c r="O20" s="390">
        <v>0</v>
      </c>
      <c r="P20" s="391">
        <v>0</v>
      </c>
      <c r="Q20" s="391">
        <v>0</v>
      </c>
      <c r="R20" s="394">
        <v>0</v>
      </c>
      <c r="S20" s="391">
        <v>0</v>
      </c>
      <c r="T20" s="395">
        <v>0</v>
      </c>
      <c r="U20" s="396">
        <v>0</v>
      </c>
      <c r="V20" s="393">
        <v>0</v>
      </c>
      <c r="W20" s="393">
        <v>0</v>
      </c>
      <c r="X20" s="393">
        <v>0</v>
      </c>
      <c r="Y20" s="397">
        <v>0</v>
      </c>
      <c r="Z20" s="397">
        <v>0</v>
      </c>
      <c r="AA20" s="398">
        <v>0</v>
      </c>
      <c r="AB20" s="399">
        <v>0</v>
      </c>
      <c r="AC20" s="400">
        <v>0</v>
      </c>
      <c r="AD20" s="400">
        <v>0</v>
      </c>
      <c r="AE20" s="399">
        <v>0</v>
      </c>
      <c r="AF20" s="399">
        <v>0</v>
      </c>
      <c r="AG20" s="399">
        <v>0</v>
      </c>
      <c r="AH20" s="400">
        <v>177.67469244798022</v>
      </c>
      <c r="AI20" s="400">
        <v>488.6507166703542</v>
      </c>
      <c r="AJ20" s="400">
        <v>1113.7857395172123</v>
      </c>
      <c r="AK20" s="400">
        <v>186.8105443795522</v>
      </c>
      <c r="AL20" s="400">
        <v>903.09373003641747</v>
      </c>
      <c r="AM20" s="400">
        <v>1256.3071559906004</v>
      </c>
      <c r="AN20" s="400">
        <v>494.66433450380958</v>
      </c>
      <c r="AO20" s="400">
        <v>306.35488135019938</v>
      </c>
      <c r="AP20" s="400">
        <v>123.5057702978452</v>
      </c>
      <c r="AQ20" s="400">
        <v>744.7601319948833</v>
      </c>
    </row>
    <row r="21" spans="1:43">
      <c r="A21" s="379">
        <v>40982</v>
      </c>
      <c r="B21" s="390"/>
      <c r="C21" s="391">
        <v>0</v>
      </c>
      <c r="D21" s="391">
        <v>0</v>
      </c>
      <c r="E21" s="391">
        <v>0</v>
      </c>
      <c r="F21" s="391">
        <v>0</v>
      </c>
      <c r="G21" s="391">
        <v>0</v>
      </c>
      <c r="H21" s="392">
        <v>0</v>
      </c>
      <c r="I21" s="390">
        <v>0</v>
      </c>
      <c r="J21" s="391">
        <v>0</v>
      </c>
      <c r="K21" s="391">
        <v>0</v>
      </c>
      <c r="L21" s="391">
        <v>0</v>
      </c>
      <c r="M21" s="391">
        <v>0</v>
      </c>
      <c r="N21" s="392">
        <v>0</v>
      </c>
      <c r="O21" s="390">
        <v>0</v>
      </c>
      <c r="P21" s="391">
        <v>0</v>
      </c>
      <c r="Q21" s="391">
        <v>0</v>
      </c>
      <c r="R21" s="394">
        <v>0</v>
      </c>
      <c r="S21" s="391">
        <v>0</v>
      </c>
      <c r="T21" s="395">
        <v>0</v>
      </c>
      <c r="U21" s="396">
        <v>0</v>
      </c>
      <c r="V21" s="393">
        <v>0</v>
      </c>
      <c r="W21" s="393">
        <v>0</v>
      </c>
      <c r="X21" s="393">
        <v>0</v>
      </c>
      <c r="Y21" s="397">
        <v>0</v>
      </c>
      <c r="Z21" s="397">
        <v>0</v>
      </c>
      <c r="AA21" s="398">
        <v>0</v>
      </c>
      <c r="AB21" s="399">
        <v>0</v>
      </c>
      <c r="AC21" s="400">
        <v>0</v>
      </c>
      <c r="AD21" s="400">
        <v>0</v>
      </c>
      <c r="AE21" s="399">
        <v>0</v>
      </c>
      <c r="AF21" s="399">
        <v>0</v>
      </c>
      <c r="AG21" s="399">
        <v>0</v>
      </c>
      <c r="AH21" s="400">
        <v>174.37447130680081</v>
      </c>
      <c r="AI21" s="400">
        <v>492.06530117988569</v>
      </c>
      <c r="AJ21" s="400">
        <v>1104.6864532470699</v>
      </c>
      <c r="AK21" s="400">
        <v>183.89504675865174</v>
      </c>
      <c r="AL21" s="400">
        <v>889.09292608896885</v>
      </c>
      <c r="AM21" s="400">
        <v>1254.6366865158082</v>
      </c>
      <c r="AN21" s="400">
        <v>526.37035029729202</v>
      </c>
      <c r="AO21" s="400">
        <v>324.57939036687219</v>
      </c>
      <c r="AP21" s="400">
        <v>77.825717840592077</v>
      </c>
      <c r="AQ21" s="400">
        <v>746.89338741302493</v>
      </c>
    </row>
    <row r="22" spans="1:43">
      <c r="A22" s="379">
        <v>40983</v>
      </c>
      <c r="B22" s="390"/>
      <c r="C22" s="391">
        <v>0</v>
      </c>
      <c r="D22" s="391">
        <v>0</v>
      </c>
      <c r="E22" s="391">
        <v>0</v>
      </c>
      <c r="F22" s="391">
        <v>0</v>
      </c>
      <c r="G22" s="391">
        <v>0</v>
      </c>
      <c r="H22" s="392">
        <v>0</v>
      </c>
      <c r="I22" s="390">
        <v>0</v>
      </c>
      <c r="J22" s="391">
        <v>0</v>
      </c>
      <c r="K22" s="391">
        <v>0</v>
      </c>
      <c r="L22" s="391">
        <v>0</v>
      </c>
      <c r="M22" s="391">
        <v>0</v>
      </c>
      <c r="N22" s="392">
        <v>0</v>
      </c>
      <c r="O22" s="390">
        <v>0</v>
      </c>
      <c r="P22" s="391">
        <v>0</v>
      </c>
      <c r="Q22" s="391">
        <v>0</v>
      </c>
      <c r="R22" s="394">
        <v>0</v>
      </c>
      <c r="S22" s="391">
        <v>0</v>
      </c>
      <c r="T22" s="395">
        <v>0</v>
      </c>
      <c r="U22" s="396">
        <v>0</v>
      </c>
      <c r="V22" s="393">
        <v>0</v>
      </c>
      <c r="W22" s="393">
        <v>0</v>
      </c>
      <c r="X22" s="393">
        <v>0</v>
      </c>
      <c r="Y22" s="397">
        <v>0</v>
      </c>
      <c r="Z22" s="397">
        <v>0</v>
      </c>
      <c r="AA22" s="398">
        <v>0</v>
      </c>
      <c r="AB22" s="399">
        <v>0</v>
      </c>
      <c r="AC22" s="400">
        <v>0</v>
      </c>
      <c r="AD22" s="400">
        <v>0</v>
      </c>
      <c r="AE22" s="399">
        <v>0</v>
      </c>
      <c r="AF22" s="399">
        <v>0</v>
      </c>
      <c r="AG22" s="399">
        <v>0</v>
      </c>
      <c r="AH22" s="400">
        <v>173.43037259578699</v>
      </c>
      <c r="AI22" s="400">
        <v>496.26499889691672</v>
      </c>
      <c r="AJ22" s="400">
        <v>1130.2087682088218</v>
      </c>
      <c r="AK22" s="400">
        <v>178.90427935918171</v>
      </c>
      <c r="AL22" s="400">
        <v>887.26670112609872</v>
      </c>
      <c r="AM22" s="400">
        <v>1245.6469339370728</v>
      </c>
      <c r="AN22" s="400">
        <v>553.12008794148767</v>
      </c>
      <c r="AO22" s="400">
        <v>300.42271372477211</v>
      </c>
      <c r="AP22" s="400">
        <v>139.98275411923726</v>
      </c>
      <c r="AQ22" s="400">
        <v>779.14096549352018</v>
      </c>
    </row>
    <row r="23" spans="1:43">
      <c r="A23" s="379">
        <v>40984</v>
      </c>
      <c r="B23" s="390"/>
      <c r="C23" s="391">
        <v>0</v>
      </c>
      <c r="D23" s="391">
        <v>0</v>
      </c>
      <c r="E23" s="391">
        <v>0</v>
      </c>
      <c r="F23" s="391">
        <v>0</v>
      </c>
      <c r="G23" s="391">
        <v>0</v>
      </c>
      <c r="H23" s="392">
        <v>0</v>
      </c>
      <c r="I23" s="390">
        <v>0</v>
      </c>
      <c r="J23" s="391">
        <v>0</v>
      </c>
      <c r="K23" s="391">
        <v>0</v>
      </c>
      <c r="L23" s="391">
        <v>0</v>
      </c>
      <c r="M23" s="391">
        <v>0</v>
      </c>
      <c r="N23" s="392">
        <v>0</v>
      </c>
      <c r="O23" s="390">
        <v>0</v>
      </c>
      <c r="P23" s="391">
        <v>0</v>
      </c>
      <c r="Q23" s="391">
        <v>0</v>
      </c>
      <c r="R23" s="394">
        <v>0</v>
      </c>
      <c r="S23" s="391">
        <v>0</v>
      </c>
      <c r="T23" s="395">
        <v>0</v>
      </c>
      <c r="U23" s="396">
        <v>0</v>
      </c>
      <c r="V23" s="393">
        <v>0</v>
      </c>
      <c r="W23" s="393">
        <v>0</v>
      </c>
      <c r="X23" s="393">
        <v>0</v>
      </c>
      <c r="Y23" s="397">
        <v>0</v>
      </c>
      <c r="Z23" s="397">
        <v>0</v>
      </c>
      <c r="AA23" s="398">
        <v>0</v>
      </c>
      <c r="AB23" s="399">
        <v>0</v>
      </c>
      <c r="AC23" s="400">
        <v>0</v>
      </c>
      <c r="AD23" s="400">
        <v>0</v>
      </c>
      <c r="AE23" s="399">
        <v>0</v>
      </c>
      <c r="AF23" s="399">
        <v>0</v>
      </c>
      <c r="AG23" s="399">
        <v>0</v>
      </c>
      <c r="AH23" s="400">
        <v>168.17568718592324</v>
      </c>
      <c r="AI23" s="400">
        <v>496.13667448361718</v>
      </c>
      <c r="AJ23" s="400">
        <v>1117.2621477762855</v>
      </c>
      <c r="AK23" s="400">
        <v>179.05920627117155</v>
      </c>
      <c r="AL23" s="400">
        <v>875.80178413391104</v>
      </c>
      <c r="AM23" s="400">
        <v>1236.0842699686684</v>
      </c>
      <c r="AN23" s="400">
        <v>586.24676138559994</v>
      </c>
      <c r="AO23" s="400">
        <v>302.59355684916181</v>
      </c>
      <c r="AP23" s="400">
        <v>318.56367173790937</v>
      </c>
      <c r="AQ23" s="400">
        <v>764.03835525512682</v>
      </c>
    </row>
    <row r="24" spans="1:43">
      <c r="A24" s="379">
        <v>40985</v>
      </c>
      <c r="B24" s="390"/>
      <c r="C24" s="391">
        <v>0</v>
      </c>
      <c r="D24" s="391">
        <v>0</v>
      </c>
      <c r="E24" s="391">
        <v>0</v>
      </c>
      <c r="F24" s="391">
        <v>0</v>
      </c>
      <c r="G24" s="391">
        <v>0</v>
      </c>
      <c r="H24" s="392">
        <v>0</v>
      </c>
      <c r="I24" s="390">
        <v>0</v>
      </c>
      <c r="J24" s="391">
        <v>0</v>
      </c>
      <c r="K24" s="391">
        <v>0</v>
      </c>
      <c r="L24" s="391">
        <v>0</v>
      </c>
      <c r="M24" s="391">
        <v>0</v>
      </c>
      <c r="N24" s="392">
        <v>0</v>
      </c>
      <c r="O24" s="390">
        <v>0</v>
      </c>
      <c r="P24" s="391">
        <v>0</v>
      </c>
      <c r="Q24" s="391">
        <v>0</v>
      </c>
      <c r="R24" s="394">
        <v>0</v>
      </c>
      <c r="S24" s="391">
        <v>0</v>
      </c>
      <c r="T24" s="395">
        <v>0</v>
      </c>
      <c r="U24" s="396">
        <v>0</v>
      </c>
      <c r="V24" s="393">
        <v>0</v>
      </c>
      <c r="W24" s="393">
        <v>0</v>
      </c>
      <c r="X24" s="393">
        <v>0</v>
      </c>
      <c r="Y24" s="397">
        <v>0</v>
      </c>
      <c r="Z24" s="397">
        <v>0</v>
      </c>
      <c r="AA24" s="398">
        <v>0</v>
      </c>
      <c r="AB24" s="399">
        <v>0</v>
      </c>
      <c r="AC24" s="400">
        <v>0</v>
      </c>
      <c r="AD24" s="400">
        <v>0</v>
      </c>
      <c r="AE24" s="399">
        <v>0</v>
      </c>
      <c r="AF24" s="399">
        <v>0</v>
      </c>
      <c r="AG24" s="399">
        <v>0</v>
      </c>
      <c r="AH24" s="400">
        <v>166.0225157022476</v>
      </c>
      <c r="AI24" s="400">
        <v>501.19012761116016</v>
      </c>
      <c r="AJ24" s="400">
        <v>1121.0387938817344</v>
      </c>
      <c r="AK24" s="400">
        <v>180.93987871805828</v>
      </c>
      <c r="AL24" s="400">
        <v>875.46238854726153</v>
      </c>
      <c r="AM24" s="400">
        <v>1159.506151898702</v>
      </c>
      <c r="AN24" s="400">
        <v>602.7292809168498</v>
      </c>
      <c r="AO24" s="400">
        <v>285.76457055409747</v>
      </c>
      <c r="AP24" s="400">
        <v>48.526571967204411</v>
      </c>
      <c r="AQ24" s="400">
        <v>714.1244354883828</v>
      </c>
    </row>
    <row r="25" spans="1:43">
      <c r="A25" s="379">
        <v>40986</v>
      </c>
      <c r="B25" s="390"/>
      <c r="C25" s="391">
        <v>0</v>
      </c>
      <c r="D25" s="391">
        <v>0</v>
      </c>
      <c r="E25" s="391">
        <v>0</v>
      </c>
      <c r="F25" s="391">
        <v>0</v>
      </c>
      <c r="G25" s="391">
        <v>0</v>
      </c>
      <c r="H25" s="392">
        <v>0</v>
      </c>
      <c r="I25" s="390">
        <v>0</v>
      </c>
      <c r="J25" s="391">
        <v>0</v>
      </c>
      <c r="K25" s="391">
        <v>0</v>
      </c>
      <c r="L25" s="391">
        <v>0</v>
      </c>
      <c r="M25" s="391">
        <v>0</v>
      </c>
      <c r="N25" s="392">
        <v>0</v>
      </c>
      <c r="O25" s="390">
        <v>0</v>
      </c>
      <c r="P25" s="391">
        <v>0</v>
      </c>
      <c r="Q25" s="391">
        <v>0</v>
      </c>
      <c r="R25" s="394">
        <v>0</v>
      </c>
      <c r="S25" s="391">
        <v>0</v>
      </c>
      <c r="T25" s="395">
        <v>0</v>
      </c>
      <c r="U25" s="396">
        <v>0</v>
      </c>
      <c r="V25" s="393">
        <v>0</v>
      </c>
      <c r="W25" s="393">
        <v>0</v>
      </c>
      <c r="X25" s="393">
        <v>0</v>
      </c>
      <c r="Y25" s="397">
        <v>0</v>
      </c>
      <c r="Z25" s="397">
        <v>0</v>
      </c>
      <c r="AA25" s="398">
        <v>0</v>
      </c>
      <c r="AB25" s="399">
        <v>0</v>
      </c>
      <c r="AC25" s="400">
        <v>0</v>
      </c>
      <c r="AD25" s="400">
        <v>0</v>
      </c>
      <c r="AE25" s="399">
        <v>0</v>
      </c>
      <c r="AF25" s="399">
        <v>0</v>
      </c>
      <c r="AG25" s="399">
        <v>0</v>
      </c>
      <c r="AH25" s="400">
        <v>174.31114790439605</v>
      </c>
      <c r="AI25" s="400">
        <v>516.09636144638057</v>
      </c>
      <c r="AJ25" s="400">
        <v>1092.0976104736328</v>
      </c>
      <c r="AK25" s="400">
        <v>181.64137929280599</v>
      </c>
      <c r="AL25" s="400">
        <v>884.03750686645515</v>
      </c>
      <c r="AM25" s="400">
        <v>1030.8180319468179</v>
      </c>
      <c r="AN25" s="400">
        <v>595.25448805491123</v>
      </c>
      <c r="AO25" s="400">
        <v>331.53837345441184</v>
      </c>
      <c r="AP25" s="400">
        <v>53.658168909947079</v>
      </c>
      <c r="AQ25" s="400">
        <v>688.50496177673347</v>
      </c>
    </row>
    <row r="26" spans="1:43">
      <c r="A26" s="379">
        <v>40987</v>
      </c>
      <c r="B26" s="390"/>
      <c r="C26" s="391">
        <v>0</v>
      </c>
      <c r="D26" s="391">
        <v>0</v>
      </c>
      <c r="E26" s="391">
        <v>0</v>
      </c>
      <c r="F26" s="391">
        <v>0</v>
      </c>
      <c r="G26" s="391">
        <v>0</v>
      </c>
      <c r="H26" s="392">
        <v>0</v>
      </c>
      <c r="I26" s="390">
        <v>0</v>
      </c>
      <c r="J26" s="391">
        <v>0</v>
      </c>
      <c r="K26" s="391">
        <v>0</v>
      </c>
      <c r="L26" s="391">
        <v>0</v>
      </c>
      <c r="M26" s="391">
        <v>0</v>
      </c>
      <c r="N26" s="392">
        <v>0</v>
      </c>
      <c r="O26" s="390">
        <v>0</v>
      </c>
      <c r="P26" s="391">
        <v>0</v>
      </c>
      <c r="Q26" s="391">
        <v>0</v>
      </c>
      <c r="R26" s="394">
        <v>0</v>
      </c>
      <c r="S26" s="391">
        <v>0</v>
      </c>
      <c r="T26" s="395">
        <v>0</v>
      </c>
      <c r="U26" s="396">
        <v>0</v>
      </c>
      <c r="V26" s="393">
        <v>0</v>
      </c>
      <c r="W26" s="393">
        <v>0</v>
      </c>
      <c r="X26" s="393">
        <v>0</v>
      </c>
      <c r="Y26" s="397">
        <v>0</v>
      </c>
      <c r="Z26" s="397">
        <v>0</v>
      </c>
      <c r="AA26" s="398">
        <v>0</v>
      </c>
      <c r="AB26" s="399">
        <v>0</v>
      </c>
      <c r="AC26" s="400">
        <v>0</v>
      </c>
      <c r="AD26" s="400">
        <v>0</v>
      </c>
      <c r="AE26" s="399">
        <v>0</v>
      </c>
      <c r="AF26" s="399">
        <v>0</v>
      </c>
      <c r="AG26" s="399">
        <v>0</v>
      </c>
      <c r="AH26" s="400">
        <v>195.17080800533296</v>
      </c>
      <c r="AI26" s="400">
        <v>505.3833538532258</v>
      </c>
      <c r="AJ26" s="400">
        <v>1055.3520096460979</v>
      </c>
      <c r="AK26" s="400">
        <v>182.21946241060894</v>
      </c>
      <c r="AL26" s="400">
        <v>929.86542491912837</v>
      </c>
      <c r="AM26" s="400">
        <v>1231.9996025721232</v>
      </c>
      <c r="AN26" s="400">
        <v>580.92078205744417</v>
      </c>
      <c r="AO26" s="400">
        <v>461.97679438591007</v>
      </c>
      <c r="AP26" s="400">
        <v>94.060003475348154</v>
      </c>
      <c r="AQ26" s="400">
        <v>639.43460299173989</v>
      </c>
    </row>
    <row r="27" spans="1:43">
      <c r="A27" s="379">
        <v>40988</v>
      </c>
      <c r="B27" s="390"/>
      <c r="C27" s="391">
        <v>0</v>
      </c>
      <c r="D27" s="391">
        <v>0</v>
      </c>
      <c r="E27" s="391">
        <v>0</v>
      </c>
      <c r="F27" s="391">
        <v>0</v>
      </c>
      <c r="G27" s="391">
        <v>0</v>
      </c>
      <c r="H27" s="392">
        <v>0</v>
      </c>
      <c r="I27" s="390">
        <v>0</v>
      </c>
      <c r="J27" s="391">
        <v>0</v>
      </c>
      <c r="K27" s="391">
        <v>0</v>
      </c>
      <c r="L27" s="391">
        <v>0</v>
      </c>
      <c r="M27" s="391">
        <v>0</v>
      </c>
      <c r="N27" s="392">
        <v>0</v>
      </c>
      <c r="O27" s="390">
        <v>0</v>
      </c>
      <c r="P27" s="391">
        <v>0</v>
      </c>
      <c r="Q27" s="391">
        <v>0</v>
      </c>
      <c r="R27" s="394">
        <v>0</v>
      </c>
      <c r="S27" s="391">
        <v>0</v>
      </c>
      <c r="T27" s="395">
        <v>0</v>
      </c>
      <c r="U27" s="396">
        <v>0</v>
      </c>
      <c r="V27" s="393">
        <v>0</v>
      </c>
      <c r="W27" s="393">
        <v>0</v>
      </c>
      <c r="X27" s="393">
        <v>0</v>
      </c>
      <c r="Y27" s="393">
        <v>0</v>
      </c>
      <c r="Z27" s="393">
        <v>0</v>
      </c>
      <c r="AA27" s="403">
        <v>0</v>
      </c>
      <c r="AB27" s="400">
        <v>0</v>
      </c>
      <c r="AC27" s="400">
        <v>0</v>
      </c>
      <c r="AD27" s="400">
        <v>0</v>
      </c>
      <c r="AE27" s="400">
        <v>0</v>
      </c>
      <c r="AF27" s="400">
        <v>0</v>
      </c>
      <c r="AG27" s="400">
        <v>0</v>
      </c>
      <c r="AH27" s="400">
        <v>211.04346191883087</v>
      </c>
      <c r="AI27" s="400">
        <v>525.13280207316086</v>
      </c>
      <c r="AJ27" s="400">
        <v>1073.4287517547609</v>
      </c>
      <c r="AK27" s="400">
        <v>207.65871284008028</v>
      </c>
      <c r="AL27" s="400">
        <v>1042.3675219853719</v>
      </c>
      <c r="AM27" s="400">
        <v>1370.5420376141865</v>
      </c>
      <c r="AN27" s="400">
        <v>695.16470301946003</v>
      </c>
      <c r="AO27" s="400">
        <v>373.98875751495353</v>
      </c>
      <c r="AP27" s="400">
        <v>131.23793823520344</v>
      </c>
      <c r="AQ27" s="400">
        <v>633.31385672887177</v>
      </c>
    </row>
    <row r="28" spans="1:43">
      <c r="A28" s="379">
        <v>40989</v>
      </c>
      <c r="B28" s="390"/>
      <c r="C28" s="391">
        <v>0</v>
      </c>
      <c r="D28" s="391">
        <v>0</v>
      </c>
      <c r="E28" s="391">
        <v>0</v>
      </c>
      <c r="F28" s="391">
        <v>0</v>
      </c>
      <c r="G28" s="391">
        <v>0</v>
      </c>
      <c r="H28" s="392">
        <v>0</v>
      </c>
      <c r="I28" s="390">
        <v>0</v>
      </c>
      <c r="J28" s="391">
        <v>0</v>
      </c>
      <c r="K28" s="391">
        <v>0</v>
      </c>
      <c r="L28" s="391">
        <v>0</v>
      </c>
      <c r="M28" s="391">
        <v>0</v>
      </c>
      <c r="N28" s="392">
        <v>0</v>
      </c>
      <c r="O28" s="390">
        <v>0</v>
      </c>
      <c r="P28" s="391">
        <v>0</v>
      </c>
      <c r="Q28" s="391">
        <v>0</v>
      </c>
      <c r="R28" s="394">
        <v>0</v>
      </c>
      <c r="S28" s="391">
        <v>0</v>
      </c>
      <c r="T28" s="395">
        <v>0</v>
      </c>
      <c r="U28" s="396">
        <v>0</v>
      </c>
      <c r="V28" s="393">
        <v>0</v>
      </c>
      <c r="W28" s="393">
        <v>0</v>
      </c>
      <c r="X28" s="393">
        <v>0</v>
      </c>
      <c r="Y28" s="397">
        <v>0</v>
      </c>
      <c r="Z28" s="397">
        <v>0</v>
      </c>
      <c r="AA28" s="398">
        <v>0</v>
      </c>
      <c r="AB28" s="399">
        <v>0</v>
      </c>
      <c r="AC28" s="400">
        <v>0</v>
      </c>
      <c r="AD28" s="400">
        <v>0</v>
      </c>
      <c r="AE28" s="399">
        <v>0</v>
      </c>
      <c r="AF28" s="399">
        <v>0</v>
      </c>
      <c r="AG28" s="399">
        <v>0</v>
      </c>
      <c r="AH28" s="400">
        <v>203.90227742195128</v>
      </c>
      <c r="AI28" s="400">
        <v>508.38256924947103</v>
      </c>
      <c r="AJ28" s="400">
        <v>1126.4644170761107</v>
      </c>
      <c r="AK28" s="400">
        <v>199.45790579319001</v>
      </c>
      <c r="AL28" s="400">
        <v>979.5686616897583</v>
      </c>
      <c r="AM28" s="400">
        <v>1318.9759447733561</v>
      </c>
      <c r="AN28" s="400">
        <v>864.57797462145459</v>
      </c>
      <c r="AO28" s="400">
        <v>425.57836159070331</v>
      </c>
      <c r="AP28" s="400">
        <v>124.82787636915842</v>
      </c>
      <c r="AQ28" s="400">
        <v>648.24372708002716</v>
      </c>
    </row>
    <row r="29" spans="1:43">
      <c r="A29" s="379">
        <v>40990</v>
      </c>
      <c r="B29" s="390"/>
      <c r="C29" s="391">
        <v>0</v>
      </c>
      <c r="D29" s="391">
        <v>0</v>
      </c>
      <c r="E29" s="391">
        <v>0</v>
      </c>
      <c r="F29" s="391">
        <v>0</v>
      </c>
      <c r="G29" s="391">
        <v>0</v>
      </c>
      <c r="H29" s="392">
        <v>0</v>
      </c>
      <c r="I29" s="390">
        <v>0</v>
      </c>
      <c r="J29" s="391">
        <v>0</v>
      </c>
      <c r="K29" s="391">
        <v>0</v>
      </c>
      <c r="L29" s="391">
        <v>0</v>
      </c>
      <c r="M29" s="391">
        <v>0</v>
      </c>
      <c r="N29" s="392">
        <v>0</v>
      </c>
      <c r="O29" s="390">
        <v>0</v>
      </c>
      <c r="P29" s="391">
        <v>0</v>
      </c>
      <c r="Q29" s="391">
        <v>0</v>
      </c>
      <c r="R29" s="394">
        <v>0</v>
      </c>
      <c r="S29" s="391">
        <v>0</v>
      </c>
      <c r="T29" s="395">
        <v>0</v>
      </c>
      <c r="U29" s="396">
        <v>0</v>
      </c>
      <c r="V29" s="393">
        <v>0</v>
      </c>
      <c r="W29" s="393">
        <v>0</v>
      </c>
      <c r="X29" s="393">
        <v>0</v>
      </c>
      <c r="Y29" s="397">
        <v>0</v>
      </c>
      <c r="Z29" s="397">
        <v>0</v>
      </c>
      <c r="AA29" s="398">
        <v>0</v>
      </c>
      <c r="AB29" s="399">
        <v>0</v>
      </c>
      <c r="AC29" s="400">
        <v>0</v>
      </c>
      <c r="AD29" s="400">
        <v>0</v>
      </c>
      <c r="AE29" s="399">
        <v>0</v>
      </c>
      <c r="AF29" s="399">
        <v>0</v>
      </c>
      <c r="AG29" s="399">
        <v>0</v>
      </c>
      <c r="AH29" s="400">
        <v>190.52441655794786</v>
      </c>
      <c r="AI29" s="400">
        <v>511.24874835014344</v>
      </c>
      <c r="AJ29" s="400">
        <v>1097.2449951171875</v>
      </c>
      <c r="AK29" s="400">
        <v>188.56681133906045</v>
      </c>
      <c r="AL29" s="400">
        <v>940.22097276051829</v>
      </c>
      <c r="AM29" s="400">
        <v>1293.5350518544512</v>
      </c>
      <c r="AN29" s="400">
        <v>995.86183884938578</v>
      </c>
      <c r="AO29" s="400">
        <v>363.60377318064377</v>
      </c>
      <c r="AP29" s="400">
        <v>216.68099383513137</v>
      </c>
      <c r="AQ29" s="400">
        <v>677.76702384948715</v>
      </c>
    </row>
    <row r="30" spans="1:43">
      <c r="A30" s="379">
        <v>40991</v>
      </c>
      <c r="B30" s="390"/>
      <c r="C30" s="391">
        <v>0</v>
      </c>
      <c r="D30" s="391">
        <v>0</v>
      </c>
      <c r="E30" s="391">
        <v>0</v>
      </c>
      <c r="F30" s="391">
        <v>0</v>
      </c>
      <c r="G30" s="391">
        <v>0</v>
      </c>
      <c r="H30" s="392">
        <v>0</v>
      </c>
      <c r="I30" s="390">
        <v>0</v>
      </c>
      <c r="J30" s="391">
        <v>0</v>
      </c>
      <c r="K30" s="391">
        <v>0</v>
      </c>
      <c r="L30" s="391">
        <v>0</v>
      </c>
      <c r="M30" s="391">
        <v>0</v>
      </c>
      <c r="N30" s="392">
        <v>0</v>
      </c>
      <c r="O30" s="390">
        <v>0</v>
      </c>
      <c r="P30" s="391">
        <v>0</v>
      </c>
      <c r="Q30" s="391">
        <v>0</v>
      </c>
      <c r="R30" s="394">
        <v>0</v>
      </c>
      <c r="S30" s="391">
        <v>0</v>
      </c>
      <c r="T30" s="395">
        <v>0</v>
      </c>
      <c r="U30" s="396">
        <v>0</v>
      </c>
      <c r="V30" s="393">
        <v>0</v>
      </c>
      <c r="W30" s="393">
        <v>0</v>
      </c>
      <c r="X30" s="393">
        <v>0</v>
      </c>
      <c r="Y30" s="397">
        <v>0</v>
      </c>
      <c r="Z30" s="397">
        <v>0</v>
      </c>
      <c r="AA30" s="398">
        <v>0</v>
      </c>
      <c r="AB30" s="399">
        <v>0</v>
      </c>
      <c r="AC30" s="400">
        <v>0</v>
      </c>
      <c r="AD30" s="400">
        <v>0</v>
      </c>
      <c r="AE30" s="399">
        <v>0</v>
      </c>
      <c r="AF30" s="399">
        <v>0</v>
      </c>
      <c r="AG30" s="399">
        <v>0</v>
      </c>
      <c r="AH30" s="400">
        <v>172.65514167149863</v>
      </c>
      <c r="AI30" s="400">
        <v>516.85088713963819</v>
      </c>
      <c r="AJ30" s="400">
        <v>1132.8146319707237</v>
      </c>
      <c r="AK30" s="400">
        <v>181.48473075230913</v>
      </c>
      <c r="AL30" s="400">
        <v>888.84935709635408</v>
      </c>
      <c r="AM30" s="400">
        <v>1142.5407869338987</v>
      </c>
      <c r="AN30" s="400">
        <v>964.97136227289832</v>
      </c>
      <c r="AO30" s="400">
        <v>342.87867333094277</v>
      </c>
      <c r="AP30" s="400">
        <v>73.264817770322168</v>
      </c>
      <c r="AQ30" s="400">
        <v>774.81893043518073</v>
      </c>
    </row>
    <row r="31" spans="1:43">
      <c r="A31" s="379">
        <v>40992</v>
      </c>
      <c r="B31" s="390"/>
      <c r="C31" s="391">
        <v>0</v>
      </c>
      <c r="D31" s="391">
        <v>0</v>
      </c>
      <c r="E31" s="391">
        <v>0</v>
      </c>
      <c r="F31" s="391">
        <v>0</v>
      </c>
      <c r="G31" s="391">
        <v>0</v>
      </c>
      <c r="H31" s="392">
        <v>0</v>
      </c>
      <c r="I31" s="390">
        <v>0</v>
      </c>
      <c r="J31" s="391">
        <v>0</v>
      </c>
      <c r="K31" s="391">
        <v>0</v>
      </c>
      <c r="L31" s="391">
        <v>0</v>
      </c>
      <c r="M31" s="391">
        <v>0</v>
      </c>
      <c r="N31" s="392">
        <v>0</v>
      </c>
      <c r="O31" s="390">
        <v>0</v>
      </c>
      <c r="P31" s="391">
        <v>0</v>
      </c>
      <c r="Q31" s="391">
        <v>0</v>
      </c>
      <c r="R31" s="394">
        <v>0</v>
      </c>
      <c r="S31" s="391">
        <v>0</v>
      </c>
      <c r="T31" s="395">
        <v>0</v>
      </c>
      <c r="U31" s="396">
        <v>0</v>
      </c>
      <c r="V31" s="393">
        <v>0</v>
      </c>
      <c r="W31" s="393">
        <v>0</v>
      </c>
      <c r="X31" s="393">
        <v>0</v>
      </c>
      <c r="Y31" s="397">
        <v>0</v>
      </c>
      <c r="Z31" s="397">
        <v>0</v>
      </c>
      <c r="AA31" s="398">
        <v>0</v>
      </c>
      <c r="AB31" s="399">
        <v>0</v>
      </c>
      <c r="AC31" s="400">
        <v>0</v>
      </c>
      <c r="AD31" s="400">
        <v>0</v>
      </c>
      <c r="AE31" s="399">
        <v>0</v>
      </c>
      <c r="AF31" s="399">
        <v>0</v>
      </c>
      <c r="AG31" s="399">
        <v>0</v>
      </c>
      <c r="AH31" s="400">
        <v>164.96928563912709</v>
      </c>
      <c r="AI31" s="400">
        <v>515.85444173812857</v>
      </c>
      <c r="AJ31" s="400">
        <v>1107.3499994913736</v>
      </c>
      <c r="AK31" s="400">
        <v>178.79292744000753</v>
      </c>
      <c r="AL31" s="400">
        <v>865.6033702850342</v>
      </c>
      <c r="AM31" s="400">
        <v>1030.2680757522583</v>
      </c>
      <c r="AN31" s="400">
        <v>939.63439505894962</v>
      </c>
      <c r="AO31" s="400">
        <v>339.31181484858189</v>
      </c>
      <c r="AP31" s="400">
        <v>56.993020151058829</v>
      </c>
      <c r="AQ31" s="400">
        <v>727.40344168345121</v>
      </c>
    </row>
    <row r="32" spans="1:43">
      <c r="A32" s="379">
        <v>40993</v>
      </c>
      <c r="B32" s="390"/>
      <c r="C32" s="391">
        <v>0</v>
      </c>
      <c r="D32" s="391">
        <v>0</v>
      </c>
      <c r="E32" s="391">
        <v>0</v>
      </c>
      <c r="F32" s="391">
        <v>0</v>
      </c>
      <c r="G32" s="391">
        <v>0</v>
      </c>
      <c r="H32" s="392">
        <v>0</v>
      </c>
      <c r="I32" s="390">
        <v>0</v>
      </c>
      <c r="J32" s="391">
        <v>0</v>
      </c>
      <c r="K32" s="391">
        <v>0</v>
      </c>
      <c r="L32" s="391">
        <v>0</v>
      </c>
      <c r="M32" s="391">
        <v>0</v>
      </c>
      <c r="N32" s="392">
        <v>0</v>
      </c>
      <c r="O32" s="390">
        <v>0</v>
      </c>
      <c r="P32" s="391">
        <v>0</v>
      </c>
      <c r="Q32" s="391">
        <v>0</v>
      </c>
      <c r="R32" s="394">
        <v>0</v>
      </c>
      <c r="S32" s="391">
        <v>0</v>
      </c>
      <c r="T32" s="395">
        <v>0</v>
      </c>
      <c r="U32" s="396">
        <v>0</v>
      </c>
      <c r="V32" s="393">
        <v>0</v>
      </c>
      <c r="W32" s="393">
        <v>0</v>
      </c>
      <c r="X32" s="393">
        <v>0</v>
      </c>
      <c r="Y32" s="397">
        <v>0</v>
      </c>
      <c r="Z32" s="397">
        <v>0</v>
      </c>
      <c r="AA32" s="398">
        <v>0</v>
      </c>
      <c r="AB32" s="399">
        <v>0</v>
      </c>
      <c r="AC32" s="400">
        <v>0</v>
      </c>
      <c r="AD32" s="400">
        <v>0</v>
      </c>
      <c r="AE32" s="399">
        <v>0</v>
      </c>
      <c r="AF32" s="399">
        <v>0</v>
      </c>
      <c r="AG32" s="399">
        <v>0</v>
      </c>
      <c r="AH32" s="400">
        <v>172.20450857480367</v>
      </c>
      <c r="AI32" s="400">
        <v>525.87856483459484</v>
      </c>
      <c r="AJ32" s="400">
        <v>1079.1932404200236</v>
      </c>
      <c r="AK32" s="400">
        <v>179.18174231847127</v>
      </c>
      <c r="AL32" s="400">
        <v>875.59268754323318</v>
      </c>
      <c r="AM32" s="400">
        <v>1045.5023447672525</v>
      </c>
      <c r="AN32" s="400">
        <v>940.49238796234135</v>
      </c>
      <c r="AO32" s="400">
        <v>332.96641049385073</v>
      </c>
      <c r="AP32" s="400">
        <v>53.779590302705763</v>
      </c>
      <c r="AQ32" s="400">
        <v>711.45701891581234</v>
      </c>
    </row>
    <row r="33" spans="1:43">
      <c r="A33" s="379">
        <v>40994</v>
      </c>
      <c r="B33" s="390"/>
      <c r="C33" s="391">
        <v>0</v>
      </c>
      <c r="D33" s="391">
        <v>0</v>
      </c>
      <c r="E33" s="391">
        <v>0</v>
      </c>
      <c r="F33" s="391">
        <v>0</v>
      </c>
      <c r="G33" s="391">
        <v>0</v>
      </c>
      <c r="H33" s="392">
        <v>0</v>
      </c>
      <c r="I33" s="390">
        <v>0</v>
      </c>
      <c r="J33" s="391">
        <v>0</v>
      </c>
      <c r="K33" s="391">
        <v>0</v>
      </c>
      <c r="L33" s="391">
        <v>0</v>
      </c>
      <c r="M33" s="391">
        <v>0</v>
      </c>
      <c r="N33" s="392">
        <v>0</v>
      </c>
      <c r="O33" s="390">
        <v>0</v>
      </c>
      <c r="P33" s="391">
        <v>0</v>
      </c>
      <c r="Q33" s="391">
        <v>0</v>
      </c>
      <c r="R33" s="394">
        <v>0</v>
      </c>
      <c r="S33" s="391">
        <v>0</v>
      </c>
      <c r="T33" s="395">
        <v>0</v>
      </c>
      <c r="U33" s="396">
        <v>0</v>
      </c>
      <c r="V33" s="393">
        <v>0</v>
      </c>
      <c r="W33" s="393">
        <v>0</v>
      </c>
      <c r="X33" s="393">
        <v>0</v>
      </c>
      <c r="Y33" s="397">
        <v>0</v>
      </c>
      <c r="Z33" s="397">
        <v>0</v>
      </c>
      <c r="AA33" s="398">
        <v>0</v>
      </c>
      <c r="AB33" s="399">
        <v>0</v>
      </c>
      <c r="AC33" s="400">
        <v>0</v>
      </c>
      <c r="AD33" s="400">
        <v>0</v>
      </c>
      <c r="AE33" s="399">
        <v>0</v>
      </c>
      <c r="AF33" s="399">
        <v>0</v>
      </c>
      <c r="AG33" s="399">
        <v>0</v>
      </c>
      <c r="AH33" s="400">
        <v>166.32541985511779</v>
      </c>
      <c r="AI33" s="400">
        <v>563.84450117746985</v>
      </c>
      <c r="AJ33" s="400">
        <v>1125.5786814371745</v>
      </c>
      <c r="AK33" s="400">
        <v>210.25112390518186</v>
      </c>
      <c r="AL33" s="400">
        <v>1015.6755390167236</v>
      </c>
      <c r="AM33" s="400">
        <v>1145.3439442316692</v>
      </c>
      <c r="AN33" s="400">
        <v>903.26531915664668</v>
      </c>
      <c r="AO33" s="400">
        <v>340.06422754923506</v>
      </c>
      <c r="AP33" s="400">
        <v>47.346389863888426</v>
      </c>
      <c r="AQ33" s="400">
        <v>785.99368336995451</v>
      </c>
    </row>
    <row r="34" spans="1:43">
      <c r="A34" s="379">
        <v>40995</v>
      </c>
      <c r="B34" s="390"/>
      <c r="C34" s="391">
        <v>0</v>
      </c>
      <c r="D34" s="391">
        <v>0</v>
      </c>
      <c r="E34" s="391">
        <v>0</v>
      </c>
      <c r="F34" s="391">
        <v>0</v>
      </c>
      <c r="G34" s="391">
        <v>0</v>
      </c>
      <c r="H34" s="392">
        <v>0</v>
      </c>
      <c r="I34" s="390">
        <v>0</v>
      </c>
      <c r="J34" s="391">
        <v>0</v>
      </c>
      <c r="K34" s="391">
        <v>0</v>
      </c>
      <c r="L34" s="391">
        <v>0</v>
      </c>
      <c r="M34" s="391">
        <v>0</v>
      </c>
      <c r="N34" s="392">
        <v>0</v>
      </c>
      <c r="O34" s="390">
        <v>0</v>
      </c>
      <c r="P34" s="391">
        <v>0</v>
      </c>
      <c r="Q34" s="391">
        <v>0</v>
      </c>
      <c r="R34" s="394">
        <v>0</v>
      </c>
      <c r="S34" s="391">
        <v>0</v>
      </c>
      <c r="T34" s="395">
        <v>0</v>
      </c>
      <c r="U34" s="396">
        <v>0</v>
      </c>
      <c r="V34" s="393">
        <v>0</v>
      </c>
      <c r="W34" s="393">
        <v>0</v>
      </c>
      <c r="X34" s="393">
        <v>0</v>
      </c>
      <c r="Y34" s="397">
        <v>0</v>
      </c>
      <c r="Z34" s="397">
        <v>0</v>
      </c>
      <c r="AA34" s="398">
        <v>0</v>
      </c>
      <c r="AB34" s="399">
        <v>0</v>
      </c>
      <c r="AC34" s="400">
        <v>0</v>
      </c>
      <c r="AD34" s="400">
        <v>0</v>
      </c>
      <c r="AE34" s="399">
        <v>0</v>
      </c>
      <c r="AF34" s="399">
        <v>0</v>
      </c>
      <c r="AG34" s="399">
        <v>0</v>
      </c>
      <c r="AH34" s="400">
        <v>171.53160507678984</v>
      </c>
      <c r="AI34" s="400">
        <v>475.13288035392765</v>
      </c>
      <c r="AJ34" s="400">
        <v>1148.5602561950684</v>
      </c>
      <c r="AK34" s="400">
        <v>235.05294779141744</v>
      </c>
      <c r="AL34" s="400">
        <v>914.66628074645996</v>
      </c>
      <c r="AM34" s="400">
        <v>1188.8608549753826</v>
      </c>
      <c r="AN34" s="400">
        <v>914.23759922981276</v>
      </c>
      <c r="AO34" s="400">
        <v>355.41830166180938</v>
      </c>
      <c r="AP34" s="400">
        <v>53.913829847176871</v>
      </c>
      <c r="AQ34" s="400">
        <v>721.20680688222239</v>
      </c>
    </row>
    <row r="35" spans="1:43">
      <c r="A35" s="379">
        <v>40996</v>
      </c>
      <c r="B35" s="390"/>
      <c r="C35" s="391">
        <v>0</v>
      </c>
      <c r="D35" s="391">
        <v>0</v>
      </c>
      <c r="E35" s="391">
        <v>0</v>
      </c>
      <c r="F35" s="391">
        <v>0</v>
      </c>
      <c r="G35" s="391">
        <v>0</v>
      </c>
      <c r="H35" s="392">
        <v>0</v>
      </c>
      <c r="I35" s="390">
        <v>0</v>
      </c>
      <c r="J35" s="391">
        <v>0</v>
      </c>
      <c r="K35" s="391">
        <v>0</v>
      </c>
      <c r="L35" s="391">
        <v>0</v>
      </c>
      <c r="M35" s="391">
        <v>0</v>
      </c>
      <c r="N35" s="392">
        <v>0</v>
      </c>
      <c r="O35" s="390">
        <v>0</v>
      </c>
      <c r="P35" s="391">
        <v>0</v>
      </c>
      <c r="Q35" s="391">
        <v>0</v>
      </c>
      <c r="R35" s="394">
        <v>0</v>
      </c>
      <c r="S35" s="391">
        <v>0</v>
      </c>
      <c r="T35" s="395">
        <v>0</v>
      </c>
      <c r="U35" s="396">
        <v>0</v>
      </c>
      <c r="V35" s="393">
        <v>0</v>
      </c>
      <c r="W35" s="393">
        <v>0</v>
      </c>
      <c r="X35" s="393">
        <v>0</v>
      </c>
      <c r="Y35" s="397">
        <v>0</v>
      </c>
      <c r="Z35" s="397">
        <v>0</v>
      </c>
      <c r="AA35" s="398">
        <v>0</v>
      </c>
      <c r="AB35" s="399">
        <v>0</v>
      </c>
      <c r="AC35" s="400">
        <v>0</v>
      </c>
      <c r="AD35" s="400">
        <v>0</v>
      </c>
      <c r="AE35" s="399">
        <v>0</v>
      </c>
      <c r="AF35" s="399">
        <v>0</v>
      </c>
      <c r="AG35" s="399">
        <v>0</v>
      </c>
      <c r="AH35" s="400">
        <v>165.23183411757157</v>
      </c>
      <c r="AI35" s="400">
        <v>363.08816712697342</v>
      </c>
      <c r="AJ35" s="400">
        <v>1147.6683952331543</v>
      </c>
      <c r="AK35" s="400">
        <v>230.80103765328724</v>
      </c>
      <c r="AL35" s="400">
        <v>917.00009899139411</v>
      </c>
      <c r="AM35" s="400">
        <v>1162.1952133814493</v>
      </c>
      <c r="AN35" s="400">
        <v>904.59296102523808</v>
      </c>
      <c r="AO35" s="400">
        <v>342.06665341059363</v>
      </c>
      <c r="AP35" s="400">
        <v>56.326244686047232</v>
      </c>
      <c r="AQ35" s="400">
        <v>764.37070153554305</v>
      </c>
    </row>
    <row r="36" spans="1:43">
      <c r="A36" s="379">
        <v>40997</v>
      </c>
      <c r="B36" s="390"/>
      <c r="C36" s="391">
        <v>0</v>
      </c>
      <c r="D36" s="391">
        <v>0</v>
      </c>
      <c r="E36" s="391">
        <v>0</v>
      </c>
      <c r="F36" s="391">
        <v>0</v>
      </c>
      <c r="G36" s="391">
        <v>0</v>
      </c>
      <c r="H36" s="392">
        <v>0</v>
      </c>
      <c r="I36" s="390">
        <v>0</v>
      </c>
      <c r="J36" s="391">
        <v>0</v>
      </c>
      <c r="K36" s="391">
        <v>0</v>
      </c>
      <c r="L36" s="391">
        <v>0</v>
      </c>
      <c r="M36" s="391">
        <v>0</v>
      </c>
      <c r="N36" s="392">
        <v>0</v>
      </c>
      <c r="O36" s="390">
        <v>0</v>
      </c>
      <c r="P36" s="391">
        <v>0</v>
      </c>
      <c r="Q36" s="391">
        <v>0</v>
      </c>
      <c r="R36" s="394">
        <v>0</v>
      </c>
      <c r="S36" s="391">
        <v>0</v>
      </c>
      <c r="T36" s="395">
        <v>0</v>
      </c>
      <c r="U36" s="396">
        <v>0</v>
      </c>
      <c r="V36" s="393">
        <v>0</v>
      </c>
      <c r="W36" s="393">
        <v>0</v>
      </c>
      <c r="X36" s="393">
        <v>0</v>
      </c>
      <c r="Y36" s="397">
        <v>0</v>
      </c>
      <c r="Z36" s="397">
        <v>0</v>
      </c>
      <c r="AA36" s="398">
        <v>0</v>
      </c>
      <c r="AB36" s="399">
        <v>0</v>
      </c>
      <c r="AC36" s="400">
        <v>0</v>
      </c>
      <c r="AD36" s="400">
        <v>0</v>
      </c>
      <c r="AE36" s="399">
        <v>0</v>
      </c>
      <c r="AF36" s="399">
        <v>0</v>
      </c>
      <c r="AG36" s="399">
        <v>0</v>
      </c>
      <c r="AH36" s="400">
        <v>164.20074032147724</v>
      </c>
      <c r="AI36" s="400">
        <v>355.83891839981078</v>
      </c>
      <c r="AJ36" s="400">
        <v>1112.7513491312664</v>
      </c>
      <c r="AK36" s="400">
        <v>328.2242139021555</v>
      </c>
      <c r="AL36" s="400">
        <v>907.23765392303471</v>
      </c>
      <c r="AM36" s="400">
        <v>1087.9598637898762</v>
      </c>
      <c r="AN36" s="400">
        <v>883.04945729573558</v>
      </c>
      <c r="AO36" s="400">
        <v>329.62412730852765</v>
      </c>
      <c r="AP36" s="400">
        <v>44.076656814416253</v>
      </c>
      <c r="AQ36" s="400">
        <v>720.10878543853778</v>
      </c>
    </row>
    <row r="37" spans="1:43">
      <c r="A37" s="379">
        <v>40998</v>
      </c>
      <c r="B37" s="390"/>
      <c r="C37" s="391">
        <v>0</v>
      </c>
      <c r="D37" s="391">
        <v>0</v>
      </c>
      <c r="E37" s="391">
        <v>0</v>
      </c>
      <c r="F37" s="391">
        <v>0</v>
      </c>
      <c r="G37" s="391">
        <v>0</v>
      </c>
      <c r="H37" s="392">
        <v>0</v>
      </c>
      <c r="I37" s="390">
        <v>0</v>
      </c>
      <c r="J37" s="391">
        <v>0</v>
      </c>
      <c r="K37" s="391">
        <v>0</v>
      </c>
      <c r="L37" s="391">
        <v>0</v>
      </c>
      <c r="M37" s="391">
        <v>0</v>
      </c>
      <c r="N37" s="392">
        <v>0</v>
      </c>
      <c r="O37" s="390">
        <v>0</v>
      </c>
      <c r="P37" s="391">
        <v>0</v>
      </c>
      <c r="Q37" s="391">
        <v>0</v>
      </c>
      <c r="R37" s="394">
        <v>0</v>
      </c>
      <c r="S37" s="391">
        <v>0</v>
      </c>
      <c r="T37" s="395">
        <v>0</v>
      </c>
      <c r="U37" s="396">
        <v>0</v>
      </c>
      <c r="V37" s="393">
        <v>0</v>
      </c>
      <c r="W37" s="393">
        <v>0</v>
      </c>
      <c r="X37" s="393">
        <v>0</v>
      </c>
      <c r="Y37" s="397">
        <v>0</v>
      </c>
      <c r="Z37" s="397">
        <v>0</v>
      </c>
      <c r="AA37" s="398">
        <v>0</v>
      </c>
      <c r="AB37" s="399">
        <v>0</v>
      </c>
      <c r="AC37" s="400">
        <v>0</v>
      </c>
      <c r="AD37" s="400">
        <v>0</v>
      </c>
      <c r="AE37" s="399">
        <v>0</v>
      </c>
      <c r="AF37" s="399">
        <v>0</v>
      </c>
      <c r="AG37" s="399">
        <v>0</v>
      </c>
      <c r="AH37" s="400">
        <v>160.58134543895721</v>
      </c>
      <c r="AI37" s="400">
        <v>358.1490071455637</v>
      </c>
      <c r="AJ37" s="400">
        <v>1119.8831508636474</v>
      </c>
      <c r="AK37" s="400">
        <v>366.12239988644922</v>
      </c>
      <c r="AL37" s="400">
        <v>909.28778800964358</v>
      </c>
      <c r="AM37" s="400">
        <v>1049.8081358591717</v>
      </c>
      <c r="AN37" s="400">
        <v>876.54356094996149</v>
      </c>
      <c r="AO37" s="400">
        <v>288.3514239947001</v>
      </c>
      <c r="AP37" s="400">
        <v>55.036461538076402</v>
      </c>
      <c r="AQ37" s="400">
        <v>721.06716801325467</v>
      </c>
    </row>
    <row r="38" spans="1:43" ht="15.75" thickBot="1">
      <c r="A38" s="379">
        <v>40999</v>
      </c>
      <c r="B38" s="404"/>
      <c r="C38" s="405">
        <v>0</v>
      </c>
      <c r="D38" s="405">
        <v>0</v>
      </c>
      <c r="E38" s="405">
        <v>0</v>
      </c>
      <c r="F38" s="405">
        <v>0</v>
      </c>
      <c r="G38" s="405">
        <v>0</v>
      </c>
      <c r="H38" s="406">
        <v>0</v>
      </c>
      <c r="I38" s="407">
        <v>0</v>
      </c>
      <c r="J38" s="405">
        <v>0</v>
      </c>
      <c r="K38" s="405">
        <v>0</v>
      </c>
      <c r="L38" s="405">
        <v>0</v>
      </c>
      <c r="M38" s="405">
        <v>0</v>
      </c>
      <c r="N38" s="406">
        <v>0</v>
      </c>
      <c r="O38" s="407">
        <v>0</v>
      </c>
      <c r="P38" s="405">
        <v>0</v>
      </c>
      <c r="Q38" s="405">
        <v>0</v>
      </c>
      <c r="R38" s="408">
        <v>0</v>
      </c>
      <c r="S38" s="405">
        <v>0</v>
      </c>
      <c r="T38" s="409">
        <v>0</v>
      </c>
      <c r="U38" s="410">
        <v>0</v>
      </c>
      <c r="V38" s="411">
        <v>0</v>
      </c>
      <c r="W38" s="412">
        <v>0</v>
      </c>
      <c r="X38" s="412">
        <v>0</v>
      </c>
      <c r="Y38" s="411">
        <v>0</v>
      </c>
      <c r="Z38" s="411">
        <v>0</v>
      </c>
      <c r="AA38" s="413">
        <v>0</v>
      </c>
      <c r="AB38" s="414">
        <v>0</v>
      </c>
      <c r="AC38" s="415">
        <v>0</v>
      </c>
      <c r="AD38" s="416">
        <v>0</v>
      </c>
      <c r="AE38" s="414">
        <v>0</v>
      </c>
      <c r="AF38" s="414">
        <v>0</v>
      </c>
      <c r="AG38" s="414">
        <v>0</v>
      </c>
      <c r="AH38" s="415">
        <v>155.80129998524984</v>
      </c>
      <c r="AI38" s="415">
        <v>363.14750173886625</v>
      </c>
      <c r="AJ38" s="415">
        <v>1140.9400650660195</v>
      </c>
      <c r="AK38" s="415">
        <v>222.6014563004176</v>
      </c>
      <c r="AL38" s="415">
        <v>897.45376990636191</v>
      </c>
      <c r="AM38" s="415">
        <v>1047.9135346094765</v>
      </c>
      <c r="AN38" s="415">
        <v>878.76924626032508</v>
      </c>
      <c r="AO38" s="415">
        <v>293.49107923507688</v>
      </c>
      <c r="AP38" s="415">
        <v>50.942341268062592</v>
      </c>
      <c r="AQ38" s="415">
        <v>759.83403065999346</v>
      </c>
    </row>
    <row r="39" spans="1:43" ht="15.75" thickTop="1">
      <c r="A39" s="417" t="s">
        <v>170</v>
      </c>
      <c r="B39" s="418">
        <f>SUM(B8:B38)</f>
        <v>0</v>
      </c>
      <c r="C39" s="419">
        <f t="shared" ref="C39:AC39" si="0">SUM(C8:C38)</f>
        <v>0</v>
      </c>
      <c r="D39" s="419">
        <f t="shared" si="0"/>
        <v>0</v>
      </c>
      <c r="E39" s="419">
        <f t="shared" si="0"/>
        <v>0</v>
      </c>
      <c r="F39" s="419">
        <f t="shared" si="0"/>
        <v>0</v>
      </c>
      <c r="G39" s="419">
        <f t="shared" si="0"/>
        <v>0</v>
      </c>
      <c r="H39" s="420">
        <f t="shared" si="0"/>
        <v>0</v>
      </c>
      <c r="I39" s="418">
        <f t="shared" si="0"/>
        <v>0</v>
      </c>
      <c r="J39" s="419">
        <f t="shared" si="0"/>
        <v>0</v>
      </c>
      <c r="K39" s="419">
        <f t="shared" si="0"/>
        <v>0</v>
      </c>
      <c r="L39" s="419">
        <f t="shared" si="0"/>
        <v>0</v>
      </c>
      <c r="M39" s="419">
        <f t="shared" si="0"/>
        <v>0</v>
      </c>
      <c r="N39" s="420">
        <f t="shared" si="0"/>
        <v>0</v>
      </c>
      <c r="O39" s="421">
        <f t="shared" si="0"/>
        <v>0</v>
      </c>
      <c r="P39" s="422">
        <f t="shared" si="0"/>
        <v>0</v>
      </c>
      <c r="Q39" s="422">
        <f t="shared" si="0"/>
        <v>0</v>
      </c>
      <c r="R39" s="422">
        <f t="shared" si="0"/>
        <v>0</v>
      </c>
      <c r="S39" s="422">
        <f t="shared" si="0"/>
        <v>0</v>
      </c>
      <c r="T39" s="423">
        <f t="shared" si="0"/>
        <v>0</v>
      </c>
      <c r="U39" s="421">
        <f t="shared" si="0"/>
        <v>0</v>
      </c>
      <c r="V39" s="422">
        <f t="shared" si="0"/>
        <v>0</v>
      </c>
      <c r="W39" s="422">
        <f t="shared" si="0"/>
        <v>0</v>
      </c>
      <c r="X39" s="422">
        <f t="shared" si="0"/>
        <v>0</v>
      </c>
      <c r="Y39" s="422">
        <f t="shared" si="0"/>
        <v>0</v>
      </c>
      <c r="Z39" s="422">
        <f t="shared" si="0"/>
        <v>0</v>
      </c>
      <c r="AA39" s="424">
        <f t="shared" si="0"/>
        <v>0</v>
      </c>
      <c r="AB39" s="425">
        <f t="shared" si="0"/>
        <v>0</v>
      </c>
      <c r="AC39" s="425">
        <f t="shared" si="0"/>
        <v>0</v>
      </c>
      <c r="AD39" s="426" t="s">
        <v>29</v>
      </c>
      <c r="AE39" s="426" t="s">
        <v>29</v>
      </c>
      <c r="AF39" s="426" t="s">
        <v>29</v>
      </c>
      <c r="AG39" s="426" t="s">
        <v>158</v>
      </c>
      <c r="AH39" s="425">
        <f t="shared" ref="AH39:AQ39" si="1">SUM(AH8:AH38)</f>
        <v>5918.3488202412937</v>
      </c>
      <c r="AI39" s="425">
        <f t="shared" si="1"/>
        <v>15294.85993282</v>
      </c>
      <c r="AJ39" s="425">
        <f t="shared" si="1"/>
        <v>34025.881396071112</v>
      </c>
      <c r="AK39" s="425">
        <f t="shared" si="1"/>
        <v>6409.783794760704</v>
      </c>
      <c r="AL39" s="425">
        <f t="shared" si="1"/>
        <v>29717.024547481531</v>
      </c>
      <c r="AM39" s="425">
        <f t="shared" si="1"/>
        <v>38725.347935899103</v>
      </c>
      <c r="AN39" s="425">
        <f t="shared" si="1"/>
        <v>21002.953079716364</v>
      </c>
      <c r="AO39" s="425">
        <f t="shared" si="1"/>
        <v>10888.78787829081</v>
      </c>
      <c r="AP39" s="425">
        <f t="shared" si="1"/>
        <v>3537.3141830066834</v>
      </c>
      <c r="AQ39" s="425">
        <f t="shared" si="1"/>
        <v>21999.14442481994</v>
      </c>
    </row>
    <row r="40" spans="1:43" ht="15.75" thickBot="1">
      <c r="A40" s="427" t="s">
        <v>171</v>
      </c>
      <c r="B40" s="428">
        <f>Projection!$AA$30</f>
        <v>0.91139353199999984</v>
      </c>
      <c r="C40" s="429">
        <f>Projection!$AA$28</f>
        <v>1.4375491199999999</v>
      </c>
      <c r="D40" s="429">
        <f>Projection!$AA$31</f>
        <v>2.1834120000000001</v>
      </c>
      <c r="E40" s="429">
        <f>Projection!$AA$26</f>
        <v>4.7363493840000004</v>
      </c>
      <c r="F40" s="429">
        <f>Projection!$AA$23</f>
        <v>5.8379999999999994E-2</v>
      </c>
      <c r="G40" s="429">
        <f>Projection!$AA$24</f>
        <v>5.3200000000000004E-2</v>
      </c>
      <c r="H40" s="430">
        <f>Projection!$AA$29</f>
        <v>3.6371774160000006</v>
      </c>
      <c r="I40" s="428">
        <f>Projection!$AA$30</f>
        <v>0.91139353199999984</v>
      </c>
      <c r="J40" s="429">
        <f>Projection!$AA$28</f>
        <v>1.4375491199999999</v>
      </c>
      <c r="K40" s="429">
        <f>Projection!$AA$26</f>
        <v>4.7363493840000004</v>
      </c>
      <c r="L40" s="429">
        <f>Projection!$AA$25</f>
        <v>0.37613399999999997</v>
      </c>
      <c r="M40" s="429">
        <f>Projection!$AA$23</f>
        <v>5.8379999999999994E-2</v>
      </c>
      <c r="N40" s="430">
        <f>Projection!$AA$23</f>
        <v>5.8379999999999994E-2</v>
      </c>
      <c r="O40" s="431">
        <v>15.77</v>
      </c>
      <c r="P40" s="432">
        <v>15.77</v>
      </c>
      <c r="Q40" s="432">
        <v>15.77</v>
      </c>
      <c r="R40" s="432">
        <v>15.77</v>
      </c>
      <c r="S40" s="491">
        <f>Projection!$AA$28</f>
        <v>1.4375491199999999</v>
      </c>
      <c r="T40" s="492">
        <f>Projection!$AA$28</f>
        <v>1.4375491199999999</v>
      </c>
      <c r="U40" s="493">
        <f>Projection!$AA$27</f>
        <v>0.29749999999999999</v>
      </c>
      <c r="V40" s="491">
        <f>Projection!$AA$27</f>
        <v>0.29749999999999999</v>
      </c>
      <c r="W40" s="491">
        <f>Projection!$AA$22</f>
        <v>1.1475</v>
      </c>
      <c r="X40" s="491">
        <f>Projection!$AA$22</f>
        <v>1.1475</v>
      </c>
      <c r="Y40" s="491">
        <f>Projection!$AA$31</f>
        <v>2.1834120000000001</v>
      </c>
      <c r="Z40" s="491">
        <f>Projection!$AA$31</f>
        <v>2.1834120000000001</v>
      </c>
      <c r="AA40" s="494">
        <v>0</v>
      </c>
      <c r="AB40" s="495">
        <f>Projection!$AA$27</f>
        <v>0.29749999999999999</v>
      </c>
      <c r="AC40" s="495">
        <f>Projection!$AA$30</f>
        <v>0.91139353199999984</v>
      </c>
      <c r="AD40" s="436">
        <f>SUM(AD8:AD38)</f>
        <v>0</v>
      </c>
      <c r="AE40" s="436">
        <f>SUM(AE8:AE38)</f>
        <v>0</v>
      </c>
      <c r="AF40" s="436">
        <f>SUM(AF8:AF38)</f>
        <v>0</v>
      </c>
      <c r="AG40" s="436">
        <v>0.5</v>
      </c>
      <c r="AH40" s="437">
        <v>7.0000000000000007E-2</v>
      </c>
      <c r="AI40" s="437">
        <f t="shared" ref="AI40:AQ40" si="2">$AH$40</f>
        <v>7.0000000000000007E-2</v>
      </c>
      <c r="AJ40" s="437">
        <f t="shared" si="2"/>
        <v>7.0000000000000007E-2</v>
      </c>
      <c r="AK40" s="437">
        <f t="shared" si="2"/>
        <v>7.0000000000000007E-2</v>
      </c>
      <c r="AL40" s="437">
        <f t="shared" si="2"/>
        <v>7.0000000000000007E-2</v>
      </c>
      <c r="AM40" s="437">
        <f t="shared" si="2"/>
        <v>7.0000000000000007E-2</v>
      </c>
      <c r="AN40" s="437">
        <f t="shared" si="2"/>
        <v>7.0000000000000007E-2</v>
      </c>
      <c r="AO40" s="437">
        <f t="shared" si="2"/>
        <v>7.0000000000000007E-2</v>
      </c>
      <c r="AP40" s="437">
        <f t="shared" si="2"/>
        <v>7.0000000000000007E-2</v>
      </c>
      <c r="AQ40" s="437">
        <f t="shared" si="2"/>
        <v>7.0000000000000007E-2</v>
      </c>
    </row>
    <row r="41" spans="1:43" ht="16.5" thickTop="1" thickBot="1">
      <c r="A41" s="438" t="s">
        <v>26</v>
      </c>
      <c r="B41" s="439">
        <f t="shared" ref="B41:AC41" si="3">B40*B39</f>
        <v>0</v>
      </c>
      <c r="C41" s="440">
        <f t="shared" si="3"/>
        <v>0</v>
      </c>
      <c r="D41" s="440">
        <f t="shared" si="3"/>
        <v>0</v>
      </c>
      <c r="E41" s="440">
        <f t="shared" si="3"/>
        <v>0</v>
      </c>
      <c r="F41" s="440">
        <f t="shared" si="3"/>
        <v>0</v>
      </c>
      <c r="G41" s="440">
        <f t="shared" si="3"/>
        <v>0</v>
      </c>
      <c r="H41" s="441">
        <f t="shared" si="3"/>
        <v>0</v>
      </c>
      <c r="I41" s="439">
        <f t="shared" si="3"/>
        <v>0</v>
      </c>
      <c r="J41" s="440">
        <f t="shared" si="3"/>
        <v>0</v>
      </c>
      <c r="K41" s="440">
        <f t="shared" si="3"/>
        <v>0</v>
      </c>
      <c r="L41" s="440">
        <f t="shared" si="3"/>
        <v>0</v>
      </c>
      <c r="M41" s="440">
        <f t="shared" si="3"/>
        <v>0</v>
      </c>
      <c r="N41" s="441">
        <f t="shared" si="3"/>
        <v>0</v>
      </c>
      <c r="O41" s="442">
        <f t="shared" si="3"/>
        <v>0</v>
      </c>
      <c r="P41" s="443">
        <f t="shared" si="3"/>
        <v>0</v>
      </c>
      <c r="Q41" s="443">
        <f t="shared" si="3"/>
        <v>0</v>
      </c>
      <c r="R41" s="443">
        <f t="shared" si="3"/>
        <v>0</v>
      </c>
      <c r="S41" s="443">
        <f t="shared" si="3"/>
        <v>0</v>
      </c>
      <c r="T41" s="444">
        <f t="shared" si="3"/>
        <v>0</v>
      </c>
      <c r="U41" s="442">
        <f t="shared" si="3"/>
        <v>0</v>
      </c>
      <c r="V41" s="443">
        <f t="shared" si="3"/>
        <v>0</v>
      </c>
      <c r="W41" s="443">
        <f t="shared" si="3"/>
        <v>0</v>
      </c>
      <c r="X41" s="443">
        <f t="shared" si="3"/>
        <v>0</v>
      </c>
      <c r="Y41" s="443">
        <f t="shared" si="3"/>
        <v>0</v>
      </c>
      <c r="Z41" s="443">
        <f t="shared" si="3"/>
        <v>0</v>
      </c>
      <c r="AA41" s="445">
        <f t="shared" si="3"/>
        <v>0</v>
      </c>
      <c r="AB41" s="446">
        <f t="shared" si="3"/>
        <v>0</v>
      </c>
      <c r="AC41" s="446">
        <f t="shared" si="3"/>
        <v>0</v>
      </c>
      <c r="AH41" s="447">
        <f t="shared" ref="AH41:AQ41" si="4">AH40*AH39</f>
        <v>414.28441741689062</v>
      </c>
      <c r="AI41" s="447">
        <f t="shared" si="4"/>
        <v>1070.6401952974002</v>
      </c>
      <c r="AJ41" s="447">
        <f t="shared" si="4"/>
        <v>2381.8116977249779</v>
      </c>
      <c r="AK41" s="447">
        <f t="shared" si="4"/>
        <v>448.68486563324933</v>
      </c>
      <c r="AL41" s="447">
        <f t="shared" si="4"/>
        <v>2080.1917183237074</v>
      </c>
      <c r="AM41" s="447">
        <f t="shared" si="4"/>
        <v>2710.7743555129373</v>
      </c>
      <c r="AN41" s="447">
        <f t="shared" si="4"/>
        <v>1470.2067155801456</v>
      </c>
      <c r="AO41" s="447">
        <f t="shared" si="4"/>
        <v>762.21515148035678</v>
      </c>
      <c r="AP41" s="447">
        <f t="shared" si="4"/>
        <v>247.61199281046785</v>
      </c>
      <c r="AQ41" s="447">
        <f t="shared" si="4"/>
        <v>1539.9401097373959</v>
      </c>
    </row>
    <row r="42" spans="1:43" ht="49.5" customHeight="1" thickTop="1" thickBot="1">
      <c r="A42" s="685" t="s">
        <v>209</v>
      </c>
      <c r="B42" s="686"/>
      <c r="C42" s="686"/>
      <c r="D42" s="686"/>
      <c r="E42" s="686"/>
      <c r="F42" s="686"/>
      <c r="G42" s="686"/>
      <c r="H42" s="686"/>
      <c r="I42" s="686"/>
      <c r="J42" s="686"/>
      <c r="K42" s="670"/>
      <c r="L42" s="496" t="s">
        <v>206</v>
      </c>
      <c r="M42" s="448"/>
      <c r="N42" s="448"/>
      <c r="O42" s="449"/>
      <c r="P42" s="449"/>
      <c r="Q42" s="449"/>
      <c r="R42" s="449"/>
      <c r="S42" s="449"/>
      <c r="T42" s="449"/>
      <c r="U42" s="449"/>
      <c r="V42" s="449"/>
      <c r="W42" s="449"/>
      <c r="X42" s="449"/>
      <c r="Y42" s="449"/>
      <c r="Z42" s="449"/>
      <c r="AA42" s="449"/>
      <c r="AB42" s="449"/>
      <c r="AC42" s="449"/>
      <c r="AG42" s="450" t="s">
        <v>183</v>
      </c>
      <c r="AH42" s="451">
        <v>804.39</v>
      </c>
      <c r="AI42" s="447" t="s">
        <v>196</v>
      </c>
      <c r="AJ42" s="447">
        <v>2041.98</v>
      </c>
      <c r="AK42" s="447">
        <v>976.58</v>
      </c>
      <c r="AL42" s="447">
        <v>1202.23</v>
      </c>
      <c r="AM42" s="447">
        <v>4002.24</v>
      </c>
      <c r="AN42" s="447">
        <v>1464.28</v>
      </c>
      <c r="AO42" s="447" t="s">
        <v>196</v>
      </c>
      <c r="AP42" s="447">
        <v>112.35</v>
      </c>
      <c r="AQ42" s="447">
        <v>583.5</v>
      </c>
    </row>
    <row r="43" spans="1:43" ht="38.25" customHeight="1" thickTop="1" thickBot="1">
      <c r="A43" s="673" t="s">
        <v>49</v>
      </c>
      <c r="B43" s="669"/>
      <c r="C43" s="452"/>
      <c r="D43" s="669" t="s">
        <v>47</v>
      </c>
      <c r="E43" s="669"/>
      <c r="F43" s="452"/>
      <c r="G43" s="669" t="s">
        <v>48</v>
      </c>
      <c r="H43" s="669"/>
      <c r="I43" s="453"/>
      <c r="J43" s="669" t="s">
        <v>50</v>
      </c>
      <c r="K43" s="670"/>
      <c r="L43" s="448"/>
      <c r="M43" s="448"/>
      <c r="N43" s="448"/>
      <c r="O43" s="449"/>
      <c r="P43" s="449"/>
      <c r="Q43" s="449"/>
      <c r="R43" s="679" t="s">
        <v>165</v>
      </c>
      <c r="S43" s="680"/>
      <c r="T43" s="680"/>
      <c r="U43" s="681"/>
      <c r="AC43" s="449"/>
      <c r="AQ43" s="454" t="s">
        <v>206</v>
      </c>
    </row>
    <row r="44" spans="1:43" ht="24.75" thickTop="1" thickBot="1">
      <c r="A44" s="455" t="s">
        <v>135</v>
      </c>
      <c r="B44" s="456">
        <f>SUM(B41:AC41)</f>
        <v>0</v>
      </c>
      <c r="C44" s="457"/>
      <c r="D44" s="455" t="s">
        <v>135</v>
      </c>
      <c r="E44" s="456">
        <f>SUM(B41:H41)+P41+R41+T41+V41+X41+Z41</f>
        <v>0</v>
      </c>
      <c r="F44" s="457"/>
      <c r="G44" s="455" t="s">
        <v>135</v>
      </c>
      <c r="H44" s="456">
        <f>SUM(I41:N41)+O41+Q41+S41+U41+W41+Y41</f>
        <v>0</v>
      </c>
      <c r="I44" s="457"/>
      <c r="J44" s="455" t="s">
        <v>197</v>
      </c>
      <c r="K44" s="456">
        <v>119284.4</v>
      </c>
      <c r="L44" s="457"/>
      <c r="M44" s="457"/>
      <c r="N44" s="457"/>
      <c r="O44" s="457"/>
      <c r="P44" s="457"/>
      <c r="Q44" s="457"/>
      <c r="R44" s="458" t="s">
        <v>135</v>
      </c>
      <c r="S44" s="459"/>
      <c r="T44" s="460" t="s">
        <v>166</v>
      </c>
      <c r="U44" s="461" t="s">
        <v>167</v>
      </c>
    </row>
    <row r="45" spans="1:43" ht="24" thickBot="1">
      <c r="A45" s="462" t="s">
        <v>182</v>
      </c>
      <c r="B45" s="463">
        <f>SUM(AH41:AQ41)</f>
        <v>13126.361219517528</v>
      </c>
      <c r="C45" s="457"/>
      <c r="D45" s="462" t="s">
        <v>182</v>
      </c>
      <c r="E45" s="463">
        <f>AH41*(1-$AG$40)+AI41+AJ41*0.5+AL41+AM41*(1-$AG$40)+AN41*(1-$AG$40)+AO41*(1-$AG$40)+AP41*0.5+AQ41*0.5</f>
        <v>7914.2541337526936</v>
      </c>
      <c r="F45" s="464"/>
      <c r="G45" s="462" t="s">
        <v>182</v>
      </c>
      <c r="H45" s="463">
        <f>AH41*AG40+AJ41*0.5+AK41+AM41*AG40+AN41*AG40+AO41*AG40+AP41*0.5+AQ41*0.5</f>
        <v>5212.1070857648347</v>
      </c>
      <c r="I45" s="457"/>
      <c r="J45" s="457"/>
      <c r="K45" s="465"/>
      <c r="L45" s="457"/>
      <c r="M45" s="457"/>
      <c r="N45" s="457"/>
      <c r="O45" s="457"/>
      <c r="P45" s="457"/>
      <c r="Q45" s="457"/>
      <c r="R45" s="466" t="s">
        <v>140</v>
      </c>
      <c r="S45" s="467"/>
      <c r="T45" s="468">
        <f>$W$39+$X$39</f>
        <v>0</v>
      </c>
      <c r="U45" s="469">
        <f>(T45*8.34*0.895)/27000</f>
        <v>0</v>
      </c>
    </row>
    <row r="46" spans="1:43" ht="32.25" thickBot="1">
      <c r="A46" s="470" t="s">
        <v>183</v>
      </c>
      <c r="B46" s="471">
        <f>SUM(AH42:AQ42)</f>
        <v>11187.550000000001</v>
      </c>
      <c r="C46" s="457"/>
      <c r="D46" s="470" t="s">
        <v>183</v>
      </c>
      <c r="E46" s="471">
        <f>AH42*(1-$AG$40)+AJ42*0.5+AL42+AM42*(1-$AG$40)+AN42*(1-$AG$40)+AP42*0.5+AQ42*0.5</f>
        <v>5706.6</v>
      </c>
      <c r="F46" s="472"/>
      <c r="G46" s="470" t="s">
        <v>183</v>
      </c>
      <c r="H46" s="471">
        <f>AH42*AG40+AJ42*0.5+AK42+AM42*AG40+AN42*AG40+AP42*0.5+AQ42*0.5</f>
        <v>5480.9500000000007</v>
      </c>
      <c r="I46" s="457"/>
      <c r="J46" s="671" t="s">
        <v>198</v>
      </c>
      <c r="K46" s="672"/>
      <c r="L46" s="457"/>
      <c r="M46" s="457"/>
      <c r="N46" s="457"/>
      <c r="O46" s="457"/>
      <c r="P46" s="457"/>
      <c r="Q46" s="457"/>
      <c r="R46" s="466" t="s">
        <v>144</v>
      </c>
      <c r="S46" s="467"/>
      <c r="T46" s="468">
        <f>$M$39+$N$39+$F$39</f>
        <v>0</v>
      </c>
      <c r="U46" s="473">
        <f>(((T46*8.34)*0.005)/(8.34*1.055))/400</f>
        <v>0</v>
      </c>
    </row>
    <row r="47" spans="1:43" ht="24.75" thickTop="1" thickBot="1">
      <c r="A47" s="470" t="s">
        <v>184</v>
      </c>
      <c r="B47" s="471">
        <f>K44</f>
        <v>119284.4</v>
      </c>
      <c r="C47" s="457"/>
      <c r="D47" s="470" t="s">
        <v>186</v>
      </c>
      <c r="E47" s="471">
        <f>K44*0.5</f>
        <v>59642.2</v>
      </c>
      <c r="F47" s="464"/>
      <c r="G47" s="470" t="s">
        <v>184</v>
      </c>
      <c r="H47" s="471">
        <f>K44*0.5</f>
        <v>59642.2</v>
      </c>
      <c r="I47" s="457"/>
      <c r="J47" s="455" t="s">
        <v>197</v>
      </c>
      <c r="K47" s="456">
        <v>53540.87</v>
      </c>
      <c r="L47" s="457"/>
      <c r="M47" s="457"/>
      <c r="N47" s="457"/>
      <c r="O47" s="457"/>
      <c r="P47" s="457"/>
      <c r="Q47" s="457"/>
      <c r="R47" s="466" t="s">
        <v>147</v>
      </c>
      <c r="S47" s="467"/>
      <c r="T47" s="468">
        <f>$G$39</f>
        <v>0</v>
      </c>
      <c r="U47" s="469">
        <f>T47/40000</f>
        <v>0</v>
      </c>
    </row>
    <row r="48" spans="1:43" ht="24" thickBot="1">
      <c r="A48" s="470" t="s">
        <v>185</v>
      </c>
      <c r="B48" s="471">
        <f>K47</f>
        <v>53540.87</v>
      </c>
      <c r="C48" s="457"/>
      <c r="D48" s="470" t="s">
        <v>185</v>
      </c>
      <c r="E48" s="471">
        <f>K47*0.5</f>
        <v>26770.435000000001</v>
      </c>
      <c r="F48" s="472"/>
      <c r="G48" s="470" t="s">
        <v>185</v>
      </c>
      <c r="H48" s="471">
        <f>K47*0.5</f>
        <v>26770.435000000001</v>
      </c>
      <c r="I48" s="457"/>
      <c r="J48" s="457"/>
      <c r="K48" s="474"/>
      <c r="L48" s="457"/>
      <c r="M48" s="457"/>
      <c r="N48" s="457"/>
      <c r="O48" s="457"/>
      <c r="P48" s="457"/>
      <c r="Q48" s="457"/>
      <c r="R48" s="466" t="s">
        <v>149</v>
      </c>
      <c r="S48" s="467"/>
      <c r="T48" s="468">
        <f>$L$39</f>
        <v>0</v>
      </c>
      <c r="U48" s="469">
        <f>T48*9.34*0.107</f>
        <v>0</v>
      </c>
    </row>
    <row r="49" spans="1:25" ht="48" thickTop="1" thickBot="1">
      <c r="A49" s="475" t="s">
        <v>193</v>
      </c>
      <c r="B49" s="476">
        <f>AD40</f>
        <v>0</v>
      </c>
      <c r="C49" s="457"/>
      <c r="D49" s="475" t="s">
        <v>194</v>
      </c>
      <c r="E49" s="476">
        <f>AF40</f>
        <v>0</v>
      </c>
      <c r="F49" s="472"/>
      <c r="G49" s="475" t="s">
        <v>195</v>
      </c>
      <c r="H49" s="476">
        <f>AE40</f>
        <v>0</v>
      </c>
      <c r="I49" s="457"/>
      <c r="J49" s="457"/>
      <c r="K49" s="474"/>
      <c r="L49" s="457"/>
      <c r="M49" s="457"/>
      <c r="N49" s="457"/>
      <c r="O49" s="457"/>
      <c r="P49" s="457"/>
      <c r="Q49" s="457"/>
      <c r="R49" s="466" t="s">
        <v>151</v>
      </c>
      <c r="S49" s="467"/>
      <c r="T49" s="468">
        <f>$E$39+$K$39</f>
        <v>0</v>
      </c>
      <c r="U49" s="469">
        <f>(T49*8.34*1.04)/45000</f>
        <v>0</v>
      </c>
    </row>
    <row r="50" spans="1:25" ht="48" thickTop="1" thickBot="1">
      <c r="A50" s="475" t="s">
        <v>189</v>
      </c>
      <c r="B50" s="477" t="e">
        <f>(SUM(B44:B48)/AD40)</f>
        <v>#DIV/0!</v>
      </c>
      <c r="C50" s="457"/>
      <c r="D50" s="475" t="s">
        <v>187</v>
      </c>
      <c r="E50" s="477" t="e">
        <f>SUM(E44:E48)/AF40</f>
        <v>#DIV/0!</v>
      </c>
      <c r="F50" s="472"/>
      <c r="G50" s="475" t="s">
        <v>188</v>
      </c>
      <c r="H50" s="477" t="e">
        <f>SUM(H44:H48)/AE40</f>
        <v>#DIV/0!</v>
      </c>
      <c r="I50" s="457"/>
      <c r="J50" s="457"/>
      <c r="K50" s="474"/>
      <c r="L50" s="457"/>
      <c r="M50" s="457"/>
      <c r="N50" s="457"/>
      <c r="O50" s="457"/>
      <c r="P50" s="457"/>
      <c r="Q50" s="457"/>
      <c r="R50" s="466" t="s">
        <v>152</v>
      </c>
      <c r="S50" s="467"/>
      <c r="T50" s="468">
        <f>$U$39+$V$39+$AB$39</f>
        <v>0</v>
      </c>
      <c r="U50" s="469">
        <f>T50/2000/8</f>
        <v>0</v>
      </c>
    </row>
    <row r="51" spans="1:25" ht="47.25" customHeight="1" thickTop="1" thickBot="1">
      <c r="A51" s="478" t="s">
        <v>190</v>
      </c>
      <c r="B51" s="479" t="e">
        <f>B50/1000</f>
        <v>#DIV/0!</v>
      </c>
      <c r="C51" s="457"/>
      <c r="D51" s="478" t="s">
        <v>191</v>
      </c>
      <c r="E51" s="479" t="e">
        <f>E50/1000</f>
        <v>#DIV/0!</v>
      </c>
      <c r="F51" s="457"/>
      <c r="G51" s="478" t="s">
        <v>192</v>
      </c>
      <c r="H51" s="479" t="e">
        <f>H50/1000</f>
        <v>#DIV/0!</v>
      </c>
      <c r="I51" s="457"/>
      <c r="J51" s="457"/>
      <c r="K51" s="474"/>
      <c r="L51" s="457"/>
      <c r="M51" s="457"/>
      <c r="N51" s="457"/>
      <c r="O51" s="457"/>
      <c r="P51" s="457"/>
      <c r="Q51" s="457"/>
      <c r="R51" s="466" t="s">
        <v>153</v>
      </c>
      <c r="S51" s="467"/>
      <c r="T51" s="468">
        <f>$C$39+$J$39+$S$39+$T$39</f>
        <v>0</v>
      </c>
      <c r="U51" s="469">
        <f>(T51*8.34*1.4)/45000</f>
        <v>0</v>
      </c>
    </row>
    <row r="52" spans="1:25" ht="16.5" thickTop="1" thickBot="1">
      <c r="A52" s="480"/>
      <c r="B52" s="457"/>
      <c r="C52" s="457"/>
      <c r="D52" s="457"/>
      <c r="E52" s="457"/>
      <c r="F52" s="457"/>
      <c r="G52" s="457"/>
      <c r="H52" s="457"/>
      <c r="I52" s="457"/>
      <c r="J52" s="457"/>
      <c r="K52" s="474"/>
      <c r="L52" s="457"/>
      <c r="M52" s="457"/>
      <c r="N52" s="457"/>
      <c r="O52" s="457"/>
      <c r="P52" s="457"/>
      <c r="Q52" s="457"/>
      <c r="R52" s="466" t="s">
        <v>154</v>
      </c>
      <c r="S52" s="467"/>
      <c r="T52" s="468">
        <f>$H$39</f>
        <v>0</v>
      </c>
      <c r="U52" s="469">
        <f>(T52*8.34*1.135)/45000</f>
        <v>0</v>
      </c>
    </row>
    <row r="53" spans="1:25" ht="48" customHeight="1" thickTop="1" thickBot="1">
      <c r="A53" s="682" t="s">
        <v>51</v>
      </c>
      <c r="B53" s="683"/>
      <c r="C53" s="683"/>
      <c r="D53" s="683"/>
      <c r="E53" s="684"/>
      <c r="F53" s="457"/>
      <c r="G53" s="457"/>
      <c r="H53" s="457"/>
      <c r="I53" s="457"/>
      <c r="J53" s="457"/>
      <c r="K53" s="474"/>
      <c r="L53" s="457"/>
      <c r="M53" s="457"/>
      <c r="N53" s="457"/>
      <c r="O53" s="457"/>
      <c r="P53" s="457"/>
      <c r="Q53" s="457"/>
      <c r="R53" s="466" t="s">
        <v>155</v>
      </c>
      <c r="S53" s="467"/>
      <c r="T53" s="468">
        <f>$B$39+$I$39+$AC$39</f>
        <v>0</v>
      </c>
      <c r="U53" s="469">
        <f>(T53*8.34*1.029*0.03)/3300</f>
        <v>0</v>
      </c>
    </row>
    <row r="54" spans="1:25" ht="45.75" customHeight="1" thickBot="1">
      <c r="A54" s="666" t="s">
        <v>199</v>
      </c>
      <c r="B54" s="667"/>
      <c r="C54" s="667"/>
      <c r="D54" s="667"/>
      <c r="E54" s="668"/>
      <c r="F54" s="481"/>
      <c r="G54" s="481"/>
      <c r="H54" s="481"/>
      <c r="I54" s="481"/>
      <c r="J54" s="481"/>
      <c r="K54" s="482"/>
      <c r="L54" s="457"/>
      <c r="M54" s="457"/>
      <c r="N54" s="457"/>
      <c r="O54" s="457"/>
      <c r="P54" s="457"/>
      <c r="Q54" s="457"/>
      <c r="R54" s="676" t="s">
        <v>157</v>
      </c>
      <c r="S54" s="677"/>
      <c r="T54" s="483">
        <f>$D$39+$Y$39+$Z$39</f>
        <v>0</v>
      </c>
      <c r="U54" s="484">
        <f>(T54*1.54*8.34)/45000</f>
        <v>0</v>
      </c>
    </row>
    <row r="55" spans="1:25" ht="24" thickTop="1">
      <c r="A55" s="712"/>
      <c r="B55" s="712"/>
      <c r="C55" s="457"/>
      <c r="D55" s="457"/>
      <c r="E55" s="457"/>
      <c r="F55" s="457"/>
      <c r="G55" s="457"/>
      <c r="H55" s="457"/>
      <c r="I55" s="457"/>
      <c r="J55" s="457"/>
      <c r="K55" s="457"/>
      <c r="L55" s="457"/>
      <c r="M55" s="457"/>
      <c r="N55" s="457"/>
      <c r="O55" s="457"/>
      <c r="P55" s="457"/>
      <c r="Q55" s="457"/>
      <c r="R55" s="457"/>
      <c r="S55" s="457"/>
      <c r="T55" s="457"/>
      <c r="U55" s="457"/>
      <c r="V55" s="457"/>
      <c r="W55" s="457"/>
      <c r="X55" s="457"/>
      <c r="Y55" s="457"/>
    </row>
    <row r="56" spans="1:25" ht="15.75" customHeight="1">
      <c r="A56" s="714"/>
      <c r="B56" s="714"/>
      <c r="C56" s="457"/>
      <c r="D56" s="457"/>
      <c r="E56" s="457"/>
      <c r="F56" s="457"/>
      <c r="G56" s="457"/>
      <c r="H56" s="457"/>
      <c r="I56" s="457"/>
      <c r="J56" s="457"/>
      <c r="K56" s="457"/>
      <c r="L56" s="457"/>
      <c r="M56" s="457"/>
      <c r="N56" s="457"/>
      <c r="O56" s="457"/>
      <c r="P56" s="457"/>
      <c r="Q56" s="457"/>
      <c r="R56" s="457"/>
      <c r="S56" s="457"/>
      <c r="T56" s="457"/>
      <c r="U56" s="457"/>
      <c r="V56" s="457"/>
      <c r="W56" s="457"/>
      <c r="X56" s="457"/>
      <c r="Y56" s="457"/>
    </row>
    <row r="57" spans="1:25">
      <c r="A57" s="710"/>
      <c r="B57" s="711"/>
      <c r="C57" s="457"/>
      <c r="D57" s="457"/>
      <c r="E57" s="457"/>
      <c r="F57" s="457"/>
      <c r="G57" s="457"/>
      <c r="H57" s="457"/>
      <c r="I57" s="457"/>
      <c r="J57" s="457"/>
      <c r="K57" s="457"/>
      <c r="L57" s="457"/>
      <c r="M57" s="457"/>
      <c r="N57" s="457"/>
      <c r="O57" s="457"/>
      <c r="P57" s="457"/>
      <c r="Q57" s="457"/>
      <c r="R57" s="457"/>
      <c r="S57" s="457"/>
      <c r="T57" s="457"/>
      <c r="U57" s="457"/>
      <c r="V57" s="457"/>
      <c r="W57" s="457"/>
      <c r="X57" s="457"/>
      <c r="Y57" s="457"/>
    </row>
    <row r="58" spans="1:25">
      <c r="A58" s="711"/>
      <c r="B58" s="711"/>
      <c r="C58" s="457"/>
      <c r="D58" s="457"/>
      <c r="E58" s="457"/>
      <c r="F58" s="457"/>
      <c r="G58" s="457"/>
      <c r="H58" s="457"/>
      <c r="I58" s="457"/>
      <c r="J58" s="457"/>
      <c r="K58" s="457"/>
      <c r="L58" s="457"/>
      <c r="M58" s="457"/>
      <c r="N58" s="457"/>
      <c r="O58" s="457"/>
      <c r="P58" s="457"/>
      <c r="Q58" s="457"/>
      <c r="R58" s="457"/>
      <c r="S58" s="457"/>
      <c r="T58" s="457"/>
      <c r="U58" s="457"/>
      <c r="V58" s="457"/>
      <c r="W58" s="457"/>
      <c r="X58" s="457"/>
      <c r="Y58" s="457"/>
    </row>
    <row r="59" spans="1:25">
      <c r="A59" s="710"/>
      <c r="B59" s="711"/>
      <c r="C59" s="457"/>
      <c r="D59" s="457"/>
      <c r="E59" s="457"/>
      <c r="F59" s="457"/>
      <c r="G59" s="457"/>
      <c r="H59" s="457"/>
      <c r="I59" s="457"/>
      <c r="J59" s="457"/>
      <c r="K59" s="457"/>
      <c r="L59" s="457"/>
      <c r="M59" s="457"/>
      <c r="N59" s="457"/>
      <c r="O59" s="457"/>
      <c r="P59" s="457"/>
      <c r="Q59" s="457"/>
      <c r="R59" s="457"/>
      <c r="S59" s="457"/>
      <c r="T59" s="457"/>
      <c r="U59" s="457"/>
      <c r="V59" s="457"/>
      <c r="W59" s="457"/>
      <c r="X59" s="457"/>
      <c r="Y59" s="457"/>
    </row>
    <row r="60" spans="1:25">
      <c r="A60" s="711"/>
      <c r="B60" s="711"/>
      <c r="C60" s="457"/>
      <c r="D60" s="457"/>
      <c r="E60" s="457"/>
      <c r="F60" s="457"/>
      <c r="G60" s="457"/>
      <c r="H60" s="457"/>
      <c r="I60" s="457"/>
      <c r="J60" s="457"/>
      <c r="K60" s="457"/>
    </row>
    <row r="61" spans="1:25">
      <c r="A61" s="457"/>
      <c r="B61" s="457"/>
      <c r="C61" s="457"/>
    </row>
    <row r="62" spans="1:25">
      <c r="A62" s="457"/>
      <c r="B62" s="457"/>
      <c r="C62" s="457"/>
    </row>
    <row r="63" spans="1:25">
      <c r="A63" s="457"/>
      <c r="B63" s="457"/>
      <c r="C63" s="457"/>
    </row>
  </sheetData>
  <sheetProtection password="A25B" sheet="1" objects="1" scenarios="1"/>
  <customSheetViews>
    <customSheetView guid="{322E6371-A03C-4BCA-B267-212DFC76880A}" scale="80" fitToPage="1">
      <selection activeCell="A14" sqref="A14"/>
      <pageMargins left="0.33" right="0.19" top="0.75" bottom="0.75" header="0.3" footer="0.3"/>
      <pageSetup scale="52" orientation="landscape" r:id="rId1"/>
    </customSheetView>
  </customSheetViews>
  <mergeCells count="34">
    <mergeCell ref="R43:U43"/>
    <mergeCell ref="A53:E53"/>
    <mergeCell ref="A54:E54"/>
    <mergeCell ref="R54:S54"/>
    <mergeCell ref="AM4:AM5"/>
    <mergeCell ref="A42:K42"/>
    <mergeCell ref="AD4:AD5"/>
    <mergeCell ref="AE4:AE5"/>
    <mergeCell ref="AF4:AF5"/>
    <mergeCell ref="AG4:AG5"/>
    <mergeCell ref="B4:H5"/>
    <mergeCell ref="I4:N5"/>
    <mergeCell ref="O4:T5"/>
    <mergeCell ref="U4:AA5"/>
    <mergeCell ref="AB4:AB5"/>
    <mergeCell ref="AC4:AC5"/>
    <mergeCell ref="AN4:AN5"/>
    <mergeCell ref="AO4:AO5"/>
    <mergeCell ref="AP4:AP5"/>
    <mergeCell ref="AQ4:AQ5"/>
    <mergeCell ref="AH4:AH5"/>
    <mergeCell ref="AI4:AI5"/>
    <mergeCell ref="AJ4:AJ5"/>
    <mergeCell ref="AK4:AK5"/>
    <mergeCell ref="AL4:AL5"/>
    <mergeCell ref="A57:B58"/>
    <mergeCell ref="A59:B60"/>
    <mergeCell ref="A55:B55"/>
    <mergeCell ref="A56:B56"/>
    <mergeCell ref="J43:K43"/>
    <mergeCell ref="J46:K46"/>
    <mergeCell ref="A43:B43"/>
    <mergeCell ref="D43:E43"/>
    <mergeCell ref="G43:H43"/>
  </mergeCells>
  <pageMargins left="0.33" right="0.19" top="0.75" bottom="0.75" header="0.3" footer="0.3"/>
  <pageSetup scale="52" orientation="landscape"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U63"/>
  <sheetViews>
    <sheetView topLeftCell="A25" zoomScale="75" zoomScaleNormal="75" workbookViewId="0">
      <selection activeCell="H51" sqref="H51"/>
    </sheetView>
  </sheetViews>
  <sheetFormatPr defaultRowHeight="15"/>
  <cols>
    <col min="1" max="1" width="35" bestFit="1" customWidth="1"/>
    <col min="2" max="2" width="19.140625" bestFit="1" customWidth="1"/>
    <col min="3" max="3" width="27.5703125" bestFit="1" customWidth="1"/>
    <col min="4" max="4" width="29.5703125" customWidth="1"/>
    <col min="5" max="5" width="22.140625" bestFit="1" customWidth="1"/>
    <col min="6" max="6" width="14.85546875" bestFit="1" customWidth="1"/>
    <col min="7" max="7" width="35.5703125" customWidth="1"/>
    <col min="8" max="8" width="17.42578125" bestFit="1" customWidth="1"/>
    <col min="9" max="9" width="14.85546875" bestFit="1" customWidth="1"/>
    <col min="10" max="10" width="16.28515625" bestFit="1" customWidth="1"/>
    <col min="11" max="11" width="19.140625" bestFit="1" customWidth="1"/>
    <col min="12" max="12" width="16.85546875" bestFit="1" customWidth="1"/>
    <col min="13" max="13" width="15.85546875" bestFit="1" customWidth="1"/>
    <col min="14" max="14" width="14.85546875" bestFit="1" customWidth="1"/>
    <col min="15" max="16" width="15.5703125" bestFit="1" customWidth="1"/>
    <col min="17" max="17" width="23.85546875" bestFit="1" customWidth="1"/>
    <col min="18" max="18" width="24.28515625" bestFit="1" customWidth="1"/>
    <col min="19" max="20" width="25.85546875" bestFit="1" customWidth="1"/>
    <col min="21" max="22" width="14.5703125" bestFit="1" customWidth="1"/>
    <col min="23" max="23" width="20.42578125" bestFit="1" customWidth="1"/>
    <col min="24" max="24" width="20.140625" bestFit="1" customWidth="1"/>
    <col min="25" max="25" width="22.7109375" bestFit="1" customWidth="1"/>
    <col min="26" max="26" width="22.42578125" bestFit="1" customWidth="1"/>
    <col min="27" max="27" width="21.42578125" bestFit="1" customWidth="1"/>
    <col min="28" max="28" width="33" bestFit="1" customWidth="1"/>
    <col min="29" max="29" width="36.7109375" customWidth="1"/>
    <col min="30" max="30" width="33.42578125" bestFit="1" customWidth="1"/>
    <col min="31" max="31" width="26.85546875" customWidth="1"/>
    <col min="32" max="32" width="23" customWidth="1"/>
    <col min="33" max="33" width="22.28515625" customWidth="1"/>
    <col min="34" max="34" width="22.5703125" bestFit="1" customWidth="1"/>
    <col min="35" max="35" width="16" bestFit="1" customWidth="1"/>
    <col min="36" max="36" width="16.7109375" bestFit="1" customWidth="1"/>
    <col min="37" max="38" width="15.140625" bestFit="1" customWidth="1"/>
    <col min="39" max="39" width="21.28515625" bestFit="1" customWidth="1"/>
    <col min="40" max="40" width="18.28515625" bestFit="1" customWidth="1"/>
    <col min="41" max="43" width="15.140625" bestFit="1" customWidth="1"/>
  </cols>
  <sheetData>
    <row r="1" spans="1:47" ht="15" customHeight="1">
      <c r="A1" s="1" t="s">
        <v>0</v>
      </c>
      <c r="B1" s="2"/>
      <c r="C1" t="s">
        <v>1</v>
      </c>
      <c r="O1" s="3"/>
      <c r="P1" s="4"/>
      <c r="Q1" s="4"/>
      <c r="R1" s="4"/>
    </row>
    <row r="2" spans="1:47" ht="15" customHeight="1">
      <c r="A2" s="1" t="s">
        <v>2</v>
      </c>
      <c r="B2" s="5"/>
      <c r="O2" s="4"/>
      <c r="P2" s="4"/>
      <c r="Q2" s="4"/>
      <c r="R2" s="4"/>
    </row>
    <row r="3" spans="1:47" ht="15.75" thickBot="1">
      <c r="A3" s="6"/>
    </row>
    <row r="4" spans="1:47" ht="30" customHeight="1" thickTop="1">
      <c r="A4" s="13"/>
      <c r="B4" s="744" t="s">
        <v>3</v>
      </c>
      <c r="C4" s="745"/>
      <c r="D4" s="745"/>
      <c r="E4" s="745"/>
      <c r="F4" s="745"/>
      <c r="G4" s="745"/>
      <c r="H4" s="746"/>
      <c r="I4" s="744" t="s">
        <v>4</v>
      </c>
      <c r="J4" s="745"/>
      <c r="K4" s="745"/>
      <c r="L4" s="745"/>
      <c r="M4" s="745"/>
      <c r="N4" s="746"/>
      <c r="O4" s="750" t="s">
        <v>5</v>
      </c>
      <c r="P4" s="751"/>
      <c r="Q4" s="752"/>
      <c r="R4" s="752"/>
      <c r="S4" s="752"/>
      <c r="T4" s="753"/>
      <c r="U4" s="744" t="s">
        <v>6</v>
      </c>
      <c r="V4" s="757"/>
      <c r="W4" s="757"/>
      <c r="X4" s="757"/>
      <c r="Y4" s="757"/>
      <c r="Z4" s="757"/>
      <c r="AA4" s="758"/>
      <c r="AB4" s="727" t="s">
        <v>7</v>
      </c>
      <c r="AC4" s="763" t="s">
        <v>8</v>
      </c>
      <c r="AD4" s="742" t="s">
        <v>27</v>
      </c>
      <c r="AE4" s="742" t="s">
        <v>31</v>
      </c>
      <c r="AF4" s="742" t="s">
        <v>32</v>
      </c>
      <c r="AG4" s="742" t="s">
        <v>33</v>
      </c>
      <c r="AH4" s="727" t="s">
        <v>172</v>
      </c>
      <c r="AI4" s="727" t="s">
        <v>173</v>
      </c>
      <c r="AJ4" s="727" t="s">
        <v>174</v>
      </c>
      <c r="AK4" s="727" t="s">
        <v>175</v>
      </c>
      <c r="AL4" s="727" t="s">
        <v>176</v>
      </c>
      <c r="AM4" s="727" t="s">
        <v>177</v>
      </c>
      <c r="AN4" s="727" t="s">
        <v>178</v>
      </c>
      <c r="AO4" s="727" t="s">
        <v>181</v>
      </c>
      <c r="AP4" s="727" t="s">
        <v>179</v>
      </c>
      <c r="AQ4" s="727" t="s">
        <v>180</v>
      </c>
      <c r="AU4" s="324"/>
    </row>
    <row r="5" spans="1:47" ht="30" customHeight="1" thickBot="1">
      <c r="A5" s="13"/>
      <c r="B5" s="747"/>
      <c r="C5" s="748"/>
      <c r="D5" s="748"/>
      <c r="E5" s="748"/>
      <c r="F5" s="748"/>
      <c r="G5" s="748"/>
      <c r="H5" s="749"/>
      <c r="I5" s="747"/>
      <c r="J5" s="748"/>
      <c r="K5" s="748"/>
      <c r="L5" s="748"/>
      <c r="M5" s="748"/>
      <c r="N5" s="749"/>
      <c r="O5" s="754"/>
      <c r="P5" s="755"/>
      <c r="Q5" s="755"/>
      <c r="R5" s="755"/>
      <c r="S5" s="755"/>
      <c r="T5" s="756"/>
      <c r="U5" s="759"/>
      <c r="V5" s="760"/>
      <c r="W5" s="760"/>
      <c r="X5" s="760"/>
      <c r="Y5" s="760"/>
      <c r="Z5" s="760"/>
      <c r="AA5" s="761"/>
      <c r="AB5" s="762"/>
      <c r="AC5" s="764"/>
      <c r="AD5" s="743"/>
      <c r="AE5" s="743"/>
      <c r="AF5" s="743"/>
      <c r="AG5" s="743"/>
      <c r="AH5" s="728"/>
      <c r="AI5" s="728"/>
      <c r="AJ5" s="728"/>
      <c r="AK5" s="728"/>
      <c r="AL5" s="728"/>
      <c r="AM5" s="728"/>
      <c r="AN5" s="728"/>
      <c r="AO5" s="728"/>
      <c r="AP5" s="728"/>
      <c r="AQ5" s="728"/>
    </row>
    <row r="6" spans="1:47" ht="18">
      <c r="A6" s="7"/>
      <c r="B6" s="14" t="s">
        <v>9</v>
      </c>
      <c r="C6" s="8" t="s">
        <v>10</v>
      </c>
      <c r="D6" s="8" t="s">
        <v>11</v>
      </c>
      <c r="E6" s="8" t="s">
        <v>12</v>
      </c>
      <c r="F6" s="8" t="s">
        <v>13</v>
      </c>
      <c r="G6" s="8" t="s">
        <v>14</v>
      </c>
      <c r="H6" s="15" t="s">
        <v>15</v>
      </c>
      <c r="I6" s="16" t="s">
        <v>9</v>
      </c>
      <c r="J6" s="8" t="s">
        <v>16</v>
      </c>
      <c r="K6" s="8" t="s">
        <v>17</v>
      </c>
      <c r="L6" s="9" t="s">
        <v>18</v>
      </c>
      <c r="M6" s="8" t="s">
        <v>19</v>
      </c>
      <c r="N6" s="15" t="s">
        <v>13</v>
      </c>
      <c r="O6" s="14" t="s">
        <v>35</v>
      </c>
      <c r="P6" s="9" t="s">
        <v>36</v>
      </c>
      <c r="Q6" s="9" t="s">
        <v>37</v>
      </c>
      <c r="R6" s="9" t="s">
        <v>38</v>
      </c>
      <c r="S6" s="8" t="s">
        <v>39</v>
      </c>
      <c r="T6" s="39" t="s">
        <v>40</v>
      </c>
      <c r="U6" s="17" t="s">
        <v>41</v>
      </c>
      <c r="V6" s="8" t="s">
        <v>42</v>
      </c>
      <c r="W6" s="8" t="s">
        <v>43</v>
      </c>
      <c r="X6" s="8" t="s">
        <v>44</v>
      </c>
      <c r="Y6" s="8" t="s">
        <v>45</v>
      </c>
      <c r="Z6" s="8" t="s">
        <v>46</v>
      </c>
      <c r="AA6" s="18" t="s">
        <v>20</v>
      </c>
      <c r="AB6" s="19" t="s">
        <v>21</v>
      </c>
      <c r="AC6" s="19" t="s">
        <v>22</v>
      </c>
      <c r="AD6" s="42" t="s">
        <v>30</v>
      </c>
      <c r="AE6" s="42"/>
      <c r="AF6" s="42"/>
      <c r="AG6" s="42"/>
      <c r="AH6" s="42"/>
      <c r="AI6" s="42"/>
      <c r="AJ6" s="42"/>
      <c r="AK6" s="42"/>
      <c r="AL6" s="42"/>
      <c r="AM6" s="42"/>
      <c r="AN6" s="42"/>
      <c r="AO6" s="42"/>
      <c r="AP6" s="42"/>
      <c r="AQ6" s="42"/>
    </row>
    <row r="7" spans="1:47" ht="15.75" thickBot="1">
      <c r="A7" s="7"/>
      <c r="B7" s="20" t="s">
        <v>23</v>
      </c>
      <c r="C7" s="10" t="s">
        <v>23</v>
      </c>
      <c r="D7" s="10" t="s">
        <v>23</v>
      </c>
      <c r="E7" s="10" t="s">
        <v>23</v>
      </c>
      <c r="F7" s="10" t="s">
        <v>23</v>
      </c>
      <c r="G7" s="10" t="s">
        <v>24</v>
      </c>
      <c r="H7" s="21" t="s">
        <v>23</v>
      </c>
      <c r="I7" s="20" t="s">
        <v>23</v>
      </c>
      <c r="J7" s="10" t="s">
        <v>23</v>
      </c>
      <c r="K7" s="10" t="s">
        <v>23</v>
      </c>
      <c r="L7" s="10" t="s">
        <v>23</v>
      </c>
      <c r="M7" s="10" t="s">
        <v>23</v>
      </c>
      <c r="N7" s="21" t="s">
        <v>23</v>
      </c>
      <c r="O7" s="20" t="s">
        <v>23</v>
      </c>
      <c r="P7" s="10" t="s">
        <v>23</v>
      </c>
      <c r="Q7" s="10" t="s">
        <v>23</v>
      </c>
      <c r="R7" s="10" t="s">
        <v>23</v>
      </c>
      <c r="S7" s="10" t="s">
        <v>23</v>
      </c>
      <c r="T7" s="40" t="s">
        <v>23</v>
      </c>
      <c r="U7" s="20" t="s">
        <v>25</v>
      </c>
      <c r="V7" s="10" t="s">
        <v>25</v>
      </c>
      <c r="W7" s="10" t="s">
        <v>23</v>
      </c>
      <c r="X7" s="10" t="s">
        <v>23</v>
      </c>
      <c r="Y7" s="10" t="s">
        <v>23</v>
      </c>
      <c r="Z7" s="10" t="s">
        <v>23</v>
      </c>
      <c r="AA7" s="21" t="s">
        <v>23</v>
      </c>
      <c r="AB7" s="22" t="s">
        <v>25</v>
      </c>
      <c r="AC7" s="305" t="s">
        <v>23</v>
      </c>
      <c r="AD7" s="22" t="s">
        <v>28</v>
      </c>
      <c r="AE7" s="22" t="s">
        <v>28</v>
      </c>
      <c r="AF7" s="22" t="s">
        <v>28</v>
      </c>
      <c r="AG7" s="22" t="s">
        <v>34</v>
      </c>
      <c r="AH7" s="22" t="s">
        <v>169</v>
      </c>
      <c r="AI7" s="22" t="s">
        <v>169</v>
      </c>
      <c r="AJ7" s="22" t="s">
        <v>169</v>
      </c>
      <c r="AK7" s="22" t="s">
        <v>169</v>
      </c>
      <c r="AL7" s="22" t="s">
        <v>169</v>
      </c>
      <c r="AM7" s="22" t="s">
        <v>169</v>
      </c>
      <c r="AN7" s="22" t="s">
        <v>169</v>
      </c>
      <c r="AO7" s="22" t="s">
        <v>169</v>
      </c>
      <c r="AP7" s="22" t="s">
        <v>169</v>
      </c>
      <c r="AQ7" s="22" t="s">
        <v>169</v>
      </c>
    </row>
    <row r="8" spans="1:47">
      <c r="A8" s="11">
        <v>41000</v>
      </c>
      <c r="B8" s="49"/>
      <c r="C8" s="50">
        <v>0</v>
      </c>
      <c r="D8" s="50">
        <v>0</v>
      </c>
      <c r="E8" s="50">
        <v>0</v>
      </c>
      <c r="F8" s="50">
        <v>0</v>
      </c>
      <c r="G8" s="50">
        <v>0</v>
      </c>
      <c r="H8" s="51">
        <v>0</v>
      </c>
      <c r="I8" s="49">
        <v>0</v>
      </c>
      <c r="J8" s="50">
        <v>0</v>
      </c>
      <c r="K8" s="50">
        <v>0</v>
      </c>
      <c r="L8" s="50">
        <v>0</v>
      </c>
      <c r="M8" s="50">
        <v>0</v>
      </c>
      <c r="N8" s="51">
        <v>0</v>
      </c>
      <c r="O8" s="49">
        <v>0</v>
      </c>
      <c r="P8" s="50">
        <v>0</v>
      </c>
      <c r="Q8" s="50">
        <v>0</v>
      </c>
      <c r="R8" s="50">
        <v>0</v>
      </c>
      <c r="S8" s="50">
        <v>0</v>
      </c>
      <c r="T8" s="52">
        <v>0</v>
      </c>
      <c r="U8" s="53">
        <v>0</v>
      </c>
      <c r="V8" s="54">
        <v>0</v>
      </c>
      <c r="W8" s="54">
        <v>0</v>
      </c>
      <c r="X8" s="54">
        <v>0</v>
      </c>
      <c r="Y8" s="54">
        <v>0</v>
      </c>
      <c r="Z8" s="54">
        <v>0</v>
      </c>
      <c r="AA8" s="55">
        <v>0</v>
      </c>
      <c r="AB8" s="56">
        <v>0</v>
      </c>
      <c r="AC8" s="57">
        <v>0</v>
      </c>
      <c r="AD8" s="57">
        <v>0</v>
      </c>
      <c r="AE8" s="58">
        <v>0</v>
      </c>
      <c r="AF8" s="58">
        <v>0</v>
      </c>
      <c r="AG8" s="58">
        <v>0</v>
      </c>
      <c r="AH8" s="57">
        <v>149.03596008618672</v>
      </c>
      <c r="AI8" s="57">
        <v>360.52470377286278</v>
      </c>
      <c r="AJ8" s="57">
        <v>1160.4895601908365</v>
      </c>
      <c r="AK8" s="57">
        <v>223.89146059354144</v>
      </c>
      <c r="AL8" s="57">
        <v>893.11724538803105</v>
      </c>
      <c r="AM8" s="57">
        <v>1092.9432575225831</v>
      </c>
      <c r="AN8" s="57">
        <v>857.8912401517232</v>
      </c>
      <c r="AO8" s="57">
        <v>280.50969311396284</v>
      </c>
      <c r="AP8" s="57">
        <v>60.635087581475574</v>
      </c>
      <c r="AQ8" s="57">
        <v>781.57617912292471</v>
      </c>
    </row>
    <row r="9" spans="1:47">
      <c r="A9" s="11">
        <v>41001</v>
      </c>
      <c r="B9" s="59"/>
      <c r="C9" s="60">
        <v>0</v>
      </c>
      <c r="D9" s="60">
        <v>0</v>
      </c>
      <c r="E9" s="60">
        <v>0</v>
      </c>
      <c r="F9" s="60">
        <v>0</v>
      </c>
      <c r="G9" s="60">
        <v>0</v>
      </c>
      <c r="H9" s="61">
        <v>0</v>
      </c>
      <c r="I9" s="59">
        <v>0</v>
      </c>
      <c r="J9" s="60">
        <v>0</v>
      </c>
      <c r="K9" s="60">
        <v>0</v>
      </c>
      <c r="L9" s="60">
        <v>0</v>
      </c>
      <c r="M9" s="60">
        <v>0</v>
      </c>
      <c r="N9" s="61">
        <v>0</v>
      </c>
      <c r="O9" s="59">
        <v>0</v>
      </c>
      <c r="P9" s="60">
        <v>0</v>
      </c>
      <c r="Q9" s="62">
        <v>0</v>
      </c>
      <c r="R9" s="63">
        <v>0</v>
      </c>
      <c r="S9" s="60">
        <v>0</v>
      </c>
      <c r="T9" s="64">
        <v>0</v>
      </c>
      <c r="U9" s="65">
        <v>0</v>
      </c>
      <c r="V9" s="62">
        <v>0</v>
      </c>
      <c r="W9" s="62">
        <v>0</v>
      </c>
      <c r="X9" s="62">
        <v>0</v>
      </c>
      <c r="Y9" s="66">
        <v>0</v>
      </c>
      <c r="Z9" s="66">
        <v>0</v>
      </c>
      <c r="AA9" s="67">
        <v>0</v>
      </c>
      <c r="AB9" s="68">
        <v>0</v>
      </c>
      <c r="AC9" s="69">
        <v>0</v>
      </c>
      <c r="AD9" s="69">
        <v>0</v>
      </c>
      <c r="AE9" s="68">
        <v>0</v>
      </c>
      <c r="AF9" s="68">
        <v>0</v>
      </c>
      <c r="AG9" s="68">
        <v>0</v>
      </c>
      <c r="AH9" s="69">
        <v>188.96705568631486</v>
      </c>
      <c r="AI9" s="69">
        <v>388.1097099145253</v>
      </c>
      <c r="AJ9" s="69">
        <v>1033.3450242360434</v>
      </c>
      <c r="AK9" s="69">
        <v>225.48356880346932</v>
      </c>
      <c r="AL9" s="69">
        <v>949.72461458841963</v>
      </c>
      <c r="AM9" s="69">
        <v>1129.1759952545165</v>
      </c>
      <c r="AN9" s="69">
        <v>924.39795875549328</v>
      </c>
      <c r="AO9" s="69">
        <v>281.67524039745331</v>
      </c>
      <c r="AP9" s="69">
        <v>110.26870815555255</v>
      </c>
      <c r="AQ9" s="69">
        <v>618.47166188557935</v>
      </c>
    </row>
    <row r="10" spans="1:47">
      <c r="A10" s="11">
        <v>41002</v>
      </c>
      <c r="B10" s="59"/>
      <c r="C10" s="60">
        <v>0</v>
      </c>
      <c r="D10" s="60">
        <v>0</v>
      </c>
      <c r="E10" s="60">
        <v>0</v>
      </c>
      <c r="F10" s="60">
        <v>0</v>
      </c>
      <c r="G10" s="60">
        <v>0</v>
      </c>
      <c r="H10" s="61">
        <v>0</v>
      </c>
      <c r="I10" s="59">
        <v>0</v>
      </c>
      <c r="J10" s="60">
        <v>0</v>
      </c>
      <c r="K10" s="60">
        <v>0</v>
      </c>
      <c r="L10" s="60">
        <v>0</v>
      </c>
      <c r="M10" s="60">
        <v>0</v>
      </c>
      <c r="N10" s="61">
        <v>0</v>
      </c>
      <c r="O10" s="59">
        <v>0</v>
      </c>
      <c r="P10" s="60">
        <v>0</v>
      </c>
      <c r="Q10" s="60">
        <v>0</v>
      </c>
      <c r="R10" s="63">
        <v>0</v>
      </c>
      <c r="S10" s="60">
        <v>0</v>
      </c>
      <c r="T10" s="64">
        <v>0</v>
      </c>
      <c r="U10" s="65">
        <v>0</v>
      </c>
      <c r="V10" s="62">
        <v>0</v>
      </c>
      <c r="W10" s="62">
        <v>0</v>
      </c>
      <c r="X10" s="62">
        <v>0</v>
      </c>
      <c r="Y10" s="66">
        <v>0</v>
      </c>
      <c r="Z10" s="66">
        <v>0</v>
      </c>
      <c r="AA10" s="67">
        <v>0</v>
      </c>
      <c r="AB10" s="68">
        <v>0</v>
      </c>
      <c r="AC10" s="69">
        <v>0</v>
      </c>
      <c r="AD10" s="69">
        <v>0</v>
      </c>
      <c r="AE10" s="68">
        <v>0</v>
      </c>
      <c r="AF10" s="68">
        <v>0</v>
      </c>
      <c r="AG10" s="68">
        <v>0</v>
      </c>
      <c r="AH10" s="69">
        <v>250.83644858201347</v>
      </c>
      <c r="AI10" s="69">
        <v>487.01758721669512</v>
      </c>
      <c r="AJ10" s="69">
        <v>1059.7333075205488</v>
      </c>
      <c r="AK10" s="69">
        <v>230.36185170809429</v>
      </c>
      <c r="AL10" s="69">
        <v>1103.9606185277305</v>
      </c>
      <c r="AM10" s="69">
        <v>1429.6906911849976</v>
      </c>
      <c r="AN10" s="69">
        <v>957.48359330495202</v>
      </c>
      <c r="AO10" s="69">
        <v>329.63735961914062</v>
      </c>
      <c r="AP10" s="69">
        <v>150.91523318886755</v>
      </c>
      <c r="AQ10" s="69">
        <v>630.04578908284509</v>
      </c>
    </row>
    <row r="11" spans="1:47">
      <c r="A11" s="11">
        <v>41003</v>
      </c>
      <c r="B11" s="59"/>
      <c r="C11" s="60">
        <v>0</v>
      </c>
      <c r="D11" s="60">
        <v>0</v>
      </c>
      <c r="E11" s="60">
        <v>0</v>
      </c>
      <c r="F11" s="60">
        <v>0</v>
      </c>
      <c r="G11" s="60">
        <v>0</v>
      </c>
      <c r="H11" s="61">
        <v>0</v>
      </c>
      <c r="I11" s="59">
        <v>0</v>
      </c>
      <c r="J11" s="60">
        <v>0</v>
      </c>
      <c r="K11" s="60">
        <v>0</v>
      </c>
      <c r="L11" s="60">
        <v>0</v>
      </c>
      <c r="M11" s="60">
        <v>0</v>
      </c>
      <c r="N11" s="61">
        <v>0</v>
      </c>
      <c r="O11" s="59">
        <v>0</v>
      </c>
      <c r="P11" s="60">
        <v>0</v>
      </c>
      <c r="Q11" s="60">
        <v>0</v>
      </c>
      <c r="R11" s="63">
        <v>0</v>
      </c>
      <c r="S11" s="60">
        <v>0</v>
      </c>
      <c r="T11" s="64">
        <v>0</v>
      </c>
      <c r="U11" s="65">
        <v>0</v>
      </c>
      <c r="V11" s="62">
        <v>0</v>
      </c>
      <c r="W11" s="62">
        <v>0</v>
      </c>
      <c r="X11" s="62">
        <v>0</v>
      </c>
      <c r="Y11" s="66">
        <v>0</v>
      </c>
      <c r="Z11" s="66">
        <v>0</v>
      </c>
      <c r="AA11" s="67">
        <v>0</v>
      </c>
      <c r="AB11" s="68">
        <v>0</v>
      </c>
      <c r="AC11" s="69">
        <v>0</v>
      </c>
      <c r="AD11" s="69">
        <v>0</v>
      </c>
      <c r="AE11" s="68">
        <v>0</v>
      </c>
      <c r="AF11" s="68">
        <v>0</v>
      </c>
      <c r="AG11" s="68">
        <v>0</v>
      </c>
      <c r="AH11" s="69">
        <v>230.41866970856989</v>
      </c>
      <c r="AI11" s="69">
        <v>445.29374001820889</v>
      </c>
      <c r="AJ11" s="69">
        <v>1107.2227672576905</v>
      </c>
      <c r="AK11" s="69">
        <v>219.60798695882164</v>
      </c>
      <c r="AL11" s="69">
        <v>1045.4901786168416</v>
      </c>
      <c r="AM11" s="69">
        <v>1371.0308136622111</v>
      </c>
      <c r="AN11" s="69">
        <v>961.68508977890019</v>
      </c>
      <c r="AO11" s="69">
        <v>321.99197146097816</v>
      </c>
      <c r="AP11" s="69">
        <v>114.01732831597329</v>
      </c>
      <c r="AQ11" s="69">
        <v>650.53747107187917</v>
      </c>
    </row>
    <row r="12" spans="1:47">
      <c r="A12" s="11">
        <v>41004</v>
      </c>
      <c r="B12" s="59"/>
      <c r="C12" s="60">
        <v>0</v>
      </c>
      <c r="D12" s="60">
        <v>0</v>
      </c>
      <c r="E12" s="60">
        <v>0</v>
      </c>
      <c r="F12" s="60">
        <v>0</v>
      </c>
      <c r="G12" s="60">
        <v>0</v>
      </c>
      <c r="H12" s="61">
        <v>0</v>
      </c>
      <c r="I12" s="59">
        <v>0</v>
      </c>
      <c r="J12" s="60">
        <v>0</v>
      </c>
      <c r="K12" s="60">
        <v>0</v>
      </c>
      <c r="L12" s="60">
        <v>0</v>
      </c>
      <c r="M12" s="60">
        <v>0</v>
      </c>
      <c r="N12" s="61">
        <v>0</v>
      </c>
      <c r="O12" s="59">
        <v>0</v>
      </c>
      <c r="P12" s="60">
        <v>0</v>
      </c>
      <c r="Q12" s="60">
        <v>0</v>
      </c>
      <c r="R12" s="63">
        <v>0</v>
      </c>
      <c r="S12" s="60">
        <v>0</v>
      </c>
      <c r="T12" s="64">
        <v>0</v>
      </c>
      <c r="U12" s="65">
        <v>0</v>
      </c>
      <c r="V12" s="62">
        <v>0</v>
      </c>
      <c r="W12" s="62">
        <v>0</v>
      </c>
      <c r="X12" s="62">
        <v>0</v>
      </c>
      <c r="Y12" s="66">
        <v>0</v>
      </c>
      <c r="Z12" s="66">
        <v>0</v>
      </c>
      <c r="AA12" s="67">
        <v>0</v>
      </c>
      <c r="AB12" s="68">
        <v>0</v>
      </c>
      <c r="AC12" s="69">
        <v>0</v>
      </c>
      <c r="AD12" s="69">
        <v>0</v>
      </c>
      <c r="AE12" s="68">
        <v>0</v>
      </c>
      <c r="AF12" s="68">
        <v>0</v>
      </c>
      <c r="AG12" s="68">
        <v>0</v>
      </c>
      <c r="AH12" s="69">
        <v>199.00588464736938</v>
      </c>
      <c r="AI12" s="69">
        <v>394.77166457176207</v>
      </c>
      <c r="AJ12" s="69">
        <v>1125.3548564275106</v>
      </c>
      <c r="AK12" s="69">
        <v>214.72737321058909</v>
      </c>
      <c r="AL12" s="69">
        <v>951.13001200358053</v>
      </c>
      <c r="AM12" s="69">
        <v>1285.4598850250243</v>
      </c>
      <c r="AN12" s="69">
        <v>927.19148948987345</v>
      </c>
      <c r="AO12" s="69">
        <v>283.81177144050599</v>
      </c>
      <c r="AP12" s="69">
        <v>85.831018976370501</v>
      </c>
      <c r="AQ12" s="69">
        <v>757.3614354133606</v>
      </c>
    </row>
    <row r="13" spans="1:47">
      <c r="A13" s="11">
        <v>41005</v>
      </c>
      <c r="B13" s="59"/>
      <c r="C13" s="60">
        <v>0</v>
      </c>
      <c r="D13" s="60">
        <v>0</v>
      </c>
      <c r="E13" s="60">
        <v>0</v>
      </c>
      <c r="F13" s="60">
        <v>0</v>
      </c>
      <c r="G13" s="60">
        <v>0</v>
      </c>
      <c r="H13" s="61">
        <v>0</v>
      </c>
      <c r="I13" s="59">
        <v>0</v>
      </c>
      <c r="J13" s="60">
        <v>0</v>
      </c>
      <c r="K13" s="60">
        <v>0</v>
      </c>
      <c r="L13" s="60">
        <v>0</v>
      </c>
      <c r="M13" s="60">
        <v>0</v>
      </c>
      <c r="N13" s="61">
        <v>0</v>
      </c>
      <c r="O13" s="59">
        <v>0</v>
      </c>
      <c r="P13" s="60">
        <v>0</v>
      </c>
      <c r="Q13" s="60">
        <v>0</v>
      </c>
      <c r="R13" s="63">
        <v>0</v>
      </c>
      <c r="S13" s="60">
        <v>0</v>
      </c>
      <c r="T13" s="64">
        <v>0</v>
      </c>
      <c r="U13" s="65">
        <v>0</v>
      </c>
      <c r="V13" s="62">
        <v>0</v>
      </c>
      <c r="W13" s="62">
        <v>0</v>
      </c>
      <c r="X13" s="62">
        <v>0</v>
      </c>
      <c r="Y13" s="66">
        <v>0</v>
      </c>
      <c r="Z13" s="66">
        <v>0</v>
      </c>
      <c r="AA13" s="67">
        <v>0</v>
      </c>
      <c r="AB13" s="68">
        <v>0</v>
      </c>
      <c r="AC13" s="69">
        <v>0</v>
      </c>
      <c r="AD13" s="69">
        <v>0</v>
      </c>
      <c r="AE13" s="68">
        <v>0</v>
      </c>
      <c r="AF13" s="68">
        <v>0</v>
      </c>
      <c r="AG13" s="68">
        <v>0</v>
      </c>
      <c r="AH13" s="69">
        <v>192.70431337356567</v>
      </c>
      <c r="AI13" s="69">
        <v>393.05515170097357</v>
      </c>
      <c r="AJ13" s="69">
        <v>1085.38623714447</v>
      </c>
      <c r="AK13" s="69">
        <v>215.26873707771301</v>
      </c>
      <c r="AL13" s="69">
        <v>917.97504482269289</v>
      </c>
      <c r="AM13" s="69">
        <v>1212.2768281300862</v>
      </c>
      <c r="AN13" s="69">
        <v>923.86972106297799</v>
      </c>
      <c r="AO13" s="69">
        <v>293.09541033109031</v>
      </c>
      <c r="AP13" s="69">
        <v>63.230142593383782</v>
      </c>
      <c r="AQ13" s="69">
        <v>807.46474959055593</v>
      </c>
    </row>
    <row r="14" spans="1:47">
      <c r="A14" s="11">
        <v>41006</v>
      </c>
      <c r="B14" s="59"/>
      <c r="C14" s="60">
        <v>0</v>
      </c>
      <c r="D14" s="60">
        <v>0</v>
      </c>
      <c r="E14" s="60">
        <v>0</v>
      </c>
      <c r="F14" s="60">
        <v>0</v>
      </c>
      <c r="G14" s="60">
        <v>0</v>
      </c>
      <c r="H14" s="61">
        <v>0</v>
      </c>
      <c r="I14" s="59">
        <v>0</v>
      </c>
      <c r="J14" s="60">
        <v>0</v>
      </c>
      <c r="K14" s="60">
        <v>0</v>
      </c>
      <c r="L14" s="60">
        <v>0</v>
      </c>
      <c r="M14" s="60">
        <v>0</v>
      </c>
      <c r="N14" s="61">
        <v>0</v>
      </c>
      <c r="O14" s="59">
        <v>0</v>
      </c>
      <c r="P14" s="60">
        <v>0</v>
      </c>
      <c r="Q14" s="60">
        <v>0</v>
      </c>
      <c r="R14" s="63">
        <v>0</v>
      </c>
      <c r="S14" s="60">
        <v>0</v>
      </c>
      <c r="T14" s="64">
        <v>0</v>
      </c>
      <c r="U14" s="65">
        <v>0</v>
      </c>
      <c r="V14" s="62">
        <v>0</v>
      </c>
      <c r="W14" s="62">
        <v>0</v>
      </c>
      <c r="X14" s="62">
        <v>0</v>
      </c>
      <c r="Y14" s="66">
        <v>0</v>
      </c>
      <c r="Z14" s="66">
        <v>0</v>
      </c>
      <c r="AA14" s="67">
        <v>0</v>
      </c>
      <c r="AB14" s="68">
        <v>0</v>
      </c>
      <c r="AC14" s="69">
        <v>0</v>
      </c>
      <c r="AD14" s="69">
        <v>0</v>
      </c>
      <c r="AE14" s="68">
        <v>0</v>
      </c>
      <c r="AF14" s="68">
        <v>0</v>
      </c>
      <c r="AG14" s="68">
        <v>0</v>
      </c>
      <c r="AH14" s="69">
        <v>205.56846110820771</v>
      </c>
      <c r="AI14" s="69">
        <v>426.33770111401873</v>
      </c>
      <c r="AJ14" s="69">
        <v>1049.7614154815674</v>
      </c>
      <c r="AK14" s="69">
        <v>214.59783279101055</v>
      </c>
      <c r="AL14" s="69">
        <v>973.90933106740329</v>
      </c>
      <c r="AM14" s="69">
        <v>1245.3631375630696</v>
      </c>
      <c r="AN14" s="69">
        <v>948.92777849833169</v>
      </c>
      <c r="AO14" s="69">
        <v>299.20133816401164</v>
      </c>
      <c r="AP14" s="69">
        <v>94.145746235052741</v>
      </c>
      <c r="AQ14" s="69">
        <v>652.2860426902771</v>
      </c>
    </row>
    <row r="15" spans="1:47">
      <c r="A15" s="11">
        <v>41007</v>
      </c>
      <c r="B15" s="59"/>
      <c r="C15" s="60">
        <v>0</v>
      </c>
      <c r="D15" s="60">
        <v>0</v>
      </c>
      <c r="E15" s="60">
        <v>0</v>
      </c>
      <c r="F15" s="60">
        <v>0</v>
      </c>
      <c r="G15" s="60">
        <v>0</v>
      </c>
      <c r="H15" s="61">
        <v>0</v>
      </c>
      <c r="I15" s="59">
        <v>0</v>
      </c>
      <c r="J15" s="60">
        <v>0</v>
      </c>
      <c r="K15" s="60">
        <v>0</v>
      </c>
      <c r="L15" s="60">
        <v>0</v>
      </c>
      <c r="M15" s="60">
        <v>0</v>
      </c>
      <c r="N15" s="61">
        <v>0</v>
      </c>
      <c r="O15" s="59">
        <v>0</v>
      </c>
      <c r="P15" s="60">
        <v>0</v>
      </c>
      <c r="Q15" s="60">
        <v>0</v>
      </c>
      <c r="R15" s="63">
        <v>0</v>
      </c>
      <c r="S15" s="60">
        <v>0</v>
      </c>
      <c r="T15" s="64">
        <v>0</v>
      </c>
      <c r="U15" s="65">
        <v>0</v>
      </c>
      <c r="V15" s="62">
        <v>0</v>
      </c>
      <c r="W15" s="62">
        <v>0</v>
      </c>
      <c r="X15" s="62">
        <v>0</v>
      </c>
      <c r="Y15" s="66">
        <v>0</v>
      </c>
      <c r="Z15" s="66">
        <v>0</v>
      </c>
      <c r="AA15" s="67">
        <v>0</v>
      </c>
      <c r="AB15" s="68">
        <v>0</v>
      </c>
      <c r="AC15" s="69">
        <v>0</v>
      </c>
      <c r="AD15" s="69">
        <v>0</v>
      </c>
      <c r="AE15" s="68">
        <v>0</v>
      </c>
      <c r="AF15" s="68">
        <v>0</v>
      </c>
      <c r="AG15" s="68">
        <v>0</v>
      </c>
      <c r="AH15" s="69">
        <v>196.80797715981799</v>
      </c>
      <c r="AI15" s="69">
        <v>409.9989465395609</v>
      </c>
      <c r="AJ15" s="69">
        <v>1105.1295580546059</v>
      </c>
      <c r="AK15" s="69">
        <v>213.96225557327273</v>
      </c>
      <c r="AL15" s="69">
        <v>943.28086312611902</v>
      </c>
      <c r="AM15" s="69">
        <v>1240.4379145940145</v>
      </c>
      <c r="AN15" s="69">
        <v>934.1680824915569</v>
      </c>
      <c r="AO15" s="69">
        <v>285.27860069274902</v>
      </c>
      <c r="AP15" s="69">
        <v>76.79679943919183</v>
      </c>
      <c r="AQ15" s="69">
        <v>764.46666116714471</v>
      </c>
    </row>
    <row r="16" spans="1:47">
      <c r="A16" s="11">
        <v>41008</v>
      </c>
      <c r="B16" s="59"/>
      <c r="C16" s="60">
        <v>0</v>
      </c>
      <c r="D16" s="60">
        <v>0</v>
      </c>
      <c r="E16" s="60">
        <v>0</v>
      </c>
      <c r="F16" s="60">
        <v>0</v>
      </c>
      <c r="G16" s="60">
        <v>0</v>
      </c>
      <c r="H16" s="61">
        <v>0</v>
      </c>
      <c r="I16" s="59">
        <v>0</v>
      </c>
      <c r="J16" s="60">
        <v>0</v>
      </c>
      <c r="K16" s="60">
        <v>0</v>
      </c>
      <c r="L16" s="60">
        <v>0</v>
      </c>
      <c r="M16" s="60">
        <v>0</v>
      </c>
      <c r="N16" s="61">
        <v>0</v>
      </c>
      <c r="O16" s="59">
        <v>0</v>
      </c>
      <c r="P16" s="60">
        <v>0</v>
      </c>
      <c r="Q16" s="60">
        <v>0</v>
      </c>
      <c r="R16" s="63">
        <v>0</v>
      </c>
      <c r="S16" s="60">
        <v>0</v>
      </c>
      <c r="T16" s="64">
        <v>0</v>
      </c>
      <c r="U16" s="65">
        <v>0</v>
      </c>
      <c r="V16" s="62">
        <v>0</v>
      </c>
      <c r="W16" s="62">
        <v>0</v>
      </c>
      <c r="X16" s="62">
        <v>0</v>
      </c>
      <c r="Y16" s="66">
        <v>0</v>
      </c>
      <c r="Z16" s="66">
        <v>0</v>
      </c>
      <c r="AA16" s="67">
        <v>0</v>
      </c>
      <c r="AB16" s="68">
        <v>0</v>
      </c>
      <c r="AC16" s="69">
        <v>0</v>
      </c>
      <c r="AD16" s="69">
        <v>0</v>
      </c>
      <c r="AE16" s="68">
        <v>0</v>
      </c>
      <c r="AF16" s="68">
        <v>0</v>
      </c>
      <c r="AG16" s="68">
        <v>0</v>
      </c>
      <c r="AH16" s="69">
        <v>192.00536375840505</v>
      </c>
      <c r="AI16" s="69">
        <v>393.05821388562515</v>
      </c>
      <c r="AJ16" s="69">
        <v>1117.6760367711388</v>
      </c>
      <c r="AK16" s="69">
        <v>210.66545530160269</v>
      </c>
      <c r="AL16" s="69">
        <v>919.77941236495974</v>
      </c>
      <c r="AM16" s="69">
        <v>1203.0973985671999</v>
      </c>
      <c r="AN16" s="69">
        <v>943.89942636489889</v>
      </c>
      <c r="AO16" s="69">
        <v>290.48537995020553</v>
      </c>
      <c r="AP16" s="69">
        <v>63.640405096610387</v>
      </c>
      <c r="AQ16" s="69">
        <v>756.19566157658903</v>
      </c>
    </row>
    <row r="17" spans="1:43">
      <c r="A17" s="11">
        <v>41009</v>
      </c>
      <c r="B17" s="49"/>
      <c r="C17" s="50">
        <v>0</v>
      </c>
      <c r="D17" s="50">
        <v>0</v>
      </c>
      <c r="E17" s="50">
        <v>0</v>
      </c>
      <c r="F17" s="50">
        <v>0</v>
      </c>
      <c r="G17" s="50">
        <v>0</v>
      </c>
      <c r="H17" s="51">
        <v>0</v>
      </c>
      <c r="I17" s="49">
        <v>0</v>
      </c>
      <c r="J17" s="50">
        <v>0</v>
      </c>
      <c r="K17" s="50">
        <v>0</v>
      </c>
      <c r="L17" s="60">
        <v>0</v>
      </c>
      <c r="M17" s="50">
        <v>0</v>
      </c>
      <c r="N17" s="51">
        <v>0</v>
      </c>
      <c r="O17" s="49">
        <v>0</v>
      </c>
      <c r="P17" s="50">
        <v>0</v>
      </c>
      <c r="Q17" s="50">
        <v>0</v>
      </c>
      <c r="R17" s="70">
        <v>0</v>
      </c>
      <c r="S17" s="50">
        <v>0</v>
      </c>
      <c r="T17" s="52">
        <v>0</v>
      </c>
      <c r="U17" s="71">
        <v>0</v>
      </c>
      <c r="V17" s="66">
        <v>0</v>
      </c>
      <c r="W17" s="62">
        <v>0</v>
      </c>
      <c r="X17" s="62">
        <v>0</v>
      </c>
      <c r="Y17" s="66">
        <v>0</v>
      </c>
      <c r="Z17" s="66">
        <v>0</v>
      </c>
      <c r="AA17" s="67">
        <v>0</v>
      </c>
      <c r="AB17" s="68">
        <v>0</v>
      </c>
      <c r="AC17" s="69">
        <v>0</v>
      </c>
      <c r="AD17" s="69">
        <v>0</v>
      </c>
      <c r="AE17" s="68">
        <v>0</v>
      </c>
      <c r="AF17" s="68">
        <v>0</v>
      </c>
      <c r="AG17" s="68">
        <v>0</v>
      </c>
      <c r="AH17" s="69">
        <v>179.95945300261181</v>
      </c>
      <c r="AI17" s="69">
        <v>383.60485528310141</v>
      </c>
      <c r="AJ17" s="69">
        <v>1140.6891257603966</v>
      </c>
      <c r="AK17" s="69">
        <v>229.00576573212942</v>
      </c>
      <c r="AL17" s="69">
        <v>915.4307748794555</v>
      </c>
      <c r="AM17" s="69">
        <v>1078.7720261891684</v>
      </c>
      <c r="AN17" s="69">
        <v>894.48397386868794</v>
      </c>
      <c r="AO17" s="69">
        <v>326.6715576489766</v>
      </c>
      <c r="AP17" s="69">
        <v>52.689927999178572</v>
      </c>
      <c r="AQ17" s="69">
        <v>798.14493239720662</v>
      </c>
    </row>
    <row r="18" spans="1:43">
      <c r="A18" s="11">
        <v>41010</v>
      </c>
      <c r="B18" s="59"/>
      <c r="C18" s="60">
        <v>0</v>
      </c>
      <c r="D18" s="60">
        <v>0</v>
      </c>
      <c r="E18" s="60">
        <v>0</v>
      </c>
      <c r="F18" s="60">
        <v>0</v>
      </c>
      <c r="G18" s="60">
        <v>0</v>
      </c>
      <c r="H18" s="61">
        <v>0</v>
      </c>
      <c r="I18" s="59">
        <v>0</v>
      </c>
      <c r="J18" s="60">
        <v>0</v>
      </c>
      <c r="K18" s="60">
        <v>0</v>
      </c>
      <c r="L18" s="60">
        <v>0</v>
      </c>
      <c r="M18" s="60">
        <v>0</v>
      </c>
      <c r="N18" s="61">
        <v>0</v>
      </c>
      <c r="O18" s="59">
        <v>0</v>
      </c>
      <c r="P18" s="60">
        <v>0</v>
      </c>
      <c r="Q18" s="60">
        <v>0</v>
      </c>
      <c r="R18" s="63">
        <v>0</v>
      </c>
      <c r="S18" s="60">
        <v>0</v>
      </c>
      <c r="T18" s="64">
        <v>0</v>
      </c>
      <c r="U18" s="65">
        <v>0</v>
      </c>
      <c r="V18" s="62">
        <v>0</v>
      </c>
      <c r="W18" s="62">
        <v>0</v>
      </c>
      <c r="X18" s="62">
        <v>0</v>
      </c>
      <c r="Y18" s="66">
        <v>0</v>
      </c>
      <c r="Z18" s="66">
        <v>0</v>
      </c>
      <c r="AA18" s="67">
        <v>0</v>
      </c>
      <c r="AB18" s="68">
        <v>0</v>
      </c>
      <c r="AC18" s="69">
        <v>0</v>
      </c>
      <c r="AD18" s="69">
        <v>0</v>
      </c>
      <c r="AE18" s="68">
        <v>0</v>
      </c>
      <c r="AF18" s="68">
        <v>0</v>
      </c>
      <c r="AG18" s="68">
        <v>0</v>
      </c>
      <c r="AH18" s="69">
        <v>181.61288678646085</v>
      </c>
      <c r="AI18" s="69">
        <v>383.0023168245952</v>
      </c>
      <c r="AJ18" s="69">
        <v>1132.6711520512897</v>
      </c>
      <c r="AK18" s="69">
        <v>221.04419098695121</v>
      </c>
      <c r="AL18" s="69">
        <v>905.60369199117019</v>
      </c>
      <c r="AM18" s="69">
        <v>1091.4227912267047</v>
      </c>
      <c r="AN18" s="69">
        <v>888.84722987810801</v>
      </c>
      <c r="AO18" s="69">
        <v>318.16122121810918</v>
      </c>
      <c r="AP18" s="69">
        <v>52.741078358888622</v>
      </c>
      <c r="AQ18" s="69">
        <v>766.60309441884363</v>
      </c>
    </row>
    <row r="19" spans="1:43">
      <c r="A19" s="11">
        <v>41011</v>
      </c>
      <c r="B19" s="59"/>
      <c r="C19" s="60">
        <v>0</v>
      </c>
      <c r="D19" s="60">
        <v>0</v>
      </c>
      <c r="E19" s="60">
        <v>0</v>
      </c>
      <c r="F19" s="60">
        <v>0</v>
      </c>
      <c r="G19" s="60">
        <v>0</v>
      </c>
      <c r="H19" s="61">
        <v>0</v>
      </c>
      <c r="I19" s="59">
        <v>0</v>
      </c>
      <c r="J19" s="60">
        <v>0</v>
      </c>
      <c r="K19" s="60">
        <v>0</v>
      </c>
      <c r="L19" s="60">
        <v>0</v>
      </c>
      <c r="M19" s="60">
        <v>0</v>
      </c>
      <c r="N19" s="61">
        <v>0</v>
      </c>
      <c r="O19" s="59">
        <v>0</v>
      </c>
      <c r="P19" s="60">
        <v>0</v>
      </c>
      <c r="Q19" s="60">
        <v>0</v>
      </c>
      <c r="R19" s="63">
        <v>0</v>
      </c>
      <c r="S19" s="60">
        <v>0</v>
      </c>
      <c r="T19" s="64">
        <v>0</v>
      </c>
      <c r="U19" s="65">
        <v>0</v>
      </c>
      <c r="V19" s="62">
        <v>0</v>
      </c>
      <c r="W19" s="62">
        <v>0</v>
      </c>
      <c r="X19" s="62">
        <v>0</v>
      </c>
      <c r="Y19" s="66">
        <v>0</v>
      </c>
      <c r="Z19" s="66">
        <v>0</v>
      </c>
      <c r="AA19" s="67">
        <v>0</v>
      </c>
      <c r="AB19" s="68">
        <v>0</v>
      </c>
      <c r="AC19" s="69">
        <v>0</v>
      </c>
      <c r="AD19" s="69">
        <v>0</v>
      </c>
      <c r="AE19" s="68">
        <v>0</v>
      </c>
      <c r="AF19" s="68">
        <v>0</v>
      </c>
      <c r="AG19" s="68">
        <v>0</v>
      </c>
      <c r="AH19" s="69">
        <v>192.26286896864573</v>
      </c>
      <c r="AI19" s="69">
        <v>391.88422643343591</v>
      </c>
      <c r="AJ19" s="69">
        <v>1108.5441593170167</v>
      </c>
      <c r="AK19" s="69">
        <v>220.9968424797058</v>
      </c>
      <c r="AL19" s="69">
        <v>908.40920333862312</v>
      </c>
      <c r="AM19" s="69">
        <v>1208.8506193796795</v>
      </c>
      <c r="AN19" s="69">
        <v>901.44905363718681</v>
      </c>
      <c r="AO19" s="69">
        <v>291.92707277933761</v>
      </c>
      <c r="AP19" s="69">
        <v>58.684806474049893</v>
      </c>
      <c r="AQ19" s="69">
        <v>706.685325241089</v>
      </c>
    </row>
    <row r="20" spans="1:43">
      <c r="A20" s="11">
        <v>41012</v>
      </c>
      <c r="B20" s="59"/>
      <c r="C20" s="60">
        <v>0</v>
      </c>
      <c r="D20" s="60">
        <v>0</v>
      </c>
      <c r="E20" s="60">
        <v>0</v>
      </c>
      <c r="F20" s="60">
        <v>0</v>
      </c>
      <c r="G20" s="60">
        <v>0</v>
      </c>
      <c r="H20" s="61">
        <v>0</v>
      </c>
      <c r="I20" s="59">
        <v>0</v>
      </c>
      <c r="J20" s="60">
        <v>0</v>
      </c>
      <c r="K20" s="60">
        <v>0</v>
      </c>
      <c r="L20" s="60">
        <v>0</v>
      </c>
      <c r="M20" s="60">
        <v>0</v>
      </c>
      <c r="N20" s="61">
        <v>0</v>
      </c>
      <c r="O20" s="59">
        <v>0</v>
      </c>
      <c r="P20" s="60">
        <v>0</v>
      </c>
      <c r="Q20" s="60">
        <v>0</v>
      </c>
      <c r="R20" s="63">
        <v>0</v>
      </c>
      <c r="S20" s="60">
        <v>0</v>
      </c>
      <c r="T20" s="64">
        <v>0</v>
      </c>
      <c r="U20" s="65">
        <v>0</v>
      </c>
      <c r="V20" s="62">
        <v>0</v>
      </c>
      <c r="W20" s="62">
        <v>0</v>
      </c>
      <c r="X20" s="62">
        <v>0</v>
      </c>
      <c r="Y20" s="66">
        <v>0</v>
      </c>
      <c r="Z20" s="66">
        <v>0</v>
      </c>
      <c r="AA20" s="67">
        <v>0</v>
      </c>
      <c r="AB20" s="68">
        <v>0</v>
      </c>
      <c r="AC20" s="69">
        <v>0</v>
      </c>
      <c r="AD20" s="69">
        <v>0</v>
      </c>
      <c r="AE20" s="68">
        <v>0</v>
      </c>
      <c r="AF20" s="68">
        <v>0</v>
      </c>
      <c r="AG20" s="68">
        <v>0</v>
      </c>
      <c r="AH20" s="69">
        <v>200.79159200986226</v>
      </c>
      <c r="AI20" s="69">
        <v>399.02121548652644</v>
      </c>
      <c r="AJ20" s="69">
        <v>1088.2583702723186</v>
      </c>
      <c r="AK20" s="69">
        <v>215.17838969230655</v>
      </c>
      <c r="AL20" s="69">
        <v>905.79361953735327</v>
      </c>
      <c r="AM20" s="69">
        <v>1227.7326110204058</v>
      </c>
      <c r="AN20" s="69">
        <v>684.11683583259583</v>
      </c>
      <c r="AO20" s="69">
        <v>280.33421392440795</v>
      </c>
      <c r="AP20" s="69">
        <v>72.77095672686896</v>
      </c>
      <c r="AQ20" s="69">
        <v>658.93756240208938</v>
      </c>
    </row>
    <row r="21" spans="1:43">
      <c r="A21" s="11">
        <v>41013</v>
      </c>
      <c r="B21" s="59"/>
      <c r="C21" s="60">
        <v>0</v>
      </c>
      <c r="D21" s="60">
        <v>0</v>
      </c>
      <c r="E21" s="60">
        <v>0</v>
      </c>
      <c r="F21" s="60">
        <v>0</v>
      </c>
      <c r="G21" s="60">
        <v>0</v>
      </c>
      <c r="H21" s="61">
        <v>0</v>
      </c>
      <c r="I21" s="59">
        <v>0</v>
      </c>
      <c r="J21" s="60">
        <v>0</v>
      </c>
      <c r="K21" s="60">
        <v>0</v>
      </c>
      <c r="L21" s="60">
        <v>0</v>
      </c>
      <c r="M21" s="60">
        <v>0</v>
      </c>
      <c r="N21" s="61">
        <v>0</v>
      </c>
      <c r="O21" s="59">
        <v>0</v>
      </c>
      <c r="P21" s="60">
        <v>0</v>
      </c>
      <c r="Q21" s="60">
        <v>0</v>
      </c>
      <c r="R21" s="63">
        <v>0</v>
      </c>
      <c r="S21" s="60">
        <v>0</v>
      </c>
      <c r="T21" s="64">
        <v>0</v>
      </c>
      <c r="U21" s="65">
        <v>0</v>
      </c>
      <c r="V21" s="62">
        <v>0</v>
      </c>
      <c r="W21" s="62">
        <v>0</v>
      </c>
      <c r="X21" s="62">
        <v>0</v>
      </c>
      <c r="Y21" s="66">
        <v>0</v>
      </c>
      <c r="Z21" s="66">
        <v>0</v>
      </c>
      <c r="AA21" s="67">
        <v>0</v>
      </c>
      <c r="AB21" s="68">
        <v>0</v>
      </c>
      <c r="AC21" s="69">
        <v>0</v>
      </c>
      <c r="AD21" s="69">
        <v>0</v>
      </c>
      <c r="AE21" s="68">
        <v>0</v>
      </c>
      <c r="AF21" s="68">
        <v>0</v>
      </c>
      <c r="AG21" s="68">
        <v>0</v>
      </c>
      <c r="AH21" s="69">
        <v>203.77599548498787</v>
      </c>
      <c r="AI21" s="69">
        <v>402.10404365857443</v>
      </c>
      <c r="AJ21" s="69">
        <v>1062.4579678853352</v>
      </c>
      <c r="AK21" s="69">
        <v>225.36717224121094</v>
      </c>
      <c r="AL21" s="69">
        <v>914.66569112141929</v>
      </c>
      <c r="AM21" s="69">
        <v>1075.0106307983401</v>
      </c>
      <c r="AN21" s="69">
        <v>520.01754453976946</v>
      </c>
      <c r="AO21" s="69">
        <v>304.4494551340739</v>
      </c>
      <c r="AP21" s="69">
        <v>78.416022930542638</v>
      </c>
      <c r="AQ21" s="69">
        <v>592.4024198532104</v>
      </c>
    </row>
    <row r="22" spans="1:43">
      <c r="A22" s="11">
        <v>41014</v>
      </c>
      <c r="B22" s="59"/>
      <c r="C22" s="60">
        <v>0</v>
      </c>
      <c r="D22" s="60">
        <v>0</v>
      </c>
      <c r="E22" s="60">
        <v>0</v>
      </c>
      <c r="F22" s="60">
        <v>0</v>
      </c>
      <c r="G22" s="60">
        <v>0</v>
      </c>
      <c r="H22" s="61">
        <v>0</v>
      </c>
      <c r="I22" s="59">
        <v>0</v>
      </c>
      <c r="J22" s="60">
        <v>0</v>
      </c>
      <c r="K22" s="60">
        <v>0</v>
      </c>
      <c r="L22" s="60">
        <v>0</v>
      </c>
      <c r="M22" s="60">
        <v>0</v>
      </c>
      <c r="N22" s="61">
        <v>0</v>
      </c>
      <c r="O22" s="59">
        <v>0</v>
      </c>
      <c r="P22" s="60">
        <v>0</v>
      </c>
      <c r="Q22" s="60">
        <v>0</v>
      </c>
      <c r="R22" s="63">
        <v>0</v>
      </c>
      <c r="S22" s="60">
        <v>0</v>
      </c>
      <c r="T22" s="64">
        <v>0</v>
      </c>
      <c r="U22" s="65">
        <v>0</v>
      </c>
      <c r="V22" s="62">
        <v>0</v>
      </c>
      <c r="W22" s="62">
        <v>0</v>
      </c>
      <c r="X22" s="62">
        <v>0</v>
      </c>
      <c r="Y22" s="66">
        <v>0</v>
      </c>
      <c r="Z22" s="66">
        <v>0</v>
      </c>
      <c r="AA22" s="67">
        <v>0</v>
      </c>
      <c r="AB22" s="68">
        <v>0</v>
      </c>
      <c r="AC22" s="69">
        <v>0</v>
      </c>
      <c r="AD22" s="69">
        <v>0</v>
      </c>
      <c r="AE22" s="68">
        <v>0</v>
      </c>
      <c r="AF22" s="68">
        <v>0</v>
      </c>
      <c r="AG22" s="68">
        <v>0</v>
      </c>
      <c r="AH22" s="69">
        <v>226.23614008426668</v>
      </c>
      <c r="AI22" s="69">
        <v>424.94718759854635</v>
      </c>
      <c r="AJ22" s="69">
        <v>1087.5569676717123</v>
      </c>
      <c r="AK22" s="69">
        <v>225.36717224121094</v>
      </c>
      <c r="AL22" s="69">
        <v>1006.0423221588136</v>
      </c>
      <c r="AM22" s="69">
        <v>1203.3782905578612</v>
      </c>
      <c r="AN22" s="69">
        <v>513.87118690808597</v>
      </c>
      <c r="AO22" s="69">
        <v>291.94811938603715</v>
      </c>
      <c r="AP22" s="69">
        <v>120.27301690379778</v>
      </c>
      <c r="AQ22" s="69">
        <v>574.28194519678755</v>
      </c>
    </row>
    <row r="23" spans="1:43">
      <c r="A23" s="11">
        <v>41015</v>
      </c>
      <c r="B23" s="59"/>
      <c r="C23" s="60">
        <v>0</v>
      </c>
      <c r="D23" s="60">
        <v>0</v>
      </c>
      <c r="E23" s="60">
        <v>0</v>
      </c>
      <c r="F23" s="60">
        <v>0</v>
      </c>
      <c r="G23" s="60">
        <v>0</v>
      </c>
      <c r="H23" s="61">
        <v>0</v>
      </c>
      <c r="I23" s="59">
        <v>0</v>
      </c>
      <c r="J23" s="60">
        <v>0</v>
      </c>
      <c r="K23" s="60">
        <v>0</v>
      </c>
      <c r="L23" s="60">
        <v>0</v>
      </c>
      <c r="M23" s="60">
        <v>0</v>
      </c>
      <c r="N23" s="61">
        <v>0</v>
      </c>
      <c r="O23" s="59">
        <v>0</v>
      </c>
      <c r="P23" s="60">
        <v>0</v>
      </c>
      <c r="Q23" s="60">
        <v>0</v>
      </c>
      <c r="R23" s="63">
        <v>0</v>
      </c>
      <c r="S23" s="60">
        <v>0</v>
      </c>
      <c r="T23" s="64">
        <v>0</v>
      </c>
      <c r="U23" s="65">
        <v>0</v>
      </c>
      <c r="V23" s="62">
        <v>0</v>
      </c>
      <c r="W23" s="62">
        <v>0</v>
      </c>
      <c r="X23" s="62">
        <v>0</v>
      </c>
      <c r="Y23" s="66">
        <v>0</v>
      </c>
      <c r="Z23" s="66">
        <v>0</v>
      </c>
      <c r="AA23" s="67">
        <v>0</v>
      </c>
      <c r="AB23" s="68">
        <v>0</v>
      </c>
      <c r="AC23" s="69">
        <v>0</v>
      </c>
      <c r="AD23" s="69">
        <v>0</v>
      </c>
      <c r="AE23" s="68">
        <v>0</v>
      </c>
      <c r="AF23" s="68">
        <v>0</v>
      </c>
      <c r="AG23" s="68">
        <v>0</v>
      </c>
      <c r="AH23" s="69">
        <v>215.67387990951536</v>
      </c>
      <c r="AI23" s="69">
        <v>422.37686729431158</v>
      </c>
      <c r="AJ23" s="69">
        <v>1088.5863297780354</v>
      </c>
      <c r="AK23" s="69">
        <v>225.36717224121094</v>
      </c>
      <c r="AL23" s="69">
        <v>978.61049836476627</v>
      </c>
      <c r="AM23" s="69">
        <v>1223.1238982518514</v>
      </c>
      <c r="AN23" s="69">
        <v>522.38974777857459</v>
      </c>
      <c r="AO23" s="69">
        <v>333.15035657882692</v>
      </c>
      <c r="AP23" s="69">
        <v>88.475827646255482</v>
      </c>
      <c r="AQ23" s="69">
        <v>637.03457708358758</v>
      </c>
    </row>
    <row r="24" spans="1:43">
      <c r="A24" s="11">
        <v>41016</v>
      </c>
      <c r="B24" s="59"/>
      <c r="C24" s="60">
        <v>0</v>
      </c>
      <c r="D24" s="60">
        <v>0</v>
      </c>
      <c r="E24" s="60">
        <v>0</v>
      </c>
      <c r="F24" s="60">
        <v>0</v>
      </c>
      <c r="G24" s="60">
        <v>0</v>
      </c>
      <c r="H24" s="61">
        <v>0</v>
      </c>
      <c r="I24" s="59">
        <v>0</v>
      </c>
      <c r="J24" s="60">
        <v>0</v>
      </c>
      <c r="K24" s="60">
        <v>0</v>
      </c>
      <c r="L24" s="60">
        <v>0</v>
      </c>
      <c r="M24" s="60">
        <v>0</v>
      </c>
      <c r="N24" s="61">
        <v>0</v>
      </c>
      <c r="O24" s="59">
        <v>0</v>
      </c>
      <c r="P24" s="60">
        <v>0</v>
      </c>
      <c r="Q24" s="60">
        <v>0</v>
      </c>
      <c r="R24" s="63">
        <v>0</v>
      </c>
      <c r="S24" s="60">
        <v>0</v>
      </c>
      <c r="T24" s="64">
        <v>0</v>
      </c>
      <c r="U24" s="65">
        <v>0</v>
      </c>
      <c r="V24" s="62">
        <v>0</v>
      </c>
      <c r="W24" s="62">
        <v>0</v>
      </c>
      <c r="X24" s="62">
        <v>0</v>
      </c>
      <c r="Y24" s="66">
        <v>0</v>
      </c>
      <c r="Z24" s="66">
        <v>0</v>
      </c>
      <c r="AA24" s="67">
        <v>0</v>
      </c>
      <c r="AB24" s="68">
        <v>0</v>
      </c>
      <c r="AC24" s="69">
        <v>0</v>
      </c>
      <c r="AD24" s="69">
        <v>0</v>
      </c>
      <c r="AE24" s="68">
        <v>0</v>
      </c>
      <c r="AF24" s="68">
        <v>0</v>
      </c>
      <c r="AG24" s="68">
        <v>0</v>
      </c>
      <c r="AH24" s="69">
        <v>194.52853708267207</v>
      </c>
      <c r="AI24" s="69">
        <v>400.0522574583689</v>
      </c>
      <c r="AJ24" s="69">
        <v>1089.1609568913777</v>
      </c>
      <c r="AK24" s="69">
        <v>192.91764927705131</v>
      </c>
      <c r="AL24" s="69">
        <v>951.68713537851977</v>
      </c>
      <c r="AM24" s="69">
        <v>1156.185673268636</v>
      </c>
      <c r="AN24" s="69">
        <v>862.81086951891564</v>
      </c>
      <c r="AO24" s="69">
        <v>290.64462148348491</v>
      </c>
      <c r="AP24" s="69">
        <v>69.34291282892228</v>
      </c>
      <c r="AQ24" s="69">
        <v>714.59151515960696</v>
      </c>
    </row>
    <row r="25" spans="1:43">
      <c r="A25" s="11">
        <v>41017</v>
      </c>
      <c r="B25" s="59"/>
      <c r="C25" s="60">
        <v>0</v>
      </c>
      <c r="D25" s="60">
        <v>0</v>
      </c>
      <c r="E25" s="60">
        <v>0</v>
      </c>
      <c r="F25" s="60">
        <v>0</v>
      </c>
      <c r="G25" s="60">
        <v>0</v>
      </c>
      <c r="H25" s="61">
        <v>0</v>
      </c>
      <c r="I25" s="59">
        <v>0</v>
      </c>
      <c r="J25" s="60">
        <v>0</v>
      </c>
      <c r="K25" s="60">
        <v>0</v>
      </c>
      <c r="L25" s="60">
        <v>0</v>
      </c>
      <c r="M25" s="60">
        <v>0</v>
      </c>
      <c r="N25" s="61">
        <v>0</v>
      </c>
      <c r="O25" s="59">
        <v>0</v>
      </c>
      <c r="P25" s="60">
        <v>0</v>
      </c>
      <c r="Q25" s="60">
        <v>0</v>
      </c>
      <c r="R25" s="63">
        <v>0</v>
      </c>
      <c r="S25" s="60">
        <v>0</v>
      </c>
      <c r="T25" s="64">
        <v>0</v>
      </c>
      <c r="U25" s="65">
        <v>0</v>
      </c>
      <c r="V25" s="62">
        <v>0</v>
      </c>
      <c r="W25" s="62">
        <v>0</v>
      </c>
      <c r="X25" s="62">
        <v>0</v>
      </c>
      <c r="Y25" s="66">
        <v>0</v>
      </c>
      <c r="Z25" s="66">
        <v>0</v>
      </c>
      <c r="AA25" s="67">
        <v>0</v>
      </c>
      <c r="AB25" s="68">
        <v>0</v>
      </c>
      <c r="AC25" s="69">
        <v>0</v>
      </c>
      <c r="AD25" s="69">
        <v>0</v>
      </c>
      <c r="AE25" s="68">
        <v>0</v>
      </c>
      <c r="AF25" s="68">
        <v>0</v>
      </c>
      <c r="AG25" s="68">
        <v>0</v>
      </c>
      <c r="AH25" s="69">
        <v>186.26308286984769</v>
      </c>
      <c r="AI25" s="69">
        <v>383.42242240905767</v>
      </c>
      <c r="AJ25" s="69">
        <v>1081.8430124282838</v>
      </c>
      <c r="AK25" s="69">
        <v>184.78984128634136</v>
      </c>
      <c r="AL25" s="69">
        <v>935.25915788014731</v>
      </c>
      <c r="AM25" s="69">
        <v>1126.7815580368042</v>
      </c>
      <c r="AN25" s="69">
        <v>899.13636376063027</v>
      </c>
      <c r="AO25" s="69">
        <v>319.03547387123115</v>
      </c>
      <c r="AP25" s="69">
        <v>50.121205784877141</v>
      </c>
      <c r="AQ25" s="69">
        <v>760.63169177373265</v>
      </c>
    </row>
    <row r="26" spans="1:43">
      <c r="A26" s="11">
        <v>41018</v>
      </c>
      <c r="B26" s="59"/>
      <c r="C26" s="60">
        <v>0</v>
      </c>
      <c r="D26" s="60">
        <v>0</v>
      </c>
      <c r="E26" s="60">
        <v>0</v>
      </c>
      <c r="F26" s="60">
        <v>0</v>
      </c>
      <c r="G26" s="60">
        <v>0</v>
      </c>
      <c r="H26" s="61">
        <v>0</v>
      </c>
      <c r="I26" s="59">
        <v>0</v>
      </c>
      <c r="J26" s="60">
        <v>0</v>
      </c>
      <c r="K26" s="60">
        <v>0</v>
      </c>
      <c r="L26" s="60">
        <v>0</v>
      </c>
      <c r="M26" s="60">
        <v>0</v>
      </c>
      <c r="N26" s="61">
        <v>0</v>
      </c>
      <c r="O26" s="59">
        <v>0</v>
      </c>
      <c r="P26" s="60">
        <v>0</v>
      </c>
      <c r="Q26" s="60">
        <v>0</v>
      </c>
      <c r="R26" s="63">
        <v>0</v>
      </c>
      <c r="S26" s="60">
        <v>0</v>
      </c>
      <c r="T26" s="64">
        <v>0</v>
      </c>
      <c r="U26" s="65">
        <v>0</v>
      </c>
      <c r="V26" s="62">
        <v>0</v>
      </c>
      <c r="W26" s="62">
        <v>0</v>
      </c>
      <c r="X26" s="62">
        <v>0</v>
      </c>
      <c r="Y26" s="66">
        <v>0</v>
      </c>
      <c r="Z26" s="66">
        <v>0</v>
      </c>
      <c r="AA26" s="67">
        <v>0</v>
      </c>
      <c r="AB26" s="68">
        <v>0</v>
      </c>
      <c r="AC26" s="69">
        <v>0</v>
      </c>
      <c r="AD26" s="69">
        <v>0</v>
      </c>
      <c r="AE26" s="68">
        <v>0</v>
      </c>
      <c r="AF26" s="68">
        <v>0</v>
      </c>
      <c r="AG26" s="68">
        <v>0</v>
      </c>
      <c r="AH26" s="69">
        <v>189.36758985519407</v>
      </c>
      <c r="AI26" s="69">
        <v>380.67640528678891</v>
      </c>
      <c r="AJ26" s="69">
        <v>1061.4756372451782</v>
      </c>
      <c r="AK26" s="69">
        <v>189.75525796413422</v>
      </c>
      <c r="AL26" s="69">
        <v>916.89012502034495</v>
      </c>
      <c r="AM26" s="69">
        <v>1133.1832794825236</v>
      </c>
      <c r="AN26" s="69">
        <v>913.08331009546919</v>
      </c>
      <c r="AO26" s="69">
        <v>300.8582198460897</v>
      </c>
      <c r="AP26" s="69">
        <v>57.108615901072817</v>
      </c>
      <c r="AQ26" s="69">
        <v>600.52099606196077</v>
      </c>
    </row>
    <row r="27" spans="1:43">
      <c r="A27" s="11">
        <v>41019</v>
      </c>
      <c r="B27" s="59"/>
      <c r="C27" s="60">
        <v>0</v>
      </c>
      <c r="D27" s="60">
        <v>0</v>
      </c>
      <c r="E27" s="60">
        <v>0</v>
      </c>
      <c r="F27" s="60">
        <v>0</v>
      </c>
      <c r="G27" s="60">
        <v>0</v>
      </c>
      <c r="H27" s="61">
        <v>0</v>
      </c>
      <c r="I27" s="59">
        <v>0</v>
      </c>
      <c r="J27" s="60">
        <v>0</v>
      </c>
      <c r="K27" s="60">
        <v>0</v>
      </c>
      <c r="L27" s="60">
        <v>0</v>
      </c>
      <c r="M27" s="60">
        <v>0</v>
      </c>
      <c r="N27" s="61">
        <v>0</v>
      </c>
      <c r="O27" s="59">
        <v>0</v>
      </c>
      <c r="P27" s="60">
        <v>0</v>
      </c>
      <c r="Q27" s="60">
        <v>0</v>
      </c>
      <c r="R27" s="63">
        <v>0</v>
      </c>
      <c r="S27" s="60">
        <v>0</v>
      </c>
      <c r="T27" s="64">
        <v>0</v>
      </c>
      <c r="U27" s="65">
        <v>0</v>
      </c>
      <c r="V27" s="62">
        <v>0</v>
      </c>
      <c r="W27" s="62">
        <v>0</v>
      </c>
      <c r="X27" s="62">
        <v>0</v>
      </c>
      <c r="Y27" s="62">
        <v>0</v>
      </c>
      <c r="Z27" s="62">
        <v>0</v>
      </c>
      <c r="AA27" s="72">
        <v>0</v>
      </c>
      <c r="AB27" s="69">
        <v>0</v>
      </c>
      <c r="AC27" s="69">
        <v>0</v>
      </c>
      <c r="AD27" s="69">
        <v>0</v>
      </c>
      <c r="AE27" s="69">
        <v>0</v>
      </c>
      <c r="AF27" s="69">
        <v>0</v>
      </c>
      <c r="AG27" s="69">
        <v>0</v>
      </c>
      <c r="AH27" s="69">
        <v>192.02030830383299</v>
      </c>
      <c r="AI27" s="69">
        <v>384.40004469553634</v>
      </c>
      <c r="AJ27" s="69">
        <v>1097.7440640131633</v>
      </c>
      <c r="AK27" s="69">
        <v>186.69433738390606</v>
      </c>
      <c r="AL27" s="69">
        <v>946.01879774729412</v>
      </c>
      <c r="AM27" s="69">
        <v>1248.1109050750733</v>
      </c>
      <c r="AN27" s="69">
        <v>902.23103825251246</v>
      </c>
      <c r="AO27" s="69">
        <v>283.20506415367129</v>
      </c>
      <c r="AP27" s="69">
        <v>61.754243878523503</v>
      </c>
      <c r="AQ27" s="69">
        <v>707.25496603647866</v>
      </c>
    </row>
    <row r="28" spans="1:43">
      <c r="A28" s="11">
        <v>41020</v>
      </c>
      <c r="B28" s="59"/>
      <c r="C28" s="60">
        <v>0</v>
      </c>
      <c r="D28" s="60">
        <v>0</v>
      </c>
      <c r="E28" s="60">
        <v>0</v>
      </c>
      <c r="F28" s="60">
        <v>0</v>
      </c>
      <c r="G28" s="60">
        <v>0</v>
      </c>
      <c r="H28" s="61">
        <v>0</v>
      </c>
      <c r="I28" s="59">
        <v>0</v>
      </c>
      <c r="J28" s="60">
        <v>0</v>
      </c>
      <c r="K28" s="60">
        <v>0</v>
      </c>
      <c r="L28" s="60">
        <v>0</v>
      </c>
      <c r="M28" s="60">
        <v>0</v>
      </c>
      <c r="N28" s="61">
        <v>0</v>
      </c>
      <c r="O28" s="59">
        <v>0</v>
      </c>
      <c r="P28" s="60">
        <v>0</v>
      </c>
      <c r="Q28" s="60">
        <v>0</v>
      </c>
      <c r="R28" s="63">
        <v>0</v>
      </c>
      <c r="S28" s="60">
        <v>0</v>
      </c>
      <c r="T28" s="64">
        <v>0</v>
      </c>
      <c r="U28" s="65">
        <v>0</v>
      </c>
      <c r="V28" s="62">
        <v>0</v>
      </c>
      <c r="W28" s="62">
        <v>0</v>
      </c>
      <c r="X28" s="62">
        <v>0</v>
      </c>
      <c r="Y28" s="66">
        <v>0</v>
      </c>
      <c r="Z28" s="66">
        <v>0</v>
      </c>
      <c r="AA28" s="67">
        <v>0</v>
      </c>
      <c r="AB28" s="68">
        <v>0</v>
      </c>
      <c r="AC28" s="69">
        <v>0</v>
      </c>
      <c r="AD28" s="69">
        <v>0</v>
      </c>
      <c r="AE28" s="68">
        <v>0</v>
      </c>
      <c r="AF28" s="68">
        <v>0</v>
      </c>
      <c r="AG28" s="68">
        <v>0</v>
      </c>
      <c r="AH28" s="69">
        <v>181.00131271680195</v>
      </c>
      <c r="AI28" s="69">
        <v>378.59955759048466</v>
      </c>
      <c r="AJ28" s="69">
        <v>1146.4721476236975</v>
      </c>
      <c r="AK28" s="69">
        <v>197.70517947673798</v>
      </c>
      <c r="AL28" s="69">
        <v>935.70599009195962</v>
      </c>
      <c r="AM28" s="69">
        <v>1295.1708716074627</v>
      </c>
      <c r="AN28" s="69">
        <v>923.73603464762368</v>
      </c>
      <c r="AO28" s="69">
        <v>296.92022409439085</v>
      </c>
      <c r="AP28" s="69">
        <v>42.636566199858983</v>
      </c>
      <c r="AQ28" s="69">
        <v>730.5259372393291</v>
      </c>
    </row>
    <row r="29" spans="1:43">
      <c r="A29" s="11">
        <v>41021</v>
      </c>
      <c r="B29" s="59"/>
      <c r="C29" s="60">
        <v>0</v>
      </c>
      <c r="D29" s="60">
        <v>0</v>
      </c>
      <c r="E29" s="60">
        <v>0</v>
      </c>
      <c r="F29" s="60">
        <v>0</v>
      </c>
      <c r="G29" s="60">
        <v>0</v>
      </c>
      <c r="H29" s="61">
        <v>0</v>
      </c>
      <c r="I29" s="59">
        <v>0</v>
      </c>
      <c r="J29" s="60">
        <v>0</v>
      </c>
      <c r="K29" s="60">
        <v>0</v>
      </c>
      <c r="L29" s="60">
        <v>0</v>
      </c>
      <c r="M29" s="60">
        <v>0</v>
      </c>
      <c r="N29" s="61">
        <v>0</v>
      </c>
      <c r="O29" s="59">
        <v>0</v>
      </c>
      <c r="P29" s="60">
        <v>0</v>
      </c>
      <c r="Q29" s="60">
        <v>0</v>
      </c>
      <c r="R29" s="63">
        <v>0</v>
      </c>
      <c r="S29" s="60">
        <v>0</v>
      </c>
      <c r="T29" s="64">
        <v>0</v>
      </c>
      <c r="U29" s="65">
        <v>0</v>
      </c>
      <c r="V29" s="62">
        <v>0</v>
      </c>
      <c r="W29" s="62">
        <v>0</v>
      </c>
      <c r="X29" s="62">
        <v>0</v>
      </c>
      <c r="Y29" s="66">
        <v>0</v>
      </c>
      <c r="Z29" s="66">
        <v>0</v>
      </c>
      <c r="AA29" s="67">
        <v>0</v>
      </c>
      <c r="AB29" s="68">
        <v>0</v>
      </c>
      <c r="AC29" s="69">
        <v>0</v>
      </c>
      <c r="AD29" s="69">
        <v>0</v>
      </c>
      <c r="AE29" s="68">
        <v>0</v>
      </c>
      <c r="AF29" s="68">
        <v>0</v>
      </c>
      <c r="AG29" s="68">
        <v>0</v>
      </c>
      <c r="AH29" s="69">
        <v>175.84337068398793</v>
      </c>
      <c r="AI29" s="69">
        <v>374.01698300043739</v>
      </c>
      <c r="AJ29" s="69">
        <v>1127.3310707728069</v>
      </c>
      <c r="AK29" s="69">
        <v>216.1591166257858</v>
      </c>
      <c r="AL29" s="69">
        <v>940.58098042805989</v>
      </c>
      <c r="AM29" s="69">
        <v>1202.2757499059041</v>
      </c>
      <c r="AN29" s="69">
        <v>949.04932292302453</v>
      </c>
      <c r="AO29" s="69">
        <v>333.67824645042418</v>
      </c>
      <c r="AP29" s="69">
        <v>73.218024023373928</v>
      </c>
      <c r="AQ29" s="69">
        <v>714.81814645131431</v>
      </c>
    </row>
    <row r="30" spans="1:43">
      <c r="A30" s="11">
        <v>41022</v>
      </c>
      <c r="B30" s="59"/>
      <c r="C30" s="60">
        <v>0</v>
      </c>
      <c r="D30" s="60">
        <v>0</v>
      </c>
      <c r="E30" s="60">
        <v>0</v>
      </c>
      <c r="F30" s="60">
        <v>0</v>
      </c>
      <c r="G30" s="60">
        <v>0</v>
      </c>
      <c r="H30" s="61">
        <v>0</v>
      </c>
      <c r="I30" s="59">
        <v>0</v>
      </c>
      <c r="J30" s="60">
        <v>0</v>
      </c>
      <c r="K30" s="60">
        <v>0</v>
      </c>
      <c r="L30" s="60">
        <v>0</v>
      </c>
      <c r="M30" s="60">
        <v>0</v>
      </c>
      <c r="N30" s="61">
        <v>0</v>
      </c>
      <c r="O30" s="59">
        <v>0</v>
      </c>
      <c r="P30" s="60">
        <v>0</v>
      </c>
      <c r="Q30" s="60">
        <v>0</v>
      </c>
      <c r="R30" s="63">
        <v>0</v>
      </c>
      <c r="S30" s="60">
        <v>0</v>
      </c>
      <c r="T30" s="64">
        <v>0</v>
      </c>
      <c r="U30" s="65">
        <v>0</v>
      </c>
      <c r="V30" s="62">
        <v>134.57351176738732</v>
      </c>
      <c r="W30" s="62">
        <v>0</v>
      </c>
      <c r="X30" s="62">
        <v>0</v>
      </c>
      <c r="Y30" s="66">
        <v>0</v>
      </c>
      <c r="Z30" s="66">
        <v>0</v>
      </c>
      <c r="AA30" s="67">
        <v>0</v>
      </c>
      <c r="AB30" s="68">
        <v>0</v>
      </c>
      <c r="AC30" s="69">
        <v>0</v>
      </c>
      <c r="AD30" s="69">
        <v>0</v>
      </c>
      <c r="AE30" s="68">
        <v>0</v>
      </c>
      <c r="AF30" s="68">
        <v>0</v>
      </c>
      <c r="AG30" s="68">
        <v>0</v>
      </c>
      <c r="AH30" s="69">
        <v>169.75795222123463</v>
      </c>
      <c r="AI30" s="69">
        <v>379.21302169164017</v>
      </c>
      <c r="AJ30" s="69">
        <v>1159.0745627085364</v>
      </c>
      <c r="AK30" s="69">
        <v>216.55328646500902</v>
      </c>
      <c r="AL30" s="69">
        <v>927.53560752868668</v>
      </c>
      <c r="AM30" s="69">
        <v>991.48805459340406</v>
      </c>
      <c r="AN30" s="69">
        <v>940.44529465039568</v>
      </c>
      <c r="AO30" s="69">
        <v>330.07698904673259</v>
      </c>
      <c r="AP30" s="69">
        <v>50.571867609024046</v>
      </c>
      <c r="AQ30" s="69">
        <v>818.01479028065989</v>
      </c>
    </row>
    <row r="31" spans="1:43">
      <c r="A31" s="11">
        <v>41023</v>
      </c>
      <c r="B31" s="59"/>
      <c r="C31" s="60">
        <v>0</v>
      </c>
      <c r="D31" s="60">
        <v>0</v>
      </c>
      <c r="E31" s="60">
        <v>0</v>
      </c>
      <c r="F31" s="60">
        <v>0</v>
      </c>
      <c r="G31" s="60">
        <v>0</v>
      </c>
      <c r="H31" s="61">
        <v>0</v>
      </c>
      <c r="I31" s="59">
        <v>0</v>
      </c>
      <c r="J31" s="60">
        <v>0</v>
      </c>
      <c r="K31" s="60">
        <v>0</v>
      </c>
      <c r="L31" s="60">
        <v>0</v>
      </c>
      <c r="M31" s="60">
        <v>0</v>
      </c>
      <c r="N31" s="61">
        <v>0</v>
      </c>
      <c r="O31" s="59">
        <v>0</v>
      </c>
      <c r="P31" s="60">
        <v>0</v>
      </c>
      <c r="Q31" s="60">
        <v>0</v>
      </c>
      <c r="R31" s="63">
        <v>0</v>
      </c>
      <c r="S31" s="60">
        <v>0</v>
      </c>
      <c r="T31" s="64">
        <v>0</v>
      </c>
      <c r="U31" s="65">
        <v>0</v>
      </c>
      <c r="V31" s="62">
        <v>168.49707050323482</v>
      </c>
      <c r="W31" s="62">
        <v>0</v>
      </c>
      <c r="X31" s="62">
        <v>0</v>
      </c>
      <c r="Y31" s="66">
        <v>0</v>
      </c>
      <c r="Z31" s="66">
        <v>0</v>
      </c>
      <c r="AA31" s="67">
        <v>0</v>
      </c>
      <c r="AB31" s="68">
        <v>0</v>
      </c>
      <c r="AC31" s="69">
        <v>0</v>
      </c>
      <c r="AD31" s="69">
        <v>0</v>
      </c>
      <c r="AE31" s="68">
        <v>0</v>
      </c>
      <c r="AF31" s="68">
        <v>0</v>
      </c>
      <c r="AG31" s="68">
        <v>0</v>
      </c>
      <c r="AH31" s="69">
        <v>163.75754880110421</v>
      </c>
      <c r="AI31" s="69">
        <v>383.65585654576626</v>
      </c>
      <c r="AJ31" s="69">
        <v>1181.1749426523845</v>
      </c>
      <c r="AK31" s="69">
        <v>220.02716966470089</v>
      </c>
      <c r="AL31" s="69">
        <v>922.18185456593835</v>
      </c>
      <c r="AM31" s="69">
        <v>921.30996850331633</v>
      </c>
      <c r="AN31" s="69">
        <v>938.59495315551749</v>
      </c>
      <c r="AO31" s="69">
        <v>411.1701170921325</v>
      </c>
      <c r="AP31" s="69">
        <v>34.009778022766113</v>
      </c>
      <c r="AQ31" s="69">
        <v>858.51450134913114</v>
      </c>
    </row>
    <row r="32" spans="1:43">
      <c r="A32" s="11">
        <v>41024</v>
      </c>
      <c r="B32" s="59"/>
      <c r="C32" s="60">
        <v>0</v>
      </c>
      <c r="D32" s="60">
        <v>0</v>
      </c>
      <c r="E32" s="60">
        <v>0</v>
      </c>
      <c r="F32" s="60">
        <v>0</v>
      </c>
      <c r="G32" s="60">
        <v>0</v>
      </c>
      <c r="H32" s="61">
        <v>0</v>
      </c>
      <c r="I32" s="59">
        <v>0</v>
      </c>
      <c r="J32" s="60">
        <v>0</v>
      </c>
      <c r="K32" s="60">
        <v>0</v>
      </c>
      <c r="L32" s="60">
        <v>0</v>
      </c>
      <c r="M32" s="60">
        <v>0</v>
      </c>
      <c r="N32" s="61">
        <v>0</v>
      </c>
      <c r="O32" s="59">
        <v>0</v>
      </c>
      <c r="P32" s="60">
        <v>0</v>
      </c>
      <c r="Q32" s="60">
        <v>0</v>
      </c>
      <c r="R32" s="63">
        <v>0</v>
      </c>
      <c r="S32" s="60">
        <v>0</v>
      </c>
      <c r="T32" s="64">
        <v>0</v>
      </c>
      <c r="U32" s="65">
        <v>0</v>
      </c>
      <c r="V32" s="62">
        <v>0</v>
      </c>
      <c r="W32" s="62">
        <v>0</v>
      </c>
      <c r="X32" s="62">
        <v>0</v>
      </c>
      <c r="Y32" s="66">
        <v>0</v>
      </c>
      <c r="Z32" s="66">
        <v>0</v>
      </c>
      <c r="AA32" s="67">
        <v>0</v>
      </c>
      <c r="AB32" s="68">
        <v>0</v>
      </c>
      <c r="AC32" s="69">
        <v>0</v>
      </c>
      <c r="AD32" s="69">
        <v>0</v>
      </c>
      <c r="AE32" s="68">
        <v>0</v>
      </c>
      <c r="AF32" s="68">
        <v>0</v>
      </c>
      <c r="AG32" s="68">
        <v>0</v>
      </c>
      <c r="AH32" s="69">
        <v>167.1284296989441</v>
      </c>
      <c r="AI32" s="69">
        <v>395.91895691553754</v>
      </c>
      <c r="AJ32" s="69">
        <v>1175.6604467391967</v>
      </c>
      <c r="AK32" s="69">
        <v>216.40886215368906</v>
      </c>
      <c r="AL32" s="69">
        <v>923.91444199879959</v>
      </c>
      <c r="AM32" s="69">
        <v>1100.0481903711952</v>
      </c>
      <c r="AN32" s="69">
        <v>945.87061077753697</v>
      </c>
      <c r="AO32" s="69">
        <v>419.27960036595653</v>
      </c>
      <c r="AP32" s="69">
        <v>34.009778022766113</v>
      </c>
      <c r="AQ32" s="69">
        <v>845.14635270436588</v>
      </c>
    </row>
    <row r="33" spans="1:43">
      <c r="A33" s="11">
        <v>41025</v>
      </c>
      <c r="B33" s="59"/>
      <c r="C33" s="60">
        <v>0</v>
      </c>
      <c r="D33" s="60">
        <v>0</v>
      </c>
      <c r="E33" s="60">
        <v>0</v>
      </c>
      <c r="F33" s="60">
        <v>0</v>
      </c>
      <c r="G33" s="60">
        <v>0</v>
      </c>
      <c r="H33" s="61">
        <v>0</v>
      </c>
      <c r="I33" s="59">
        <v>0</v>
      </c>
      <c r="J33" s="60">
        <v>0</v>
      </c>
      <c r="K33" s="60">
        <v>0</v>
      </c>
      <c r="L33" s="60">
        <v>0</v>
      </c>
      <c r="M33" s="60">
        <v>0</v>
      </c>
      <c r="N33" s="61">
        <v>0</v>
      </c>
      <c r="O33" s="59">
        <v>0</v>
      </c>
      <c r="P33" s="60">
        <v>0</v>
      </c>
      <c r="Q33" s="60">
        <v>0</v>
      </c>
      <c r="R33" s="63">
        <v>0</v>
      </c>
      <c r="S33" s="60">
        <v>0</v>
      </c>
      <c r="T33" s="64">
        <v>0</v>
      </c>
      <c r="U33" s="65">
        <v>0</v>
      </c>
      <c r="V33" s="62">
        <v>0</v>
      </c>
      <c r="W33" s="62">
        <v>0</v>
      </c>
      <c r="X33" s="62">
        <v>0</v>
      </c>
      <c r="Y33" s="66">
        <v>0</v>
      </c>
      <c r="Z33" s="66">
        <v>0</v>
      </c>
      <c r="AA33" s="67">
        <v>0</v>
      </c>
      <c r="AB33" s="68">
        <v>0</v>
      </c>
      <c r="AC33" s="69">
        <v>0</v>
      </c>
      <c r="AD33" s="69">
        <v>0</v>
      </c>
      <c r="AE33" s="68">
        <v>0</v>
      </c>
      <c r="AF33" s="68">
        <v>0</v>
      </c>
      <c r="AG33" s="68">
        <v>0</v>
      </c>
      <c r="AH33" s="69">
        <v>289.19908754825593</v>
      </c>
      <c r="AI33" s="69">
        <v>514.55569224357612</v>
      </c>
      <c r="AJ33" s="69">
        <v>1179.3963596979775</v>
      </c>
      <c r="AK33" s="69">
        <v>206.18685154914857</v>
      </c>
      <c r="AL33" s="69">
        <v>925.9034185727437</v>
      </c>
      <c r="AM33" s="69">
        <v>1093.3594264984131</v>
      </c>
      <c r="AN33" s="69">
        <v>983.53443183898912</v>
      </c>
      <c r="AO33" s="69">
        <v>633.03404768308008</v>
      </c>
      <c r="AP33" s="69">
        <v>34.009778022766113</v>
      </c>
      <c r="AQ33" s="69">
        <v>822.07787990570068</v>
      </c>
    </row>
    <row r="34" spans="1:43">
      <c r="A34" s="11">
        <v>41026</v>
      </c>
      <c r="B34" s="59"/>
      <c r="C34" s="60">
        <v>0</v>
      </c>
      <c r="D34" s="60">
        <v>0</v>
      </c>
      <c r="E34" s="60">
        <v>0</v>
      </c>
      <c r="F34" s="60">
        <v>0</v>
      </c>
      <c r="G34" s="60">
        <v>0</v>
      </c>
      <c r="H34" s="61">
        <v>0</v>
      </c>
      <c r="I34" s="59">
        <v>0</v>
      </c>
      <c r="J34" s="60">
        <v>0</v>
      </c>
      <c r="K34" s="60">
        <v>0</v>
      </c>
      <c r="L34" s="60">
        <v>0</v>
      </c>
      <c r="M34" s="60">
        <v>0</v>
      </c>
      <c r="N34" s="61">
        <v>0</v>
      </c>
      <c r="O34" s="59">
        <v>0</v>
      </c>
      <c r="P34" s="60">
        <v>0</v>
      </c>
      <c r="Q34" s="60">
        <v>0</v>
      </c>
      <c r="R34" s="63">
        <v>0</v>
      </c>
      <c r="S34" s="60">
        <v>0</v>
      </c>
      <c r="T34" s="64">
        <v>0</v>
      </c>
      <c r="U34" s="65">
        <v>0</v>
      </c>
      <c r="V34" s="62">
        <v>0</v>
      </c>
      <c r="W34" s="62">
        <v>0</v>
      </c>
      <c r="X34" s="62">
        <v>0</v>
      </c>
      <c r="Y34" s="66">
        <v>0</v>
      </c>
      <c r="Z34" s="66">
        <v>0</v>
      </c>
      <c r="AA34" s="67">
        <v>0</v>
      </c>
      <c r="AB34" s="68">
        <v>0</v>
      </c>
      <c r="AC34" s="69">
        <v>0</v>
      </c>
      <c r="AD34" s="69">
        <v>0</v>
      </c>
      <c r="AE34" s="68">
        <v>0</v>
      </c>
      <c r="AF34" s="68">
        <v>0</v>
      </c>
      <c r="AG34" s="68">
        <v>0</v>
      </c>
      <c r="AH34" s="69">
        <v>173.67776637872061</v>
      </c>
      <c r="AI34" s="69">
        <v>373.72874487241108</v>
      </c>
      <c r="AJ34" s="69">
        <v>1153.14971593221</v>
      </c>
      <c r="AK34" s="69">
        <v>194.28250361283619</v>
      </c>
      <c r="AL34" s="69">
        <v>920.19161936442049</v>
      </c>
      <c r="AM34" s="69">
        <v>1208.7540556589763</v>
      </c>
      <c r="AN34" s="69">
        <v>1011.8577889760336</v>
      </c>
      <c r="AO34" s="69">
        <v>452.69569675127667</v>
      </c>
      <c r="AP34" s="69">
        <v>66.423727264006928</v>
      </c>
      <c r="AQ34" s="69">
        <v>679.01372467676811</v>
      </c>
    </row>
    <row r="35" spans="1:43">
      <c r="A35" s="11">
        <v>41027</v>
      </c>
      <c r="B35" s="59"/>
      <c r="C35" s="60">
        <v>0</v>
      </c>
      <c r="D35" s="60">
        <v>0</v>
      </c>
      <c r="E35" s="60">
        <v>0</v>
      </c>
      <c r="F35" s="60">
        <v>0</v>
      </c>
      <c r="G35" s="60">
        <v>0</v>
      </c>
      <c r="H35" s="61">
        <v>0</v>
      </c>
      <c r="I35" s="59">
        <v>0</v>
      </c>
      <c r="J35" s="60">
        <v>0</v>
      </c>
      <c r="K35" s="60">
        <v>0</v>
      </c>
      <c r="L35" s="60">
        <v>0</v>
      </c>
      <c r="M35" s="60">
        <v>0</v>
      </c>
      <c r="N35" s="61">
        <v>0</v>
      </c>
      <c r="O35" s="59">
        <v>0</v>
      </c>
      <c r="P35" s="60">
        <v>0</v>
      </c>
      <c r="Q35" s="60">
        <v>0</v>
      </c>
      <c r="R35" s="63">
        <v>0</v>
      </c>
      <c r="S35" s="60">
        <v>0</v>
      </c>
      <c r="T35" s="64">
        <v>0</v>
      </c>
      <c r="U35" s="65">
        <v>0</v>
      </c>
      <c r="V35" s="62">
        <v>0</v>
      </c>
      <c r="W35" s="62">
        <v>0</v>
      </c>
      <c r="X35" s="62">
        <v>0</v>
      </c>
      <c r="Y35" s="66">
        <v>0</v>
      </c>
      <c r="Z35" s="66">
        <v>0</v>
      </c>
      <c r="AA35" s="67">
        <v>0</v>
      </c>
      <c r="AB35" s="68">
        <v>0</v>
      </c>
      <c r="AC35" s="69">
        <v>0</v>
      </c>
      <c r="AD35" s="69">
        <v>0</v>
      </c>
      <c r="AE35" s="68">
        <v>0</v>
      </c>
      <c r="AF35" s="68">
        <v>0</v>
      </c>
      <c r="AG35" s="68">
        <v>0</v>
      </c>
      <c r="AH35" s="69">
        <v>212.26540650526684</v>
      </c>
      <c r="AI35" s="69">
        <v>403.73865590095517</v>
      </c>
      <c r="AJ35" s="69">
        <v>1139.3226554870603</v>
      </c>
      <c r="AK35" s="69">
        <v>182.02617487907409</v>
      </c>
      <c r="AL35" s="69">
        <v>933.36808567047115</v>
      </c>
      <c r="AM35" s="69">
        <v>1143.4718804677327</v>
      </c>
      <c r="AN35" s="69">
        <v>1048.741066233317</v>
      </c>
      <c r="AO35" s="69">
        <v>187.37077109813688</v>
      </c>
      <c r="AP35" s="69">
        <v>57.518836297591534</v>
      </c>
      <c r="AQ35" s="69">
        <v>603.86816771825147</v>
      </c>
    </row>
    <row r="36" spans="1:43">
      <c r="A36" s="11">
        <v>41028</v>
      </c>
      <c r="B36" s="59"/>
      <c r="C36" s="60">
        <v>0</v>
      </c>
      <c r="D36" s="60">
        <v>0</v>
      </c>
      <c r="E36" s="60">
        <v>0</v>
      </c>
      <c r="F36" s="60">
        <v>0</v>
      </c>
      <c r="G36" s="60">
        <v>0</v>
      </c>
      <c r="H36" s="61">
        <v>0</v>
      </c>
      <c r="I36" s="59">
        <v>0</v>
      </c>
      <c r="J36" s="60">
        <v>0</v>
      </c>
      <c r="K36" s="60">
        <v>0</v>
      </c>
      <c r="L36" s="60">
        <v>0</v>
      </c>
      <c r="M36" s="60">
        <v>0</v>
      </c>
      <c r="N36" s="61">
        <v>0</v>
      </c>
      <c r="O36" s="59">
        <v>0</v>
      </c>
      <c r="P36" s="60">
        <v>0</v>
      </c>
      <c r="Q36" s="60">
        <v>0</v>
      </c>
      <c r="R36" s="63">
        <v>0</v>
      </c>
      <c r="S36" s="60">
        <v>0</v>
      </c>
      <c r="T36" s="64">
        <v>0</v>
      </c>
      <c r="U36" s="65">
        <v>0</v>
      </c>
      <c r="V36" s="62">
        <v>0</v>
      </c>
      <c r="W36" s="62">
        <v>0</v>
      </c>
      <c r="X36" s="62">
        <v>0</v>
      </c>
      <c r="Y36" s="66">
        <v>0</v>
      </c>
      <c r="Z36" s="66">
        <v>0</v>
      </c>
      <c r="AA36" s="67">
        <v>0</v>
      </c>
      <c r="AB36" s="68">
        <v>0</v>
      </c>
      <c r="AC36" s="69">
        <v>0</v>
      </c>
      <c r="AD36" s="69">
        <v>0</v>
      </c>
      <c r="AE36" s="68">
        <v>0</v>
      </c>
      <c r="AF36" s="68">
        <v>0</v>
      </c>
      <c r="AG36" s="68">
        <v>0</v>
      </c>
      <c r="AH36" s="69">
        <v>207.17270534038542</v>
      </c>
      <c r="AI36" s="69">
        <v>398.35642317136131</v>
      </c>
      <c r="AJ36" s="69">
        <v>1161.9309187571207</v>
      </c>
      <c r="AK36" s="69">
        <v>182.50092768669128</v>
      </c>
      <c r="AL36" s="69">
        <v>938.43411331176753</v>
      </c>
      <c r="AM36" s="69">
        <v>1225.9800141016644</v>
      </c>
      <c r="AN36" s="69">
        <v>1027.501566060384</v>
      </c>
      <c r="AO36" s="69">
        <v>204.08492753505709</v>
      </c>
      <c r="AP36" s="69">
        <v>62.256367266178131</v>
      </c>
      <c r="AQ36" s="69">
        <v>619.55859330495196</v>
      </c>
    </row>
    <row r="37" spans="1:43">
      <c r="A37" s="11">
        <v>41029</v>
      </c>
      <c r="B37" s="59"/>
      <c r="C37" s="60">
        <v>0</v>
      </c>
      <c r="D37" s="60">
        <v>0</v>
      </c>
      <c r="E37" s="60">
        <v>0</v>
      </c>
      <c r="F37" s="60">
        <v>0</v>
      </c>
      <c r="G37" s="60">
        <v>0</v>
      </c>
      <c r="H37" s="61">
        <v>0</v>
      </c>
      <c r="I37" s="59">
        <v>83.773042122522924</v>
      </c>
      <c r="J37" s="60">
        <v>313.0764639377598</v>
      </c>
      <c r="K37" s="60">
        <v>2.9285905202229756</v>
      </c>
      <c r="L37" s="60">
        <v>0</v>
      </c>
      <c r="M37" s="60">
        <v>0</v>
      </c>
      <c r="N37" s="61">
        <v>0</v>
      </c>
      <c r="O37" s="59">
        <v>0</v>
      </c>
      <c r="P37" s="60">
        <v>0</v>
      </c>
      <c r="Q37" s="60">
        <v>0</v>
      </c>
      <c r="R37" s="63">
        <v>0</v>
      </c>
      <c r="S37" s="60">
        <v>0</v>
      </c>
      <c r="T37" s="64">
        <v>0</v>
      </c>
      <c r="U37" s="65">
        <v>0</v>
      </c>
      <c r="V37" s="62">
        <v>0</v>
      </c>
      <c r="W37" s="62">
        <v>0</v>
      </c>
      <c r="X37" s="62">
        <v>0</v>
      </c>
      <c r="Y37" s="66">
        <v>0</v>
      </c>
      <c r="Z37" s="66">
        <v>0</v>
      </c>
      <c r="AA37" s="67">
        <v>0</v>
      </c>
      <c r="AB37" s="68">
        <v>0</v>
      </c>
      <c r="AC37" s="69">
        <v>0</v>
      </c>
      <c r="AD37" s="69">
        <v>0</v>
      </c>
      <c r="AE37" s="68">
        <v>0</v>
      </c>
      <c r="AF37" s="68">
        <v>0</v>
      </c>
      <c r="AG37" s="68">
        <v>0</v>
      </c>
      <c r="AH37" s="69">
        <v>203.19813250700633</v>
      </c>
      <c r="AI37" s="69">
        <v>399.7337776501974</v>
      </c>
      <c r="AJ37" s="69">
        <v>1186.432766723633</v>
      </c>
      <c r="AK37" s="69">
        <v>591.26214464505506</v>
      </c>
      <c r="AL37" s="69">
        <v>928.81810805002863</v>
      </c>
      <c r="AM37" s="69">
        <v>1208.4237892150879</v>
      </c>
      <c r="AN37" s="69">
        <v>963.05341939926166</v>
      </c>
      <c r="AO37" s="69">
        <v>156.03353075981138</v>
      </c>
      <c r="AP37" s="69">
        <v>50.248415942986803</v>
      </c>
      <c r="AQ37" s="69">
        <v>815.4762349128722</v>
      </c>
    </row>
    <row r="38" spans="1:43" ht="15.75" thickBot="1">
      <c r="A38" s="11"/>
      <c r="B38" s="73"/>
      <c r="C38" s="74"/>
      <c r="D38" s="74"/>
      <c r="E38" s="74"/>
      <c r="F38" s="74"/>
      <c r="G38" s="74"/>
      <c r="H38" s="75"/>
      <c r="I38" s="76"/>
      <c r="J38" s="74"/>
      <c r="K38" s="74"/>
      <c r="L38" s="74"/>
      <c r="M38" s="74"/>
      <c r="N38" s="75"/>
      <c r="O38" s="76"/>
      <c r="P38" s="74"/>
      <c r="Q38" s="74"/>
      <c r="R38" s="77"/>
      <c r="S38" s="74"/>
      <c r="T38" s="78"/>
      <c r="U38" s="79"/>
      <c r="V38" s="80"/>
      <c r="W38" s="81"/>
      <c r="X38" s="81"/>
      <c r="Y38" s="80"/>
      <c r="Z38" s="80"/>
      <c r="AA38" s="82"/>
      <c r="AB38" s="83"/>
      <c r="AC38" s="84"/>
      <c r="AD38" s="85"/>
      <c r="AE38" s="83"/>
      <c r="AF38" s="83"/>
      <c r="AG38" s="83"/>
      <c r="AH38" s="84"/>
      <c r="AI38" s="84"/>
      <c r="AJ38" s="84"/>
      <c r="AK38" s="84"/>
      <c r="AL38" s="84"/>
      <c r="AM38" s="84"/>
      <c r="AN38" s="84"/>
      <c r="AO38" s="84"/>
      <c r="AP38" s="84"/>
      <c r="AQ38" s="84"/>
    </row>
    <row r="39" spans="1:43" ht="15.75" thickTop="1">
      <c r="A39" s="46" t="s">
        <v>170</v>
      </c>
      <c r="B39" s="29">
        <f>SUM(B8:B38)</f>
        <v>0</v>
      </c>
      <c r="C39" s="30">
        <f t="shared" ref="C39:AC39" si="0">SUM(C8:C38)</f>
        <v>0</v>
      </c>
      <c r="D39" s="30">
        <f t="shared" si="0"/>
        <v>0</v>
      </c>
      <c r="E39" s="30">
        <f t="shared" si="0"/>
        <v>0</v>
      </c>
      <c r="F39" s="30">
        <f t="shared" si="0"/>
        <v>0</v>
      </c>
      <c r="G39" s="30">
        <f t="shared" si="0"/>
        <v>0</v>
      </c>
      <c r="H39" s="31">
        <f t="shared" si="0"/>
        <v>0</v>
      </c>
      <c r="I39" s="29">
        <f t="shared" si="0"/>
        <v>83.773042122522924</v>
      </c>
      <c r="J39" s="30">
        <f t="shared" si="0"/>
        <v>313.0764639377598</v>
      </c>
      <c r="K39" s="30">
        <f t="shared" si="0"/>
        <v>2.9285905202229756</v>
      </c>
      <c r="L39" s="30">
        <f t="shared" si="0"/>
        <v>0</v>
      </c>
      <c r="M39" s="30">
        <f t="shared" si="0"/>
        <v>0</v>
      </c>
      <c r="N39" s="31">
        <f t="shared" si="0"/>
        <v>0</v>
      </c>
      <c r="O39" s="260">
        <f t="shared" si="0"/>
        <v>0</v>
      </c>
      <c r="P39" s="261">
        <f t="shared" si="0"/>
        <v>0</v>
      </c>
      <c r="Q39" s="261">
        <f t="shared" si="0"/>
        <v>0</v>
      </c>
      <c r="R39" s="261">
        <f t="shared" si="0"/>
        <v>0</v>
      </c>
      <c r="S39" s="261">
        <f t="shared" si="0"/>
        <v>0</v>
      </c>
      <c r="T39" s="262">
        <f t="shared" si="0"/>
        <v>0</v>
      </c>
      <c r="U39" s="260">
        <f t="shared" si="0"/>
        <v>0</v>
      </c>
      <c r="V39" s="261">
        <f t="shared" si="0"/>
        <v>303.07058227062214</v>
      </c>
      <c r="W39" s="261">
        <f t="shared" si="0"/>
        <v>0</v>
      </c>
      <c r="X39" s="261">
        <f t="shared" si="0"/>
        <v>0</v>
      </c>
      <c r="Y39" s="261">
        <f t="shared" si="0"/>
        <v>0</v>
      </c>
      <c r="Z39" s="261">
        <f t="shared" si="0"/>
        <v>0</v>
      </c>
      <c r="AA39" s="269">
        <f t="shared" si="0"/>
        <v>0</v>
      </c>
      <c r="AB39" s="272">
        <f t="shared" si="0"/>
        <v>0</v>
      </c>
      <c r="AC39" s="272">
        <f t="shared" si="0"/>
        <v>0</v>
      </c>
      <c r="AD39" s="275" t="s">
        <v>29</v>
      </c>
      <c r="AE39" s="275" t="s">
        <v>29</v>
      </c>
      <c r="AF39" s="275" t="s">
        <v>29</v>
      </c>
      <c r="AG39" s="275" t="s">
        <v>158</v>
      </c>
      <c r="AH39" s="272">
        <f t="shared" ref="AH39:AQ39" si="1">SUM(AH8:AH38)</f>
        <v>5910.8441808700563</v>
      </c>
      <c r="AI39" s="272">
        <f t="shared" si="1"/>
        <v>12055.176930745441</v>
      </c>
      <c r="AJ39" s="272">
        <f t="shared" si="1"/>
        <v>33493.032093493144</v>
      </c>
      <c r="AK39" s="272">
        <f t="shared" si="1"/>
        <v>6708.1625303030014</v>
      </c>
      <c r="AL39" s="272">
        <f t="shared" si="1"/>
        <v>28279.412557506559</v>
      </c>
      <c r="AM39" s="272">
        <f t="shared" si="1"/>
        <v>35372.310205713911</v>
      </c>
      <c r="AN39" s="272">
        <f t="shared" si="1"/>
        <v>26614.33602263132</v>
      </c>
      <c r="AO39" s="272">
        <f t="shared" si="1"/>
        <v>9430.4162920713425</v>
      </c>
      <c r="AP39" s="272">
        <f t="shared" si="1"/>
        <v>2086.7622236867751</v>
      </c>
      <c r="AQ39" s="272">
        <f t="shared" si="1"/>
        <v>21442.509005769094</v>
      </c>
    </row>
    <row r="40" spans="1:43" ht="15.75" thickBot="1">
      <c r="A40" s="47" t="s">
        <v>171</v>
      </c>
      <c r="B40" s="32">
        <f>Projection!$AB$30</f>
        <v>0.91139353199999984</v>
      </c>
      <c r="C40" s="33">
        <f>Projection!$AB$28</f>
        <v>1.4375491199999999</v>
      </c>
      <c r="D40" s="33">
        <f>Projection!$AB$31</f>
        <v>2.2476299999999996</v>
      </c>
      <c r="E40" s="33">
        <f>Projection!$AB$26</f>
        <v>4.7363493840000004</v>
      </c>
      <c r="F40" s="33">
        <f>Projection!$AB$23</f>
        <v>5.8379999999999994E-2</v>
      </c>
      <c r="G40" s="33">
        <f>Projection!$AB$24</f>
        <v>5.3200000000000004E-2</v>
      </c>
      <c r="H40" s="34">
        <f>Projection!$AB$29</f>
        <v>3.6371774160000006</v>
      </c>
      <c r="I40" s="32">
        <f>Projection!$AB$30</f>
        <v>0.91139353199999984</v>
      </c>
      <c r="J40" s="33">
        <f>Projection!$AB$28</f>
        <v>1.4375491199999999</v>
      </c>
      <c r="K40" s="33">
        <f>Projection!$AB$26</f>
        <v>4.7363493840000004</v>
      </c>
      <c r="L40" s="33">
        <f>Projection!$AB$25</f>
        <v>0.37613399999999997</v>
      </c>
      <c r="M40" s="33">
        <f>Projection!$AB$23</f>
        <v>5.8379999999999994E-2</v>
      </c>
      <c r="N40" s="34">
        <f>Projection!$AB$23</f>
        <v>5.8379999999999994E-2</v>
      </c>
      <c r="O40" s="26">
        <v>15.77</v>
      </c>
      <c r="P40" s="27">
        <v>15.77</v>
      </c>
      <c r="Q40" s="27">
        <v>15.77</v>
      </c>
      <c r="R40" s="27">
        <v>15.77</v>
      </c>
      <c r="S40" s="27">
        <f>Projection!$AB$28</f>
        <v>1.4375491199999999</v>
      </c>
      <c r="T40" s="38">
        <f>Projection!$AB$28</f>
        <v>1.4375491199999999</v>
      </c>
      <c r="U40" s="26">
        <f>Projection!$AB$27</f>
        <v>0.29749999999999999</v>
      </c>
      <c r="V40" s="27">
        <f>Projection!$AB$27</f>
        <v>0.29749999999999999</v>
      </c>
      <c r="W40" s="27">
        <f>Projection!$AB$22</f>
        <v>1.1475</v>
      </c>
      <c r="X40" s="27">
        <f>Projection!$AB$22</f>
        <v>1.1475</v>
      </c>
      <c r="Y40" s="27">
        <f>Projection!$AB$31</f>
        <v>2.2476299999999996</v>
      </c>
      <c r="Z40" s="27">
        <f>Projection!$AB$31</f>
        <v>2.2476299999999996</v>
      </c>
      <c r="AA40" s="28">
        <v>0</v>
      </c>
      <c r="AB40" s="41">
        <f>Projection!$AB$27</f>
        <v>0.29749999999999999</v>
      </c>
      <c r="AC40" s="41">
        <f>Projection!$AB$30</f>
        <v>0.91139353199999984</v>
      </c>
      <c r="AD40" s="276">
        <f>SUM(AD8:AD38)</f>
        <v>0</v>
      </c>
      <c r="AE40" s="276">
        <f>SUM(AE8:AE38)</f>
        <v>0</v>
      </c>
      <c r="AF40" s="276">
        <f>SUM(AF8:AF38)</f>
        <v>0</v>
      </c>
      <c r="AG40" s="276">
        <v>0.5</v>
      </c>
      <c r="AH40" s="303">
        <v>7.0000000000000007E-2</v>
      </c>
      <c r="AI40" s="303">
        <f t="shared" ref="AI40:AQ40" si="2">$AH$40</f>
        <v>7.0000000000000007E-2</v>
      </c>
      <c r="AJ40" s="303">
        <f t="shared" si="2"/>
        <v>7.0000000000000007E-2</v>
      </c>
      <c r="AK40" s="303">
        <f t="shared" si="2"/>
        <v>7.0000000000000007E-2</v>
      </c>
      <c r="AL40" s="303">
        <f t="shared" si="2"/>
        <v>7.0000000000000007E-2</v>
      </c>
      <c r="AM40" s="303">
        <f t="shared" si="2"/>
        <v>7.0000000000000007E-2</v>
      </c>
      <c r="AN40" s="303">
        <f t="shared" si="2"/>
        <v>7.0000000000000007E-2</v>
      </c>
      <c r="AO40" s="303">
        <f t="shared" si="2"/>
        <v>7.0000000000000007E-2</v>
      </c>
      <c r="AP40" s="303">
        <f t="shared" si="2"/>
        <v>7.0000000000000007E-2</v>
      </c>
      <c r="AQ40" s="303">
        <f t="shared" si="2"/>
        <v>7.0000000000000007E-2</v>
      </c>
    </row>
    <row r="41" spans="1:43" ht="16.5" thickTop="1" thickBot="1">
      <c r="A41" s="48" t="s">
        <v>26</v>
      </c>
      <c r="B41" s="35">
        <f t="shared" ref="B41:AC41" si="3">B40*B39</f>
        <v>0</v>
      </c>
      <c r="C41" s="36">
        <f t="shared" si="3"/>
        <v>0</v>
      </c>
      <c r="D41" s="36">
        <f t="shared" si="3"/>
        <v>0</v>
      </c>
      <c r="E41" s="36">
        <f t="shared" si="3"/>
        <v>0</v>
      </c>
      <c r="F41" s="36">
        <f t="shared" si="3"/>
        <v>0</v>
      </c>
      <c r="G41" s="36">
        <f t="shared" si="3"/>
        <v>0</v>
      </c>
      <c r="H41" s="37">
        <f t="shared" si="3"/>
        <v>0</v>
      </c>
      <c r="I41" s="35">
        <f t="shared" si="3"/>
        <v>76.350208746430937</v>
      </c>
      <c r="J41" s="36">
        <f t="shared" si="3"/>
        <v>450.06279522643831</v>
      </c>
      <c r="K41" s="36">
        <f t="shared" si="3"/>
        <v>13.870827906446332</v>
      </c>
      <c r="L41" s="36">
        <f t="shared" si="3"/>
        <v>0</v>
      </c>
      <c r="M41" s="36">
        <f t="shared" si="3"/>
        <v>0</v>
      </c>
      <c r="N41" s="37">
        <f t="shared" si="3"/>
        <v>0</v>
      </c>
      <c r="O41" s="266">
        <f t="shared" si="3"/>
        <v>0</v>
      </c>
      <c r="P41" s="267">
        <f t="shared" si="3"/>
        <v>0</v>
      </c>
      <c r="Q41" s="267">
        <f t="shared" si="3"/>
        <v>0</v>
      </c>
      <c r="R41" s="267">
        <f t="shared" si="3"/>
        <v>0</v>
      </c>
      <c r="S41" s="267">
        <f t="shared" si="3"/>
        <v>0</v>
      </c>
      <c r="T41" s="268">
        <f t="shared" si="3"/>
        <v>0</v>
      </c>
      <c r="U41" s="266">
        <f t="shared" si="3"/>
        <v>0</v>
      </c>
      <c r="V41" s="267">
        <f t="shared" si="3"/>
        <v>90.163498225510082</v>
      </c>
      <c r="W41" s="267">
        <f t="shared" si="3"/>
        <v>0</v>
      </c>
      <c r="X41" s="267">
        <f t="shared" si="3"/>
        <v>0</v>
      </c>
      <c r="Y41" s="267">
        <f t="shared" si="3"/>
        <v>0</v>
      </c>
      <c r="Z41" s="267">
        <f t="shared" si="3"/>
        <v>0</v>
      </c>
      <c r="AA41" s="271">
        <f t="shared" si="3"/>
        <v>0</v>
      </c>
      <c r="AB41" s="274">
        <f t="shared" si="3"/>
        <v>0</v>
      </c>
      <c r="AC41" s="274">
        <f t="shared" si="3"/>
        <v>0</v>
      </c>
      <c r="AH41" s="277">
        <f t="shared" ref="AH41:AQ41" si="4">AH40*AH39</f>
        <v>413.759092660904</v>
      </c>
      <c r="AI41" s="277">
        <f t="shared" si="4"/>
        <v>843.86238515218099</v>
      </c>
      <c r="AJ41" s="277">
        <f t="shared" si="4"/>
        <v>2344.5122465445202</v>
      </c>
      <c r="AK41" s="277">
        <f t="shared" si="4"/>
        <v>469.57137712121016</v>
      </c>
      <c r="AL41" s="277">
        <f t="shared" si="4"/>
        <v>1979.5588790254594</v>
      </c>
      <c r="AM41" s="277">
        <f t="shared" si="4"/>
        <v>2476.0617143999739</v>
      </c>
      <c r="AN41" s="277">
        <f t="shared" si="4"/>
        <v>1863.0035215841926</v>
      </c>
      <c r="AO41" s="277">
        <f t="shared" si="4"/>
        <v>660.12914044499405</v>
      </c>
      <c r="AP41" s="277">
        <f t="shared" si="4"/>
        <v>146.07335565807426</v>
      </c>
      <c r="AQ41" s="277">
        <f t="shared" si="4"/>
        <v>1500.9756304038367</v>
      </c>
    </row>
    <row r="42" spans="1:43" ht="49.5" customHeight="1" thickTop="1" thickBot="1">
      <c r="A42" s="740" t="s">
        <v>210</v>
      </c>
      <c r="B42" s="741"/>
      <c r="C42" s="741"/>
      <c r="D42" s="741"/>
      <c r="E42" s="741"/>
      <c r="F42" s="741"/>
      <c r="G42" s="741"/>
      <c r="H42" s="741"/>
      <c r="I42" s="741"/>
      <c r="J42" s="741"/>
      <c r="K42" s="723"/>
      <c r="L42" s="44"/>
      <c r="M42" s="44"/>
      <c r="N42" s="44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  <c r="AA42" s="45"/>
      <c r="AB42" s="45"/>
      <c r="AC42" s="45"/>
      <c r="AG42" s="295" t="s">
        <v>183</v>
      </c>
      <c r="AH42" s="294">
        <v>445.78</v>
      </c>
      <c r="AI42" s="277" t="s">
        <v>196</v>
      </c>
      <c r="AJ42" s="277">
        <v>1096.81</v>
      </c>
      <c r="AK42" s="277">
        <v>382.75</v>
      </c>
      <c r="AL42" s="277">
        <v>645.17999999999995</v>
      </c>
      <c r="AM42" s="277">
        <v>1757.26</v>
      </c>
      <c r="AN42" s="277">
        <v>1224.3499999999999</v>
      </c>
      <c r="AO42" s="277" t="s">
        <v>196</v>
      </c>
      <c r="AP42" s="277">
        <v>54.74</v>
      </c>
      <c r="AQ42" s="277">
        <v>306.52</v>
      </c>
    </row>
    <row r="43" spans="1:43" ht="38.25" customHeight="1" thickTop="1" thickBot="1">
      <c r="A43" s="726" t="s">
        <v>49</v>
      </c>
      <c r="B43" s="722"/>
      <c r="C43" s="288"/>
      <c r="D43" s="722" t="s">
        <v>47</v>
      </c>
      <c r="E43" s="722"/>
      <c r="F43" s="288"/>
      <c r="G43" s="722" t="s">
        <v>48</v>
      </c>
      <c r="H43" s="722"/>
      <c r="I43" s="289"/>
      <c r="J43" s="722" t="s">
        <v>50</v>
      </c>
      <c r="K43" s="723"/>
      <c r="L43" s="44"/>
      <c r="M43" s="44"/>
      <c r="N43" s="44"/>
      <c r="O43" s="45"/>
      <c r="P43" s="45"/>
      <c r="Q43" s="45"/>
      <c r="R43" s="729" t="s">
        <v>165</v>
      </c>
      <c r="S43" s="730"/>
      <c r="T43" s="730"/>
      <c r="U43" s="731"/>
      <c r="AC43" s="45"/>
      <c r="AQ43" s="324" t="s">
        <v>205</v>
      </c>
    </row>
    <row r="44" spans="1:43" ht="24.75" thickTop="1" thickBot="1">
      <c r="A44" s="281" t="s">
        <v>135</v>
      </c>
      <c r="B44" s="282">
        <f>SUM(B41:AC41)</f>
        <v>630.44733010482571</v>
      </c>
      <c r="C44" s="12"/>
      <c r="D44" s="281" t="s">
        <v>135</v>
      </c>
      <c r="E44" s="282">
        <f>SUM(B41:H41)+P41+R41+T41+V41+X41+Z41</f>
        <v>90.163498225510082</v>
      </c>
      <c r="F44" s="12"/>
      <c r="G44" s="281" t="s">
        <v>135</v>
      </c>
      <c r="H44" s="282">
        <f>SUM(I41:N41)+O41+Q41+S41+U41+W41+Y41</f>
        <v>540.28383187931558</v>
      </c>
      <c r="I44" s="12"/>
      <c r="J44" s="281" t="s">
        <v>197</v>
      </c>
      <c r="K44" s="282">
        <v>111638.82</v>
      </c>
      <c r="L44" s="12"/>
      <c r="M44" s="12"/>
      <c r="N44" s="12"/>
      <c r="O44" s="12"/>
      <c r="P44" s="12"/>
      <c r="Q44" s="12"/>
      <c r="R44" s="308" t="s">
        <v>135</v>
      </c>
      <c r="S44" s="309"/>
      <c r="T44" s="304" t="s">
        <v>166</v>
      </c>
      <c r="U44" s="254" t="s">
        <v>167</v>
      </c>
    </row>
    <row r="45" spans="1:43" ht="24" thickBot="1">
      <c r="A45" s="283" t="s">
        <v>182</v>
      </c>
      <c r="B45" s="284">
        <f>SUM(AH41:AQ41)</f>
        <v>12697.507342995348</v>
      </c>
      <c r="C45" s="12"/>
      <c r="D45" s="283" t="s">
        <v>182</v>
      </c>
      <c r="E45" s="284">
        <f>AH41*(1-$AG$40)+AI41+AJ41*0.5+AL41+AM41*(1-$AG$40)+AN41*(1-$AG$40)+AO41*(1-$AG$40)+AP41*0.5+AQ41*0.5</f>
        <v>7525.6786150258886</v>
      </c>
      <c r="F45" s="24"/>
      <c r="G45" s="283" t="s">
        <v>182</v>
      </c>
      <c r="H45" s="284">
        <f>AH41*AG40+AJ41*0.5+AK41+AM41*AG40+AN41*AG40+AO41*AG40+AP41*0.5+AQ41*0.5</f>
        <v>5171.8287279694587</v>
      </c>
      <c r="I45" s="12"/>
      <c r="J45" s="12"/>
      <c r="K45" s="287"/>
      <c r="L45" s="12"/>
      <c r="M45" s="12"/>
      <c r="N45" s="12"/>
      <c r="O45" s="12"/>
      <c r="P45" s="12"/>
      <c r="Q45" s="12"/>
      <c r="R45" s="306" t="s">
        <v>140</v>
      </c>
      <c r="S45" s="307"/>
      <c r="T45" s="253">
        <f>$W$39+$X$39</f>
        <v>0</v>
      </c>
      <c r="U45" s="255">
        <f>(T45*8.34*0.895)/27000</f>
        <v>0</v>
      </c>
    </row>
    <row r="46" spans="1:43" ht="32.25" thickBot="1">
      <c r="A46" s="285" t="s">
        <v>183</v>
      </c>
      <c r="B46" s="286">
        <f>SUM(AH42:AQ42)</f>
        <v>5913.3899999999994</v>
      </c>
      <c r="C46" s="12"/>
      <c r="D46" s="285" t="s">
        <v>183</v>
      </c>
      <c r="E46" s="286">
        <f>AH42*(1-$AG$40)+AJ42*0.5+AL42+AM42*(1-$AG$40)+AN42*(1-$AG$40)+AP42*0.5+AQ42*0.5</f>
        <v>3087.91</v>
      </c>
      <c r="F46" s="23"/>
      <c r="G46" s="285" t="s">
        <v>183</v>
      </c>
      <c r="H46" s="286">
        <f>AH42*AG40+AJ42*0.5+AK42+AM42*AG40+AN42*AG40+AP42*0.5+AQ42*0.5</f>
        <v>2825.4800000000005</v>
      </c>
      <c r="I46" s="12"/>
      <c r="J46" s="724" t="s">
        <v>198</v>
      </c>
      <c r="K46" s="725"/>
      <c r="L46" s="12"/>
      <c r="M46" s="12"/>
      <c r="N46" s="12"/>
      <c r="O46" s="12"/>
      <c r="P46" s="12"/>
      <c r="Q46" s="12"/>
      <c r="R46" s="306" t="s">
        <v>144</v>
      </c>
      <c r="S46" s="307"/>
      <c r="T46" s="253">
        <f>$M$39+$N$39+$F$39</f>
        <v>0</v>
      </c>
      <c r="U46" s="256">
        <f>(((T46*8.34)*0.005)/(8.34*1.055))/400</f>
        <v>0</v>
      </c>
    </row>
    <row r="47" spans="1:43" ht="24.75" thickTop="1" thickBot="1">
      <c r="A47" s="285" t="s">
        <v>184</v>
      </c>
      <c r="B47" s="286">
        <f>K44</f>
        <v>111638.82</v>
      </c>
      <c r="C47" s="12"/>
      <c r="D47" s="285" t="s">
        <v>186</v>
      </c>
      <c r="E47" s="286">
        <f>K44*0.5</f>
        <v>55819.41</v>
      </c>
      <c r="F47" s="24"/>
      <c r="G47" s="285" t="s">
        <v>184</v>
      </c>
      <c r="H47" s="286">
        <f>K44*0.5</f>
        <v>55819.41</v>
      </c>
      <c r="I47" s="12"/>
      <c r="J47" s="281" t="s">
        <v>197</v>
      </c>
      <c r="K47" s="282">
        <v>39187.5</v>
      </c>
      <c r="L47" s="12"/>
      <c r="M47" s="12"/>
      <c r="N47" s="12"/>
      <c r="O47" s="12"/>
      <c r="P47" s="12"/>
      <c r="Q47" s="12"/>
      <c r="R47" s="306" t="s">
        <v>147</v>
      </c>
      <c r="S47" s="307"/>
      <c r="T47" s="253">
        <f>$G$39</f>
        <v>0</v>
      </c>
      <c r="U47" s="255">
        <f>T47/40000</f>
        <v>0</v>
      </c>
    </row>
    <row r="48" spans="1:43" ht="24" thickBot="1">
      <c r="A48" s="285" t="s">
        <v>185</v>
      </c>
      <c r="B48" s="286">
        <f>K47</f>
        <v>39187.5</v>
      </c>
      <c r="C48" s="12"/>
      <c r="D48" s="285" t="s">
        <v>185</v>
      </c>
      <c r="E48" s="286">
        <f>K47*0.5</f>
        <v>19593.75</v>
      </c>
      <c r="F48" s="23"/>
      <c r="G48" s="285" t="s">
        <v>185</v>
      </c>
      <c r="H48" s="286">
        <f>K47*0.5</f>
        <v>19593.75</v>
      </c>
      <c r="I48" s="12"/>
      <c r="J48" s="12"/>
      <c r="K48" s="86"/>
      <c r="L48" s="12"/>
      <c r="M48" s="12"/>
      <c r="N48" s="12"/>
      <c r="O48" s="12"/>
      <c r="P48" s="12"/>
      <c r="Q48" s="12"/>
      <c r="R48" s="306" t="s">
        <v>149</v>
      </c>
      <c r="S48" s="307"/>
      <c r="T48" s="253">
        <f>$L$39</f>
        <v>0</v>
      </c>
      <c r="U48" s="255">
        <f>T48*9.34*0.107</f>
        <v>0</v>
      </c>
    </row>
    <row r="49" spans="1:25" ht="48" thickTop="1" thickBot="1">
      <c r="A49" s="290" t="s">
        <v>193</v>
      </c>
      <c r="B49" s="291">
        <f>AD40</f>
        <v>0</v>
      </c>
      <c r="C49" s="12"/>
      <c r="D49" s="290" t="s">
        <v>194</v>
      </c>
      <c r="E49" s="291">
        <f>AF40</f>
        <v>0</v>
      </c>
      <c r="F49" s="23"/>
      <c r="G49" s="290" t="s">
        <v>195</v>
      </c>
      <c r="H49" s="291">
        <f>AE40</f>
        <v>0</v>
      </c>
      <c r="I49" s="12"/>
      <c r="J49" s="12"/>
      <c r="K49" s="86"/>
      <c r="L49" s="12"/>
      <c r="M49" s="12"/>
      <c r="N49" s="12"/>
      <c r="O49" s="12"/>
      <c r="P49" s="12"/>
      <c r="Q49" s="12"/>
      <c r="R49" s="306" t="s">
        <v>151</v>
      </c>
      <c r="S49" s="307"/>
      <c r="T49" s="253">
        <f>$E$39+$K$39</f>
        <v>2.9285905202229756</v>
      </c>
      <c r="U49" s="255">
        <f>(T49*8.34*1.04)/45000</f>
        <v>5.644760608045778E-4</v>
      </c>
    </row>
    <row r="50" spans="1:25" ht="48" thickTop="1" thickBot="1">
      <c r="A50" s="290" t="s">
        <v>189</v>
      </c>
      <c r="B50" s="292" t="e">
        <f>(SUM(B44:B48)/AD40)</f>
        <v>#DIV/0!</v>
      </c>
      <c r="C50" s="12"/>
      <c r="D50" s="290" t="s">
        <v>187</v>
      </c>
      <c r="E50" s="292" t="e">
        <f>SUM(E44:E48)/AF40</f>
        <v>#DIV/0!</v>
      </c>
      <c r="F50" s="23"/>
      <c r="G50" s="290" t="s">
        <v>188</v>
      </c>
      <c r="H50" s="292" t="e">
        <f>SUM(H44:H48)/AE40</f>
        <v>#DIV/0!</v>
      </c>
      <c r="I50" s="12"/>
      <c r="J50" s="12"/>
      <c r="K50" s="86"/>
      <c r="L50" s="12"/>
      <c r="M50" s="12"/>
      <c r="N50" s="12"/>
      <c r="O50" s="12"/>
      <c r="P50" s="12"/>
      <c r="Q50" s="12"/>
      <c r="R50" s="306" t="s">
        <v>152</v>
      </c>
      <c r="S50" s="307"/>
      <c r="T50" s="253">
        <f>$U$39+$V$39+$AB$39</f>
        <v>303.07058227062214</v>
      </c>
      <c r="U50" s="255">
        <f>T50/2000/8</f>
        <v>1.8941911391913882E-2</v>
      </c>
    </row>
    <row r="51" spans="1:25" ht="47.25" customHeight="1" thickTop="1" thickBot="1">
      <c r="A51" s="280" t="s">
        <v>190</v>
      </c>
      <c r="B51" s="293" t="e">
        <f>B50/1000</f>
        <v>#DIV/0!</v>
      </c>
      <c r="C51" s="12"/>
      <c r="D51" s="280" t="s">
        <v>191</v>
      </c>
      <c r="E51" s="293" t="e">
        <f>E50/1000</f>
        <v>#DIV/0!</v>
      </c>
      <c r="F51" s="12"/>
      <c r="G51" s="280" t="s">
        <v>192</v>
      </c>
      <c r="H51" s="293" t="e">
        <f>H50/1000</f>
        <v>#DIV/0!</v>
      </c>
      <c r="I51" s="12"/>
      <c r="J51" s="12"/>
      <c r="K51" s="86"/>
      <c r="L51" s="12"/>
      <c r="M51" s="12"/>
      <c r="N51" s="12"/>
      <c r="O51" s="12"/>
      <c r="P51" s="12"/>
      <c r="Q51" s="12"/>
      <c r="R51" s="306" t="s">
        <v>153</v>
      </c>
      <c r="S51" s="307"/>
      <c r="T51" s="253">
        <f>$C$39+$J$39+$S$39+$T$39</f>
        <v>313.0764639377598</v>
      </c>
      <c r="U51" s="255">
        <f>(T51*8.34*1.4)/45000</f>
        <v>8.1232906509717401E-2</v>
      </c>
    </row>
    <row r="52" spans="1:25" ht="16.5" thickTop="1" thickBot="1">
      <c r="A52" s="301"/>
      <c r="B52" s="12"/>
      <c r="C52" s="12"/>
      <c r="D52" s="12"/>
      <c r="E52" s="12"/>
      <c r="F52" s="12"/>
      <c r="G52" s="12"/>
      <c r="H52" s="12"/>
      <c r="I52" s="12"/>
      <c r="J52" s="12"/>
      <c r="K52" s="86"/>
      <c r="L52" s="12"/>
      <c r="M52" s="12"/>
      <c r="N52" s="12"/>
      <c r="O52" s="12"/>
      <c r="P52" s="12"/>
      <c r="Q52" s="12"/>
      <c r="R52" s="306" t="s">
        <v>154</v>
      </c>
      <c r="S52" s="307"/>
      <c r="T52" s="253">
        <f>$H$39</f>
        <v>0</v>
      </c>
      <c r="U52" s="255">
        <f>(T52*8.34*1.135)/45000</f>
        <v>0</v>
      </c>
    </row>
    <row r="53" spans="1:25" ht="48" customHeight="1" thickTop="1" thickBot="1">
      <c r="A53" s="732" t="s">
        <v>51</v>
      </c>
      <c r="B53" s="733"/>
      <c r="C53" s="733"/>
      <c r="D53" s="733"/>
      <c r="E53" s="734"/>
      <c r="F53" s="12"/>
      <c r="G53" s="12"/>
      <c r="H53" s="12"/>
      <c r="I53" s="12"/>
      <c r="J53" s="12"/>
      <c r="K53" s="86"/>
      <c r="L53" s="12"/>
      <c r="M53" s="12"/>
      <c r="N53" s="12"/>
      <c r="O53" s="12"/>
      <c r="P53" s="12"/>
      <c r="Q53" s="12"/>
      <c r="R53" s="306" t="s">
        <v>155</v>
      </c>
      <c r="S53" s="307"/>
      <c r="T53" s="253">
        <f>$B$39+$I$39+$AC$39</f>
        <v>83.773042122522924</v>
      </c>
      <c r="U53" s="255">
        <f>(T53*8.34*1.029*0.03)/3300</f>
        <v>6.5357138115417681E-3</v>
      </c>
    </row>
    <row r="54" spans="1:25" ht="45.75" customHeight="1" thickBot="1">
      <c r="A54" s="735" t="s">
        <v>199</v>
      </c>
      <c r="B54" s="736"/>
      <c r="C54" s="736"/>
      <c r="D54" s="736"/>
      <c r="E54" s="737"/>
      <c r="F54" s="87"/>
      <c r="G54" s="87"/>
      <c r="H54" s="87"/>
      <c r="I54" s="87"/>
      <c r="J54" s="87"/>
      <c r="K54" s="88"/>
      <c r="L54" s="12"/>
      <c r="M54" s="12"/>
      <c r="N54" s="12"/>
      <c r="O54" s="12"/>
      <c r="P54" s="12"/>
      <c r="Q54" s="12"/>
      <c r="R54" s="738" t="s">
        <v>157</v>
      </c>
      <c r="S54" s="739"/>
      <c r="T54" s="257">
        <f>$D$39+$Y$39+$Z$39</f>
        <v>0</v>
      </c>
      <c r="U54" s="258">
        <f>(T54*1.54*8.34)/45000</f>
        <v>0</v>
      </c>
    </row>
    <row r="55" spans="1:25" ht="24" thickTop="1">
      <c r="A55" s="718"/>
      <c r="B55" s="719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</row>
    <row r="56" spans="1:25">
      <c r="A56" s="720"/>
      <c r="B56" s="721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</row>
    <row r="57" spans="1:25">
      <c r="A57" s="716"/>
      <c r="B57" s="717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</row>
    <row r="58" spans="1:25">
      <c r="A58" s="717"/>
      <c r="B58" s="717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</row>
    <row r="59" spans="1:25">
      <c r="A59" s="716"/>
      <c r="B59" s="717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</row>
    <row r="60" spans="1:25">
      <c r="A60" s="717"/>
      <c r="B60" s="717"/>
      <c r="C60" s="12"/>
      <c r="D60" s="12"/>
      <c r="E60" s="12"/>
      <c r="F60" s="12"/>
      <c r="G60" s="12"/>
      <c r="H60" s="12"/>
      <c r="I60" s="12"/>
      <c r="J60" s="12"/>
      <c r="K60" s="12"/>
    </row>
    <row r="61" spans="1:25">
      <c r="A61" s="12"/>
      <c r="B61" s="12"/>
      <c r="C61" s="12"/>
    </row>
    <row r="62" spans="1:25">
      <c r="A62" s="12"/>
      <c r="B62" s="12"/>
      <c r="C62" s="12"/>
    </row>
    <row r="63" spans="1:25">
      <c r="A63" s="12"/>
      <c r="B63" s="12"/>
      <c r="C63" s="12"/>
    </row>
  </sheetData>
  <sheetProtection password="A25B" sheet="1" objects="1" scenarios="1"/>
  <customSheetViews>
    <customSheetView guid="{322E6371-A03C-4BCA-B267-212DFC76880A}" scale="75" fitToPage="1">
      <selection activeCell="A38" sqref="A38"/>
      <pageMargins left="0.33" right="0.19" top="0.75" bottom="0.75" header="0.3" footer="0.3"/>
      <pageSetup scale="52" orientation="landscape" r:id="rId1"/>
    </customSheetView>
  </customSheetViews>
  <mergeCells count="34">
    <mergeCell ref="R43:U43"/>
    <mergeCell ref="A53:E53"/>
    <mergeCell ref="A54:E54"/>
    <mergeCell ref="R54:S54"/>
    <mergeCell ref="AM4:AM5"/>
    <mergeCell ref="A42:K42"/>
    <mergeCell ref="AD4:AD5"/>
    <mergeCell ref="AE4:AE5"/>
    <mergeCell ref="AF4:AF5"/>
    <mergeCell ref="AG4:AG5"/>
    <mergeCell ref="B4:H5"/>
    <mergeCell ref="I4:N5"/>
    <mergeCell ref="O4:T5"/>
    <mergeCell ref="U4:AA5"/>
    <mergeCell ref="AB4:AB5"/>
    <mergeCell ref="AC4:AC5"/>
    <mergeCell ref="AN4:AN5"/>
    <mergeCell ref="AO4:AO5"/>
    <mergeCell ref="AP4:AP5"/>
    <mergeCell ref="AQ4:AQ5"/>
    <mergeCell ref="AH4:AH5"/>
    <mergeCell ref="AI4:AI5"/>
    <mergeCell ref="AJ4:AJ5"/>
    <mergeCell ref="AK4:AK5"/>
    <mergeCell ref="AL4:AL5"/>
    <mergeCell ref="A57:B58"/>
    <mergeCell ref="A59:B60"/>
    <mergeCell ref="A55:B55"/>
    <mergeCell ref="A56:B56"/>
    <mergeCell ref="J43:K43"/>
    <mergeCell ref="J46:K46"/>
    <mergeCell ref="A43:B43"/>
    <mergeCell ref="D43:E43"/>
    <mergeCell ref="G43:H43"/>
  </mergeCells>
  <pageMargins left="0.33" right="0.19" top="0.75" bottom="0.75" header="0.3" footer="0.3"/>
  <pageSetup scale="52" orientation="landscape"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U64"/>
  <sheetViews>
    <sheetView topLeftCell="A28" zoomScale="75" zoomScaleNormal="75" workbookViewId="0">
      <selection activeCell="H51" sqref="H51"/>
    </sheetView>
  </sheetViews>
  <sheetFormatPr defaultRowHeight="15"/>
  <cols>
    <col min="1" max="1" width="46.5703125" bestFit="1" customWidth="1"/>
    <col min="2" max="2" width="19.140625" customWidth="1"/>
    <col min="3" max="3" width="27.85546875" bestFit="1" customWidth="1"/>
    <col min="4" max="4" width="29.5703125" customWidth="1"/>
    <col min="5" max="5" width="22.42578125" bestFit="1" customWidth="1"/>
    <col min="6" max="6" width="15.140625" bestFit="1" customWidth="1"/>
    <col min="7" max="7" width="35.5703125" customWidth="1"/>
    <col min="8" max="8" width="19.140625" bestFit="1" customWidth="1"/>
    <col min="9" max="9" width="23.140625" bestFit="1" customWidth="1"/>
    <col min="10" max="10" width="25.42578125" bestFit="1" customWidth="1"/>
    <col min="11" max="11" width="19.140625" bestFit="1" customWidth="1"/>
    <col min="12" max="12" width="17.140625" bestFit="1" customWidth="1"/>
    <col min="13" max="13" width="16.140625" bestFit="1" customWidth="1"/>
    <col min="14" max="14" width="15.140625" bestFit="1" customWidth="1"/>
    <col min="15" max="15" width="16.28515625" bestFit="1" customWidth="1"/>
    <col min="16" max="16" width="15.7109375" bestFit="1" customWidth="1"/>
    <col min="17" max="17" width="24" bestFit="1" customWidth="1"/>
    <col min="18" max="18" width="24.42578125" bestFit="1" customWidth="1"/>
    <col min="19" max="19" width="26" bestFit="1" customWidth="1"/>
    <col min="20" max="20" width="25.85546875" bestFit="1" customWidth="1"/>
    <col min="21" max="21" width="13.5703125" bestFit="1" customWidth="1"/>
    <col min="22" max="22" width="11.5703125" bestFit="1" customWidth="1"/>
    <col min="23" max="23" width="20.28515625" bestFit="1" customWidth="1"/>
    <col min="24" max="24" width="20" bestFit="1" customWidth="1"/>
    <col min="25" max="25" width="22.5703125" bestFit="1" customWidth="1"/>
    <col min="26" max="26" width="22.28515625" bestFit="1" customWidth="1"/>
    <col min="27" max="27" width="21.28515625" bestFit="1" customWidth="1"/>
    <col min="28" max="28" width="32.85546875" bestFit="1" customWidth="1"/>
    <col min="29" max="29" width="36.7109375" customWidth="1"/>
    <col min="30" max="30" width="33.28515625" bestFit="1" customWidth="1"/>
    <col min="31" max="31" width="26.85546875" customWidth="1"/>
    <col min="32" max="32" width="23" customWidth="1"/>
    <col min="33" max="33" width="22.28515625" customWidth="1"/>
    <col min="34" max="34" width="23" bestFit="1" customWidth="1"/>
    <col min="35" max="35" width="17" bestFit="1" customWidth="1"/>
    <col min="36" max="36" width="17.5703125" bestFit="1" customWidth="1"/>
    <col min="37" max="38" width="15.85546875" bestFit="1" customWidth="1"/>
    <col min="39" max="39" width="21.85546875" bestFit="1" customWidth="1"/>
    <col min="40" max="40" width="18.7109375" bestFit="1" customWidth="1"/>
    <col min="41" max="43" width="15.85546875" bestFit="1" customWidth="1"/>
  </cols>
  <sheetData>
    <row r="1" spans="1:47" ht="15" customHeight="1">
      <c r="A1" s="1" t="s">
        <v>0</v>
      </c>
      <c r="B1" s="2"/>
      <c r="C1" t="s">
        <v>1</v>
      </c>
      <c r="O1" s="3"/>
      <c r="P1" s="4"/>
      <c r="Q1" s="4"/>
      <c r="R1" s="4"/>
    </row>
    <row r="2" spans="1:47" ht="15" customHeight="1">
      <c r="A2" s="1" t="s">
        <v>2</v>
      </c>
      <c r="B2" s="5"/>
      <c r="O2" s="4"/>
      <c r="P2" s="4"/>
      <c r="Q2" s="4"/>
      <c r="R2" s="4"/>
    </row>
    <row r="3" spans="1:47" ht="15.75" thickBot="1">
      <c r="A3" s="6"/>
    </row>
    <row r="4" spans="1:47" ht="30" customHeight="1" thickTop="1">
      <c r="A4" s="13"/>
      <c r="B4" s="744" t="s">
        <v>3</v>
      </c>
      <c r="C4" s="745"/>
      <c r="D4" s="745"/>
      <c r="E4" s="745"/>
      <c r="F4" s="745"/>
      <c r="G4" s="745"/>
      <c r="H4" s="746"/>
      <c r="I4" s="744" t="s">
        <v>4</v>
      </c>
      <c r="J4" s="745"/>
      <c r="K4" s="745"/>
      <c r="L4" s="745"/>
      <c r="M4" s="745"/>
      <c r="N4" s="746"/>
      <c r="O4" s="750" t="s">
        <v>5</v>
      </c>
      <c r="P4" s="751"/>
      <c r="Q4" s="752"/>
      <c r="R4" s="752"/>
      <c r="S4" s="752"/>
      <c r="T4" s="753"/>
      <c r="U4" s="744" t="s">
        <v>6</v>
      </c>
      <c r="V4" s="757"/>
      <c r="W4" s="757"/>
      <c r="X4" s="757"/>
      <c r="Y4" s="757"/>
      <c r="Z4" s="757"/>
      <c r="AA4" s="758"/>
      <c r="AB4" s="727" t="s">
        <v>7</v>
      </c>
      <c r="AC4" s="763" t="s">
        <v>8</v>
      </c>
      <c r="AD4" s="742" t="s">
        <v>27</v>
      </c>
      <c r="AE4" s="742" t="s">
        <v>31</v>
      </c>
      <c r="AF4" s="742" t="s">
        <v>32</v>
      </c>
      <c r="AG4" s="742" t="s">
        <v>33</v>
      </c>
      <c r="AH4" s="727" t="s">
        <v>172</v>
      </c>
      <c r="AI4" s="727" t="s">
        <v>173</v>
      </c>
      <c r="AJ4" s="727" t="s">
        <v>174</v>
      </c>
      <c r="AK4" s="727" t="s">
        <v>175</v>
      </c>
      <c r="AL4" s="727" t="s">
        <v>176</v>
      </c>
      <c r="AM4" s="727" t="s">
        <v>177</v>
      </c>
      <c r="AN4" s="727" t="s">
        <v>178</v>
      </c>
      <c r="AO4" s="727" t="s">
        <v>181</v>
      </c>
      <c r="AP4" s="727" t="s">
        <v>179</v>
      </c>
      <c r="AQ4" s="727" t="s">
        <v>180</v>
      </c>
      <c r="AT4" t="s">
        <v>168</v>
      </c>
      <c r="AU4" s="324" t="s">
        <v>206</v>
      </c>
    </row>
    <row r="5" spans="1:47" ht="30" customHeight="1" thickBot="1">
      <c r="A5" s="13"/>
      <c r="B5" s="747"/>
      <c r="C5" s="748"/>
      <c r="D5" s="748"/>
      <c r="E5" s="748"/>
      <c r="F5" s="748"/>
      <c r="G5" s="748"/>
      <c r="H5" s="749"/>
      <c r="I5" s="747"/>
      <c r="J5" s="748"/>
      <c r="K5" s="748"/>
      <c r="L5" s="748"/>
      <c r="M5" s="748"/>
      <c r="N5" s="749"/>
      <c r="O5" s="754"/>
      <c r="P5" s="755"/>
      <c r="Q5" s="755"/>
      <c r="R5" s="755"/>
      <c r="S5" s="755"/>
      <c r="T5" s="756"/>
      <c r="U5" s="759"/>
      <c r="V5" s="760"/>
      <c r="W5" s="760"/>
      <c r="X5" s="760"/>
      <c r="Y5" s="760"/>
      <c r="Z5" s="760"/>
      <c r="AA5" s="761"/>
      <c r="AB5" s="762"/>
      <c r="AC5" s="764"/>
      <c r="AD5" s="743"/>
      <c r="AE5" s="743"/>
      <c r="AF5" s="743"/>
      <c r="AG5" s="743"/>
      <c r="AH5" s="728"/>
      <c r="AI5" s="728"/>
      <c r="AJ5" s="728"/>
      <c r="AK5" s="728"/>
      <c r="AL5" s="728"/>
      <c r="AM5" s="728"/>
      <c r="AN5" s="728"/>
      <c r="AO5" s="728"/>
      <c r="AP5" s="728"/>
      <c r="AQ5" s="728"/>
    </row>
    <row r="6" spans="1:47" ht="18">
      <c r="A6" s="7"/>
      <c r="B6" s="14" t="s">
        <v>9</v>
      </c>
      <c r="C6" s="8" t="s">
        <v>10</v>
      </c>
      <c r="D6" s="8" t="s">
        <v>11</v>
      </c>
      <c r="E6" s="8" t="s">
        <v>12</v>
      </c>
      <c r="F6" s="8" t="s">
        <v>13</v>
      </c>
      <c r="G6" s="8" t="s">
        <v>14</v>
      </c>
      <c r="H6" s="15" t="s">
        <v>15</v>
      </c>
      <c r="I6" s="16" t="s">
        <v>9</v>
      </c>
      <c r="J6" s="8" t="s">
        <v>16</v>
      </c>
      <c r="K6" s="8" t="s">
        <v>17</v>
      </c>
      <c r="L6" s="9" t="s">
        <v>18</v>
      </c>
      <c r="M6" s="8" t="s">
        <v>19</v>
      </c>
      <c r="N6" s="15" t="s">
        <v>13</v>
      </c>
      <c r="O6" s="14" t="s">
        <v>35</v>
      </c>
      <c r="P6" s="9" t="s">
        <v>36</v>
      </c>
      <c r="Q6" s="9" t="s">
        <v>37</v>
      </c>
      <c r="R6" s="9" t="s">
        <v>38</v>
      </c>
      <c r="S6" s="8" t="s">
        <v>39</v>
      </c>
      <c r="T6" s="39" t="s">
        <v>40</v>
      </c>
      <c r="U6" s="17" t="s">
        <v>41</v>
      </c>
      <c r="V6" s="8" t="s">
        <v>42</v>
      </c>
      <c r="W6" s="8" t="s">
        <v>43</v>
      </c>
      <c r="X6" s="8" t="s">
        <v>44</v>
      </c>
      <c r="Y6" s="8" t="s">
        <v>45</v>
      </c>
      <c r="Z6" s="8" t="s">
        <v>46</v>
      </c>
      <c r="AA6" s="18" t="s">
        <v>20</v>
      </c>
      <c r="AB6" s="19" t="s">
        <v>21</v>
      </c>
      <c r="AC6" s="19" t="s">
        <v>22</v>
      </c>
      <c r="AD6" s="42" t="s">
        <v>30</v>
      </c>
      <c r="AE6" s="42"/>
      <c r="AF6" s="42"/>
      <c r="AG6" s="42"/>
      <c r="AH6" s="42"/>
      <c r="AI6" s="42"/>
      <c r="AJ6" s="42"/>
      <c r="AK6" s="42"/>
      <c r="AL6" s="42"/>
      <c r="AM6" s="42"/>
      <c r="AN6" s="42"/>
      <c r="AO6" s="42"/>
      <c r="AP6" s="42"/>
      <c r="AQ6" s="42"/>
    </row>
    <row r="7" spans="1:47" ht="15.75" thickBot="1">
      <c r="A7" s="7"/>
      <c r="B7" s="20" t="s">
        <v>23</v>
      </c>
      <c r="C7" s="10" t="s">
        <v>23</v>
      </c>
      <c r="D7" s="10" t="s">
        <v>23</v>
      </c>
      <c r="E7" s="10" t="s">
        <v>23</v>
      </c>
      <c r="F7" s="10" t="s">
        <v>23</v>
      </c>
      <c r="G7" s="10" t="s">
        <v>24</v>
      </c>
      <c r="H7" s="21" t="s">
        <v>23</v>
      </c>
      <c r="I7" s="20" t="s">
        <v>23</v>
      </c>
      <c r="J7" s="10" t="s">
        <v>23</v>
      </c>
      <c r="K7" s="10" t="s">
        <v>23</v>
      </c>
      <c r="L7" s="10" t="s">
        <v>23</v>
      </c>
      <c r="M7" s="10" t="s">
        <v>23</v>
      </c>
      <c r="N7" s="21" t="s">
        <v>23</v>
      </c>
      <c r="O7" s="20" t="s">
        <v>23</v>
      </c>
      <c r="P7" s="10" t="s">
        <v>23</v>
      </c>
      <c r="Q7" s="10" t="s">
        <v>23</v>
      </c>
      <c r="R7" s="10" t="s">
        <v>23</v>
      </c>
      <c r="S7" s="10" t="s">
        <v>23</v>
      </c>
      <c r="T7" s="40" t="s">
        <v>23</v>
      </c>
      <c r="U7" s="20" t="s">
        <v>25</v>
      </c>
      <c r="V7" s="10" t="s">
        <v>25</v>
      </c>
      <c r="W7" s="10" t="s">
        <v>23</v>
      </c>
      <c r="X7" s="10" t="s">
        <v>23</v>
      </c>
      <c r="Y7" s="10" t="s">
        <v>23</v>
      </c>
      <c r="Z7" s="10" t="s">
        <v>23</v>
      </c>
      <c r="AA7" s="21" t="s">
        <v>23</v>
      </c>
      <c r="AB7" s="22" t="s">
        <v>25</v>
      </c>
      <c r="AC7" s="305" t="s">
        <v>23</v>
      </c>
      <c r="AD7" s="22" t="s">
        <v>28</v>
      </c>
      <c r="AE7" s="22" t="s">
        <v>28</v>
      </c>
      <c r="AF7" s="22" t="s">
        <v>28</v>
      </c>
      <c r="AG7" s="22" t="s">
        <v>34</v>
      </c>
      <c r="AH7" s="22" t="s">
        <v>169</v>
      </c>
      <c r="AI7" s="22" t="s">
        <v>169</v>
      </c>
      <c r="AJ7" s="22" t="s">
        <v>169</v>
      </c>
      <c r="AK7" s="22" t="s">
        <v>169</v>
      </c>
      <c r="AL7" s="22" t="s">
        <v>169</v>
      </c>
      <c r="AM7" s="22" t="s">
        <v>169</v>
      </c>
      <c r="AN7" s="22" t="s">
        <v>169</v>
      </c>
      <c r="AO7" s="22" t="s">
        <v>169</v>
      </c>
      <c r="AP7" s="22" t="s">
        <v>169</v>
      </c>
      <c r="AQ7" s="22" t="s">
        <v>169</v>
      </c>
    </row>
    <row r="8" spans="1:47">
      <c r="A8" s="11">
        <v>41030</v>
      </c>
      <c r="B8" s="49"/>
      <c r="C8" s="50">
        <v>0</v>
      </c>
      <c r="D8" s="50">
        <v>0</v>
      </c>
      <c r="E8" s="50">
        <v>0</v>
      </c>
      <c r="F8" s="50">
        <v>0</v>
      </c>
      <c r="G8" s="50">
        <v>0</v>
      </c>
      <c r="H8" s="51">
        <v>0</v>
      </c>
      <c r="I8" s="49">
        <v>148.31805880864457</v>
      </c>
      <c r="J8" s="50">
        <v>427.1012230674437</v>
      </c>
      <c r="K8" s="50">
        <v>3.7029933879772785</v>
      </c>
      <c r="L8" s="50">
        <v>0</v>
      </c>
      <c r="M8" s="50">
        <v>0</v>
      </c>
      <c r="N8" s="51">
        <v>0</v>
      </c>
      <c r="O8" s="49">
        <v>0</v>
      </c>
      <c r="P8" s="50">
        <v>0</v>
      </c>
      <c r="Q8" s="50">
        <v>0</v>
      </c>
      <c r="R8" s="50">
        <v>0</v>
      </c>
      <c r="S8" s="50">
        <v>0</v>
      </c>
      <c r="T8" s="52">
        <v>0</v>
      </c>
      <c r="U8" s="53">
        <v>0</v>
      </c>
      <c r="V8" s="54">
        <v>0</v>
      </c>
      <c r="W8" s="54">
        <v>0</v>
      </c>
      <c r="X8" s="54">
        <v>0</v>
      </c>
      <c r="Y8" s="54">
        <v>0</v>
      </c>
      <c r="Z8" s="54">
        <v>0</v>
      </c>
      <c r="AA8" s="55">
        <v>0</v>
      </c>
      <c r="AB8" s="56">
        <v>0</v>
      </c>
      <c r="AC8" s="57">
        <v>0</v>
      </c>
      <c r="AD8" s="57">
        <v>0</v>
      </c>
      <c r="AE8" s="58">
        <v>0</v>
      </c>
      <c r="AF8" s="58">
        <v>0</v>
      </c>
      <c r="AG8" s="58">
        <v>0</v>
      </c>
      <c r="AH8" s="57">
        <v>200.93709519704183</v>
      </c>
      <c r="AI8" s="57">
        <v>400.07063121795665</v>
      </c>
      <c r="AJ8" s="57">
        <v>1145.5073767344159</v>
      </c>
      <c r="AK8" s="57">
        <v>986.70085207621275</v>
      </c>
      <c r="AL8" s="57">
        <v>927.11698605219522</v>
      </c>
      <c r="AM8" s="57">
        <v>1378.8345492680869</v>
      </c>
      <c r="AN8" s="57">
        <v>913.12822211583455</v>
      </c>
      <c r="AO8" s="57">
        <v>134.18782344659169</v>
      </c>
      <c r="AP8" s="57">
        <v>33.413205285867051</v>
      </c>
      <c r="AQ8" s="57">
        <v>818.57601648966454</v>
      </c>
    </row>
    <row r="9" spans="1:47">
      <c r="A9" s="11">
        <v>41031</v>
      </c>
      <c r="B9" s="59"/>
      <c r="C9" s="60">
        <v>0</v>
      </c>
      <c r="D9" s="60">
        <v>0</v>
      </c>
      <c r="E9" s="60">
        <v>0</v>
      </c>
      <c r="F9" s="60">
        <v>0</v>
      </c>
      <c r="G9" s="60">
        <v>0</v>
      </c>
      <c r="H9" s="61">
        <v>0</v>
      </c>
      <c r="I9" s="59">
        <v>160.30177911122641</v>
      </c>
      <c r="J9" s="60">
        <v>427.43895656267915</v>
      </c>
      <c r="K9" s="60">
        <v>3.6998111158609275</v>
      </c>
      <c r="L9" s="60">
        <v>0</v>
      </c>
      <c r="M9" s="60">
        <v>0</v>
      </c>
      <c r="N9" s="61">
        <v>0</v>
      </c>
      <c r="O9" s="59">
        <v>0</v>
      </c>
      <c r="P9" s="60">
        <v>0</v>
      </c>
      <c r="Q9" s="62">
        <v>0</v>
      </c>
      <c r="R9" s="63">
        <v>0</v>
      </c>
      <c r="S9" s="60">
        <v>0</v>
      </c>
      <c r="T9" s="64">
        <v>0</v>
      </c>
      <c r="U9" s="65">
        <v>126.73536616696261</v>
      </c>
      <c r="V9" s="62">
        <v>0</v>
      </c>
      <c r="W9" s="62">
        <v>0</v>
      </c>
      <c r="X9" s="62">
        <v>0</v>
      </c>
      <c r="Y9" s="66">
        <v>0</v>
      </c>
      <c r="Z9" s="66">
        <v>0</v>
      </c>
      <c r="AA9" s="67">
        <v>0</v>
      </c>
      <c r="AB9" s="68">
        <v>0</v>
      </c>
      <c r="AC9" s="69">
        <v>0</v>
      </c>
      <c r="AD9" s="69">
        <v>0</v>
      </c>
      <c r="AE9" s="68">
        <v>0</v>
      </c>
      <c r="AF9" s="68">
        <v>0</v>
      </c>
      <c r="AG9" s="68">
        <v>1</v>
      </c>
      <c r="AH9" s="69">
        <v>202.69363037745154</v>
      </c>
      <c r="AI9" s="69">
        <v>361.35894076029456</v>
      </c>
      <c r="AJ9" s="69">
        <v>1101.421325969696</v>
      </c>
      <c r="AK9" s="69">
        <v>986.2522721529009</v>
      </c>
      <c r="AL9" s="69">
        <v>898.97044798533113</v>
      </c>
      <c r="AM9" s="69">
        <v>1461.0629065195722</v>
      </c>
      <c r="AN9" s="69">
        <v>914.49439264933244</v>
      </c>
      <c r="AO9" s="69">
        <v>175.97351360321045</v>
      </c>
      <c r="AP9" s="69">
        <v>36.476523627837494</v>
      </c>
      <c r="AQ9" s="69">
        <v>769.83062353134164</v>
      </c>
    </row>
    <row r="10" spans="1:47">
      <c r="A10" s="11">
        <v>41032</v>
      </c>
      <c r="B10" s="59"/>
      <c r="C10" s="60">
        <v>0</v>
      </c>
      <c r="D10" s="60">
        <v>0</v>
      </c>
      <c r="E10" s="60">
        <v>0</v>
      </c>
      <c r="F10" s="60">
        <v>0</v>
      </c>
      <c r="G10" s="60">
        <v>0</v>
      </c>
      <c r="H10" s="61">
        <v>0</v>
      </c>
      <c r="I10" s="59">
        <v>176.94783401489246</v>
      </c>
      <c r="J10" s="60">
        <v>432.99551129341239</v>
      </c>
      <c r="K10" s="60">
        <v>3.7537425955136556</v>
      </c>
      <c r="L10" s="60">
        <v>0</v>
      </c>
      <c r="M10" s="60">
        <v>0</v>
      </c>
      <c r="N10" s="61">
        <v>0</v>
      </c>
      <c r="O10" s="59">
        <v>0</v>
      </c>
      <c r="P10" s="60">
        <v>0</v>
      </c>
      <c r="Q10" s="60">
        <v>0</v>
      </c>
      <c r="R10" s="63">
        <v>0</v>
      </c>
      <c r="S10" s="60">
        <v>0</v>
      </c>
      <c r="T10" s="64">
        <v>0</v>
      </c>
      <c r="U10" s="65">
        <v>27.944661770926643</v>
      </c>
      <c r="V10" s="62">
        <v>0</v>
      </c>
      <c r="W10" s="62">
        <v>0</v>
      </c>
      <c r="X10" s="62">
        <v>0</v>
      </c>
      <c r="Y10" s="66">
        <v>0</v>
      </c>
      <c r="Z10" s="66">
        <v>0</v>
      </c>
      <c r="AA10" s="67">
        <v>0</v>
      </c>
      <c r="AB10" s="68">
        <v>0</v>
      </c>
      <c r="AC10" s="69">
        <v>0</v>
      </c>
      <c r="AD10" s="69">
        <v>0</v>
      </c>
      <c r="AE10" s="68">
        <v>0</v>
      </c>
      <c r="AF10" s="68">
        <v>0</v>
      </c>
      <c r="AG10" s="68">
        <v>1</v>
      </c>
      <c r="AH10" s="69">
        <v>198.11329107284547</v>
      </c>
      <c r="AI10" s="69">
        <v>422.87113698323577</v>
      </c>
      <c r="AJ10" s="69">
        <v>1127.3935781478881</v>
      </c>
      <c r="AK10" s="69">
        <v>1014.3986179987591</v>
      </c>
      <c r="AL10" s="69">
        <v>930.67248268127457</v>
      </c>
      <c r="AM10" s="69">
        <v>1465.9476458867391</v>
      </c>
      <c r="AN10" s="69">
        <v>931.55338675181076</v>
      </c>
      <c r="AO10" s="69">
        <v>289.90588877995805</v>
      </c>
      <c r="AP10" s="69">
        <v>34.84268458485603</v>
      </c>
      <c r="AQ10" s="69">
        <v>839.66329174041743</v>
      </c>
    </row>
    <row r="11" spans="1:47">
      <c r="A11" s="11">
        <v>41033</v>
      </c>
      <c r="B11" s="59"/>
      <c r="C11" s="60">
        <v>0</v>
      </c>
      <c r="D11" s="60">
        <v>0</v>
      </c>
      <c r="E11" s="60">
        <v>0</v>
      </c>
      <c r="F11" s="60">
        <v>0</v>
      </c>
      <c r="G11" s="60">
        <v>0</v>
      </c>
      <c r="H11" s="61">
        <v>0</v>
      </c>
      <c r="I11" s="59">
        <v>226.83665553728733</v>
      </c>
      <c r="J11" s="60">
        <v>533.74674545923926</v>
      </c>
      <c r="K11" s="60">
        <v>4.7014623334010475</v>
      </c>
      <c r="L11" s="60">
        <v>0</v>
      </c>
      <c r="M11" s="60">
        <v>0</v>
      </c>
      <c r="N11" s="61">
        <v>0</v>
      </c>
      <c r="O11" s="59">
        <v>0</v>
      </c>
      <c r="P11" s="60">
        <v>0</v>
      </c>
      <c r="Q11" s="60">
        <v>0</v>
      </c>
      <c r="R11" s="63">
        <v>0</v>
      </c>
      <c r="S11" s="60">
        <v>0</v>
      </c>
      <c r="T11" s="64">
        <v>0</v>
      </c>
      <c r="U11" s="65">
        <v>73.836422877841613</v>
      </c>
      <c r="V11" s="62">
        <v>0</v>
      </c>
      <c r="W11" s="62">
        <v>0</v>
      </c>
      <c r="X11" s="62">
        <v>0</v>
      </c>
      <c r="Y11" s="66">
        <v>1.967610708872477</v>
      </c>
      <c r="Z11" s="66">
        <v>0</v>
      </c>
      <c r="AA11" s="67">
        <v>0</v>
      </c>
      <c r="AB11" s="68">
        <v>0</v>
      </c>
      <c r="AC11" s="69">
        <v>0</v>
      </c>
      <c r="AD11" s="69">
        <v>0</v>
      </c>
      <c r="AE11" s="68">
        <v>0</v>
      </c>
      <c r="AF11" s="68">
        <v>0</v>
      </c>
      <c r="AG11" s="68">
        <v>1</v>
      </c>
      <c r="AH11" s="69">
        <v>196.67964231173198</v>
      </c>
      <c r="AI11" s="69">
        <v>415.45538536707568</v>
      </c>
      <c r="AJ11" s="69">
        <v>1192.0393463134767</v>
      </c>
      <c r="AK11" s="69">
        <v>1034.8781246821084</v>
      </c>
      <c r="AL11" s="69">
        <v>938.9813965797423</v>
      </c>
      <c r="AM11" s="69">
        <v>1563.2723269780479</v>
      </c>
      <c r="AN11" s="69">
        <v>937.06235570907597</v>
      </c>
      <c r="AO11" s="69">
        <v>174.56465746561685</v>
      </c>
      <c r="AP11" s="69">
        <v>74.012322199344638</v>
      </c>
      <c r="AQ11" s="69">
        <v>883.15999104181935</v>
      </c>
    </row>
    <row r="12" spans="1:47">
      <c r="A12" s="11">
        <v>41034</v>
      </c>
      <c r="B12" s="59"/>
      <c r="C12" s="60">
        <v>0</v>
      </c>
      <c r="D12" s="60">
        <v>0</v>
      </c>
      <c r="E12" s="60">
        <v>0</v>
      </c>
      <c r="F12" s="60">
        <v>0</v>
      </c>
      <c r="G12" s="60">
        <v>0</v>
      </c>
      <c r="H12" s="61">
        <v>0</v>
      </c>
      <c r="I12" s="59">
        <v>203.82298811276738</v>
      </c>
      <c r="J12" s="60">
        <v>434.56646620432662</v>
      </c>
      <c r="K12" s="60">
        <v>7.4164555221796142</v>
      </c>
      <c r="L12" s="60">
        <v>0</v>
      </c>
      <c r="M12" s="60">
        <v>0</v>
      </c>
      <c r="N12" s="61">
        <v>0</v>
      </c>
      <c r="O12" s="59">
        <v>0</v>
      </c>
      <c r="P12" s="60">
        <v>0</v>
      </c>
      <c r="Q12" s="60">
        <v>0</v>
      </c>
      <c r="R12" s="63">
        <v>0</v>
      </c>
      <c r="S12" s="60">
        <v>0</v>
      </c>
      <c r="T12" s="64">
        <v>0</v>
      </c>
      <c r="U12" s="65">
        <v>0</v>
      </c>
      <c r="V12" s="62">
        <v>0</v>
      </c>
      <c r="W12" s="62">
        <v>0</v>
      </c>
      <c r="X12" s="62">
        <v>0</v>
      </c>
      <c r="Y12" s="66">
        <v>0</v>
      </c>
      <c r="Z12" s="66">
        <v>0</v>
      </c>
      <c r="AA12" s="67">
        <v>0</v>
      </c>
      <c r="AB12" s="68">
        <v>0</v>
      </c>
      <c r="AC12" s="69">
        <v>0</v>
      </c>
      <c r="AD12" s="69">
        <v>0</v>
      </c>
      <c r="AE12" s="68">
        <v>0</v>
      </c>
      <c r="AF12" s="68">
        <v>0</v>
      </c>
      <c r="AG12" s="68">
        <v>0</v>
      </c>
      <c r="AH12" s="69">
        <v>187.31521262327828</v>
      </c>
      <c r="AI12" s="69">
        <v>416.72560337384527</v>
      </c>
      <c r="AJ12" s="69">
        <v>1179.8513888676962</v>
      </c>
      <c r="AK12" s="69">
        <v>1041.9006487528484</v>
      </c>
      <c r="AL12" s="69">
        <v>931.84802837371819</v>
      </c>
      <c r="AM12" s="69">
        <v>1590.9760265350342</v>
      </c>
      <c r="AN12" s="69">
        <v>953.84634154637661</v>
      </c>
      <c r="AO12" s="69">
        <v>257.72597043514253</v>
      </c>
      <c r="AP12" s="69">
        <v>79.84604514042536</v>
      </c>
      <c r="AQ12" s="69">
        <v>766.74248142242436</v>
      </c>
    </row>
    <row r="13" spans="1:47">
      <c r="A13" s="11">
        <v>41035</v>
      </c>
      <c r="B13" s="59"/>
      <c r="C13" s="60">
        <v>0</v>
      </c>
      <c r="D13" s="60">
        <v>0</v>
      </c>
      <c r="E13" s="60">
        <v>0</v>
      </c>
      <c r="F13" s="60">
        <v>0</v>
      </c>
      <c r="G13" s="60">
        <v>0</v>
      </c>
      <c r="H13" s="61">
        <v>0</v>
      </c>
      <c r="I13" s="59">
        <v>171.58861049016312</v>
      </c>
      <c r="J13" s="60">
        <v>407.02854002316792</v>
      </c>
      <c r="K13" s="60">
        <v>8.1677151049176917</v>
      </c>
      <c r="L13" s="60">
        <v>0</v>
      </c>
      <c r="M13" s="60">
        <v>0</v>
      </c>
      <c r="N13" s="61">
        <v>0</v>
      </c>
      <c r="O13" s="59">
        <v>0</v>
      </c>
      <c r="P13" s="60">
        <v>0</v>
      </c>
      <c r="Q13" s="60">
        <v>0</v>
      </c>
      <c r="R13" s="63">
        <v>0</v>
      </c>
      <c r="S13" s="60">
        <v>0</v>
      </c>
      <c r="T13" s="64">
        <v>0</v>
      </c>
      <c r="U13" s="65">
        <v>0</v>
      </c>
      <c r="V13" s="62">
        <v>0</v>
      </c>
      <c r="W13" s="62">
        <v>0</v>
      </c>
      <c r="X13" s="62">
        <v>0</v>
      </c>
      <c r="Y13" s="66">
        <v>0</v>
      </c>
      <c r="Z13" s="66">
        <v>0</v>
      </c>
      <c r="AA13" s="67">
        <v>0</v>
      </c>
      <c r="AB13" s="68">
        <v>0</v>
      </c>
      <c r="AC13" s="69">
        <v>0</v>
      </c>
      <c r="AD13" s="69">
        <v>0</v>
      </c>
      <c r="AE13" s="68">
        <v>0</v>
      </c>
      <c r="AF13" s="68">
        <v>0</v>
      </c>
      <c r="AG13" s="68">
        <v>0</v>
      </c>
      <c r="AH13" s="69">
        <v>204.03066483338674</v>
      </c>
      <c r="AI13" s="69">
        <v>415.46314837137862</v>
      </c>
      <c r="AJ13" s="69">
        <v>1089.3681049982706</v>
      </c>
      <c r="AK13" s="69">
        <v>1011.7296357472742</v>
      </c>
      <c r="AL13" s="69">
        <v>875.65396588643387</v>
      </c>
      <c r="AM13" s="69">
        <v>1567.4776468276975</v>
      </c>
      <c r="AN13" s="69">
        <v>947.63646488189681</v>
      </c>
      <c r="AO13" s="69">
        <v>223.13495447635651</v>
      </c>
      <c r="AP13" s="69">
        <v>78.123773574829102</v>
      </c>
      <c r="AQ13" s="69">
        <v>552.95642058054614</v>
      </c>
    </row>
    <row r="14" spans="1:47">
      <c r="A14" s="11">
        <v>41036</v>
      </c>
      <c r="B14" s="59"/>
      <c r="C14" s="60">
        <v>0</v>
      </c>
      <c r="D14" s="60">
        <v>0</v>
      </c>
      <c r="E14" s="60">
        <v>0</v>
      </c>
      <c r="F14" s="60">
        <v>0</v>
      </c>
      <c r="G14" s="60">
        <v>0</v>
      </c>
      <c r="H14" s="61">
        <v>0</v>
      </c>
      <c r="I14" s="59">
        <v>152.55743598937991</v>
      </c>
      <c r="J14" s="60">
        <v>435.92849375407042</v>
      </c>
      <c r="K14" s="60">
        <v>8.1120701159040323</v>
      </c>
      <c r="L14" s="60">
        <v>0</v>
      </c>
      <c r="M14" s="60">
        <v>0</v>
      </c>
      <c r="N14" s="61">
        <v>0</v>
      </c>
      <c r="O14" s="59">
        <v>0</v>
      </c>
      <c r="P14" s="60">
        <v>0</v>
      </c>
      <c r="Q14" s="60">
        <v>0</v>
      </c>
      <c r="R14" s="63">
        <v>0</v>
      </c>
      <c r="S14" s="60">
        <v>0</v>
      </c>
      <c r="T14" s="64">
        <v>0</v>
      </c>
      <c r="U14" s="65">
        <v>118.12448452313708</v>
      </c>
      <c r="V14" s="62">
        <v>0</v>
      </c>
      <c r="W14" s="62">
        <v>13.521821552515027</v>
      </c>
      <c r="X14" s="62">
        <v>0</v>
      </c>
      <c r="Y14" s="66">
        <v>75.572781443595943</v>
      </c>
      <c r="Z14" s="66">
        <v>0</v>
      </c>
      <c r="AA14" s="67">
        <v>0</v>
      </c>
      <c r="AB14" s="68">
        <v>0</v>
      </c>
      <c r="AC14" s="69">
        <v>0</v>
      </c>
      <c r="AD14" s="69">
        <v>3.1776526735888568</v>
      </c>
      <c r="AE14" s="68">
        <v>4.9094688489556519</v>
      </c>
      <c r="AF14" s="68">
        <v>0</v>
      </c>
      <c r="AG14" s="68">
        <v>1</v>
      </c>
      <c r="AH14" s="69">
        <v>229.53456036249793</v>
      </c>
      <c r="AI14" s="69">
        <v>433.15920367240898</v>
      </c>
      <c r="AJ14" s="69">
        <v>1061.6928988138832</v>
      </c>
      <c r="AK14" s="69">
        <v>988.52349554697685</v>
      </c>
      <c r="AL14" s="69">
        <v>876.42562866210937</v>
      </c>
      <c r="AM14" s="69">
        <v>1515.017475827535</v>
      </c>
      <c r="AN14" s="69">
        <v>903.79962253570568</v>
      </c>
      <c r="AO14" s="69">
        <v>550.90011227925618</v>
      </c>
      <c r="AP14" s="69">
        <v>80.29316197435061</v>
      </c>
      <c r="AQ14" s="69">
        <v>553.65521367390954</v>
      </c>
    </row>
    <row r="15" spans="1:47">
      <c r="A15" s="11">
        <v>41037</v>
      </c>
      <c r="B15" s="59"/>
      <c r="C15" s="60">
        <v>0</v>
      </c>
      <c r="D15" s="60">
        <v>0</v>
      </c>
      <c r="E15" s="60">
        <v>0</v>
      </c>
      <c r="F15" s="60">
        <v>0</v>
      </c>
      <c r="G15" s="60">
        <v>0</v>
      </c>
      <c r="H15" s="61">
        <v>0</v>
      </c>
      <c r="I15" s="59">
        <v>184.56865676244126</v>
      </c>
      <c r="J15" s="60">
        <v>478.83102149963418</v>
      </c>
      <c r="K15" s="60">
        <v>8.092129781842246</v>
      </c>
      <c r="L15" s="60">
        <v>0</v>
      </c>
      <c r="M15" s="60">
        <v>0</v>
      </c>
      <c r="N15" s="61">
        <v>0</v>
      </c>
      <c r="O15" s="59">
        <v>0</v>
      </c>
      <c r="P15" s="60">
        <v>0</v>
      </c>
      <c r="Q15" s="60">
        <v>0</v>
      </c>
      <c r="R15" s="63">
        <v>0</v>
      </c>
      <c r="S15" s="60">
        <v>0</v>
      </c>
      <c r="T15" s="64">
        <v>0</v>
      </c>
      <c r="U15" s="65">
        <v>202.39194540447588</v>
      </c>
      <c r="V15" s="62">
        <v>0</v>
      </c>
      <c r="W15" s="62">
        <v>22.407257071137405</v>
      </c>
      <c r="X15" s="62">
        <v>0</v>
      </c>
      <c r="Y15" s="66">
        <v>118.3511503537497</v>
      </c>
      <c r="Z15" s="66">
        <v>0</v>
      </c>
      <c r="AA15" s="67">
        <v>0</v>
      </c>
      <c r="AB15" s="68">
        <v>0</v>
      </c>
      <c r="AC15" s="69">
        <v>0</v>
      </c>
      <c r="AD15" s="69">
        <v>7.9164356764819788</v>
      </c>
      <c r="AE15" s="68">
        <v>7.7010387483703617</v>
      </c>
      <c r="AF15" s="68">
        <v>0</v>
      </c>
      <c r="AG15" s="68">
        <v>1</v>
      </c>
      <c r="AH15" s="69">
        <v>220.62688694794971</v>
      </c>
      <c r="AI15" s="69">
        <v>423.53806848526</v>
      </c>
      <c r="AJ15" s="69">
        <v>1103.5340710957844</v>
      </c>
      <c r="AK15" s="69">
        <v>986.04842739105243</v>
      </c>
      <c r="AL15" s="69">
        <v>886.36706409454348</v>
      </c>
      <c r="AM15" s="69">
        <v>1589.0368310292561</v>
      </c>
      <c r="AN15" s="69">
        <v>941.03986778259286</v>
      </c>
      <c r="AO15" s="69">
        <v>1350.7081604003906</v>
      </c>
      <c r="AP15" s="69">
        <v>57.343772192796074</v>
      </c>
      <c r="AQ15" s="69">
        <v>664.21797526677449</v>
      </c>
    </row>
    <row r="16" spans="1:47">
      <c r="A16" s="11">
        <v>41038</v>
      </c>
      <c r="B16" s="59"/>
      <c r="C16" s="60">
        <v>0</v>
      </c>
      <c r="D16" s="60">
        <v>0</v>
      </c>
      <c r="E16" s="60">
        <v>0</v>
      </c>
      <c r="F16" s="60">
        <v>0</v>
      </c>
      <c r="G16" s="60">
        <v>0</v>
      </c>
      <c r="H16" s="61">
        <v>0</v>
      </c>
      <c r="I16" s="59">
        <v>225.39240447680149</v>
      </c>
      <c r="J16" s="60">
        <v>579.02222000757877</v>
      </c>
      <c r="K16" s="60">
        <v>9.1583596795797355</v>
      </c>
      <c r="L16" s="60">
        <v>0</v>
      </c>
      <c r="M16" s="60">
        <v>0</v>
      </c>
      <c r="N16" s="61">
        <v>0</v>
      </c>
      <c r="O16" s="59">
        <v>0</v>
      </c>
      <c r="P16" s="60">
        <v>0</v>
      </c>
      <c r="Q16" s="60">
        <v>0</v>
      </c>
      <c r="R16" s="63">
        <v>0</v>
      </c>
      <c r="S16" s="60">
        <v>0</v>
      </c>
      <c r="T16" s="64">
        <v>0</v>
      </c>
      <c r="U16" s="65">
        <v>256.62740147908539</v>
      </c>
      <c r="V16" s="62">
        <v>0</v>
      </c>
      <c r="W16" s="62">
        <v>26.894543857375766</v>
      </c>
      <c r="X16" s="62">
        <v>0</v>
      </c>
      <c r="Y16" s="66">
        <v>137.28875275452938</v>
      </c>
      <c r="Z16" s="66">
        <v>0</v>
      </c>
      <c r="AA16" s="67">
        <v>0</v>
      </c>
      <c r="AB16" s="68">
        <v>0</v>
      </c>
      <c r="AC16" s="69">
        <v>0</v>
      </c>
      <c r="AD16" s="69">
        <v>8.7471799029244313</v>
      </c>
      <c r="AE16" s="68">
        <v>8.5390284107724597</v>
      </c>
      <c r="AF16" s="68">
        <v>0</v>
      </c>
      <c r="AG16" s="68">
        <v>1</v>
      </c>
      <c r="AH16" s="69">
        <v>223.116891002655</v>
      </c>
      <c r="AI16" s="69">
        <v>439.97619018554701</v>
      </c>
      <c r="AJ16" s="69">
        <v>1136.7605007807415</v>
      </c>
      <c r="AK16" s="69">
        <v>990.65365104675323</v>
      </c>
      <c r="AL16" s="69">
        <v>903.8787954648335</v>
      </c>
      <c r="AM16" s="69">
        <v>1519.0573640187583</v>
      </c>
      <c r="AN16" s="69">
        <v>958.32863311767596</v>
      </c>
      <c r="AO16" s="69">
        <v>1497.5908220291137</v>
      </c>
      <c r="AP16" s="69">
        <v>49.523256705204645</v>
      </c>
      <c r="AQ16" s="69">
        <v>821.89560038248692</v>
      </c>
    </row>
    <row r="17" spans="1:43">
      <c r="A17" s="11">
        <v>41039</v>
      </c>
      <c r="B17" s="49"/>
      <c r="C17" s="50">
        <v>0</v>
      </c>
      <c r="D17" s="50">
        <v>0</v>
      </c>
      <c r="E17" s="50">
        <v>0</v>
      </c>
      <c r="F17" s="50">
        <v>0</v>
      </c>
      <c r="G17" s="50">
        <v>0</v>
      </c>
      <c r="H17" s="51">
        <v>0</v>
      </c>
      <c r="I17" s="49">
        <v>274.50627891222615</v>
      </c>
      <c r="J17" s="50">
        <v>950.2509376525893</v>
      </c>
      <c r="K17" s="50">
        <v>14.632367630799587</v>
      </c>
      <c r="L17" s="60">
        <v>0</v>
      </c>
      <c r="M17" s="50">
        <v>0</v>
      </c>
      <c r="N17" s="51">
        <v>0</v>
      </c>
      <c r="O17" s="49">
        <v>0</v>
      </c>
      <c r="P17" s="50">
        <v>0</v>
      </c>
      <c r="Q17" s="50">
        <v>0</v>
      </c>
      <c r="R17" s="70">
        <v>0</v>
      </c>
      <c r="S17" s="50">
        <v>0</v>
      </c>
      <c r="T17" s="52">
        <v>0</v>
      </c>
      <c r="U17" s="71">
        <v>416.71888056860877</v>
      </c>
      <c r="V17" s="66">
        <v>0</v>
      </c>
      <c r="W17" s="62">
        <v>44.238052461544626</v>
      </c>
      <c r="X17" s="62">
        <v>0</v>
      </c>
      <c r="Y17" s="66">
        <v>262.94944059848757</v>
      </c>
      <c r="Z17" s="66">
        <v>0</v>
      </c>
      <c r="AA17" s="67">
        <v>0</v>
      </c>
      <c r="AB17" s="68">
        <v>0</v>
      </c>
      <c r="AC17" s="69">
        <v>0</v>
      </c>
      <c r="AD17" s="69">
        <v>14.9648717787531</v>
      </c>
      <c r="AE17" s="68">
        <v>14.700076858404467</v>
      </c>
      <c r="AF17" s="68">
        <v>0</v>
      </c>
      <c r="AG17" s="68">
        <v>1</v>
      </c>
      <c r="AH17" s="69">
        <v>283.00182755788165</v>
      </c>
      <c r="AI17" s="69">
        <v>513.73933369318638</v>
      </c>
      <c r="AJ17" s="69">
        <v>1164.3523359934486</v>
      </c>
      <c r="AK17" s="69">
        <v>1018.4242045720416</v>
      </c>
      <c r="AL17" s="69">
        <v>903.68978586196909</v>
      </c>
      <c r="AM17" s="69">
        <v>1424.207011985779</v>
      </c>
      <c r="AN17" s="69">
        <v>909.44652185440066</v>
      </c>
      <c r="AO17" s="69">
        <v>1995.4811616261802</v>
      </c>
      <c r="AP17" s="69">
        <v>37.173717498779297</v>
      </c>
      <c r="AQ17" s="69">
        <v>875.45530214309724</v>
      </c>
    </row>
    <row r="18" spans="1:43">
      <c r="A18" s="11">
        <v>41040</v>
      </c>
      <c r="B18" s="59"/>
      <c r="C18" s="60">
        <v>0</v>
      </c>
      <c r="D18" s="60">
        <v>0</v>
      </c>
      <c r="E18" s="60">
        <v>0</v>
      </c>
      <c r="F18" s="60">
        <v>0</v>
      </c>
      <c r="G18" s="60">
        <v>0</v>
      </c>
      <c r="H18" s="61">
        <v>0</v>
      </c>
      <c r="I18" s="59">
        <v>226.35877609252935</v>
      </c>
      <c r="J18" s="60">
        <v>628.03770599365157</v>
      </c>
      <c r="K18" s="60">
        <v>9.9148307094971262</v>
      </c>
      <c r="L18" s="60">
        <v>0</v>
      </c>
      <c r="M18" s="60">
        <v>0</v>
      </c>
      <c r="N18" s="61">
        <v>0</v>
      </c>
      <c r="O18" s="59">
        <v>0</v>
      </c>
      <c r="P18" s="60">
        <v>0</v>
      </c>
      <c r="Q18" s="60">
        <v>0</v>
      </c>
      <c r="R18" s="63">
        <v>0</v>
      </c>
      <c r="S18" s="60">
        <v>0</v>
      </c>
      <c r="T18" s="64">
        <v>0</v>
      </c>
      <c r="U18" s="65">
        <v>286.77654708226572</v>
      </c>
      <c r="V18" s="62">
        <v>0</v>
      </c>
      <c r="W18" s="62">
        <v>29.79076466560366</v>
      </c>
      <c r="X18" s="62">
        <v>0</v>
      </c>
      <c r="Y18" s="66">
        <v>184.1670489947</v>
      </c>
      <c r="Z18" s="66">
        <v>0</v>
      </c>
      <c r="AA18" s="67">
        <v>0</v>
      </c>
      <c r="AB18" s="68">
        <v>0</v>
      </c>
      <c r="AC18" s="69">
        <v>0</v>
      </c>
      <c r="AD18" s="69">
        <v>9.9520111272732414</v>
      </c>
      <c r="AE18" s="68">
        <v>9.7938113764378354</v>
      </c>
      <c r="AF18" s="68">
        <v>0</v>
      </c>
      <c r="AG18" s="68">
        <v>1</v>
      </c>
      <c r="AH18" s="69">
        <v>278.59480939706168</v>
      </c>
      <c r="AI18" s="69">
        <v>481.430073372523</v>
      </c>
      <c r="AJ18" s="69">
        <v>1035.9088977813722</v>
      </c>
      <c r="AK18" s="69">
        <v>992.84944426218669</v>
      </c>
      <c r="AL18" s="69">
        <v>902.44494069417317</v>
      </c>
      <c r="AM18" s="69">
        <v>1381.1604017257694</v>
      </c>
      <c r="AN18" s="69">
        <v>922.77857716878259</v>
      </c>
      <c r="AO18" s="69">
        <v>1569.3453266143797</v>
      </c>
      <c r="AP18" s="69">
        <v>52.784834764401126</v>
      </c>
      <c r="AQ18" s="69">
        <v>564.66593106587732</v>
      </c>
    </row>
    <row r="19" spans="1:43">
      <c r="A19" s="11">
        <v>41041</v>
      </c>
      <c r="B19" s="59"/>
      <c r="C19" s="60">
        <v>0</v>
      </c>
      <c r="D19" s="60">
        <v>0</v>
      </c>
      <c r="E19" s="60">
        <v>0</v>
      </c>
      <c r="F19" s="60">
        <v>0</v>
      </c>
      <c r="G19" s="60">
        <v>0</v>
      </c>
      <c r="H19" s="61">
        <v>0</v>
      </c>
      <c r="I19" s="59">
        <v>243.78252689043754</v>
      </c>
      <c r="J19" s="60">
        <v>641.58985112508037</v>
      </c>
      <c r="K19" s="60">
        <v>9.9245991657177424</v>
      </c>
      <c r="L19" s="60">
        <v>0</v>
      </c>
      <c r="M19" s="60">
        <v>0</v>
      </c>
      <c r="N19" s="61">
        <v>0</v>
      </c>
      <c r="O19" s="59">
        <v>0</v>
      </c>
      <c r="P19" s="60">
        <v>0</v>
      </c>
      <c r="Q19" s="60">
        <v>0</v>
      </c>
      <c r="R19" s="63">
        <v>0</v>
      </c>
      <c r="S19" s="60">
        <v>0</v>
      </c>
      <c r="T19" s="64">
        <v>0</v>
      </c>
      <c r="U19" s="65">
        <v>294.08564368353586</v>
      </c>
      <c r="V19" s="62">
        <v>0</v>
      </c>
      <c r="W19" s="62">
        <v>29.883784905076066</v>
      </c>
      <c r="X19" s="62">
        <v>0</v>
      </c>
      <c r="Y19" s="66">
        <v>182.38169788519522</v>
      </c>
      <c r="Z19" s="66">
        <v>0</v>
      </c>
      <c r="AA19" s="67">
        <v>0</v>
      </c>
      <c r="AB19" s="68">
        <v>0</v>
      </c>
      <c r="AC19" s="69">
        <v>0</v>
      </c>
      <c r="AD19" s="69">
        <v>10.144281472762433</v>
      </c>
      <c r="AE19" s="68">
        <v>9.9992721187746447</v>
      </c>
      <c r="AF19" s="68">
        <v>0</v>
      </c>
      <c r="AG19" s="68">
        <v>1</v>
      </c>
      <c r="AH19" s="69">
        <v>218.60975363254545</v>
      </c>
      <c r="AI19" s="69">
        <v>420.20189296404521</v>
      </c>
      <c r="AJ19" s="69">
        <v>1050.8436999003093</v>
      </c>
      <c r="AK19" s="69">
        <v>984.31551106770814</v>
      </c>
      <c r="AL19" s="69">
        <v>889.47661094665523</v>
      </c>
      <c r="AM19" s="69">
        <v>1423.4972806930543</v>
      </c>
      <c r="AN19" s="69">
        <v>919.57148507436136</v>
      </c>
      <c r="AO19" s="69">
        <v>1495.1624921162922</v>
      </c>
      <c r="AP19" s="69">
        <v>81.108898884058007</v>
      </c>
      <c r="AQ19" s="69">
        <v>581.45259094238281</v>
      </c>
    </row>
    <row r="20" spans="1:43">
      <c r="A20" s="11">
        <v>41042</v>
      </c>
      <c r="B20" s="59"/>
      <c r="C20" s="60">
        <v>0</v>
      </c>
      <c r="D20" s="60">
        <v>0</v>
      </c>
      <c r="E20" s="60">
        <v>0</v>
      </c>
      <c r="F20" s="60">
        <v>0</v>
      </c>
      <c r="G20" s="60">
        <v>0</v>
      </c>
      <c r="H20" s="61">
        <v>0</v>
      </c>
      <c r="I20" s="59">
        <v>206.23024463653516</v>
      </c>
      <c r="J20" s="60">
        <v>509.14618929227123</v>
      </c>
      <c r="K20" s="60">
        <v>7.7687786643703944</v>
      </c>
      <c r="L20" s="60">
        <v>0</v>
      </c>
      <c r="M20" s="60">
        <v>0</v>
      </c>
      <c r="N20" s="61">
        <v>0</v>
      </c>
      <c r="O20" s="59">
        <v>0</v>
      </c>
      <c r="P20" s="60">
        <v>0</v>
      </c>
      <c r="Q20" s="60">
        <v>0</v>
      </c>
      <c r="R20" s="63">
        <v>0</v>
      </c>
      <c r="S20" s="60">
        <v>0</v>
      </c>
      <c r="T20" s="64">
        <v>0</v>
      </c>
      <c r="U20" s="65">
        <v>230.4866579638587</v>
      </c>
      <c r="V20" s="62">
        <v>0</v>
      </c>
      <c r="W20" s="62">
        <v>23.299045253793473</v>
      </c>
      <c r="X20" s="62">
        <v>0</v>
      </c>
      <c r="Y20" s="66">
        <v>146.88435741265602</v>
      </c>
      <c r="Z20" s="66">
        <v>0</v>
      </c>
      <c r="AA20" s="67">
        <v>0</v>
      </c>
      <c r="AB20" s="68">
        <v>0</v>
      </c>
      <c r="AC20" s="69">
        <v>0</v>
      </c>
      <c r="AD20" s="69">
        <v>8.0149103969335673</v>
      </c>
      <c r="AE20" s="68">
        <v>7.8626357928220694</v>
      </c>
      <c r="AF20" s="68">
        <v>0</v>
      </c>
      <c r="AG20" s="68">
        <v>1</v>
      </c>
      <c r="AH20" s="69">
        <v>218.49617702166236</v>
      </c>
      <c r="AI20" s="69">
        <v>421.74854663213091</v>
      </c>
      <c r="AJ20" s="69">
        <v>1064.9854303359987</v>
      </c>
      <c r="AK20" s="69">
        <v>988.03079312642421</v>
      </c>
      <c r="AL20" s="69">
        <v>918.79833984375</v>
      </c>
      <c r="AM20" s="69">
        <v>1473.0478931427003</v>
      </c>
      <c r="AN20" s="69">
        <v>916.00167592366529</v>
      </c>
      <c r="AO20" s="69">
        <v>1514.3553187052407</v>
      </c>
      <c r="AP20" s="69">
        <v>84.571495044231398</v>
      </c>
      <c r="AQ20" s="69">
        <v>578.93259960810349</v>
      </c>
    </row>
    <row r="21" spans="1:43">
      <c r="A21" s="11">
        <v>41043</v>
      </c>
      <c r="B21" s="59"/>
      <c r="C21" s="60">
        <v>0</v>
      </c>
      <c r="D21" s="60">
        <v>0</v>
      </c>
      <c r="E21" s="60">
        <v>0</v>
      </c>
      <c r="F21" s="60">
        <v>0</v>
      </c>
      <c r="G21" s="60">
        <v>0</v>
      </c>
      <c r="H21" s="61">
        <v>0</v>
      </c>
      <c r="I21" s="59">
        <v>215.66830859184284</v>
      </c>
      <c r="J21" s="60">
        <v>507.12050277392143</v>
      </c>
      <c r="K21" s="60">
        <v>7.9373940467834467</v>
      </c>
      <c r="L21" s="60">
        <v>0</v>
      </c>
      <c r="M21" s="60">
        <v>0</v>
      </c>
      <c r="N21" s="61">
        <v>0</v>
      </c>
      <c r="O21" s="59">
        <v>0</v>
      </c>
      <c r="P21" s="60">
        <v>0</v>
      </c>
      <c r="Q21" s="60">
        <v>0</v>
      </c>
      <c r="R21" s="63">
        <v>0</v>
      </c>
      <c r="S21" s="60">
        <v>0</v>
      </c>
      <c r="T21" s="64">
        <v>0</v>
      </c>
      <c r="U21" s="65">
        <v>229.32705746756687</v>
      </c>
      <c r="V21" s="62">
        <v>0</v>
      </c>
      <c r="W21" s="62">
        <v>22.253777789076189</v>
      </c>
      <c r="X21" s="62">
        <v>0</v>
      </c>
      <c r="Y21" s="66">
        <v>139.93846350510921</v>
      </c>
      <c r="Z21" s="66">
        <v>0</v>
      </c>
      <c r="AA21" s="67">
        <v>0</v>
      </c>
      <c r="AB21" s="68">
        <v>0</v>
      </c>
      <c r="AC21" s="69">
        <v>0</v>
      </c>
      <c r="AD21" s="69">
        <v>7.4069649663236321</v>
      </c>
      <c r="AE21" s="68">
        <v>7.3393299009315234</v>
      </c>
      <c r="AF21" s="68">
        <v>0</v>
      </c>
      <c r="AG21" s="68">
        <v>1</v>
      </c>
      <c r="AH21" s="69">
        <v>211.97147513230638</v>
      </c>
      <c r="AI21" s="69">
        <v>426.3574868679047</v>
      </c>
      <c r="AJ21" s="69">
        <v>1126.699788284302</v>
      </c>
      <c r="AK21" s="69">
        <v>992.57145557403567</v>
      </c>
      <c r="AL21" s="69">
        <v>885.8702955881754</v>
      </c>
      <c r="AM21" s="69">
        <v>1385.0467300415041</v>
      </c>
      <c r="AN21" s="69">
        <v>722.36598351796465</v>
      </c>
      <c r="AO21" s="69">
        <v>1283.1314628601074</v>
      </c>
      <c r="AP21" s="69">
        <v>53.124536871910088</v>
      </c>
      <c r="AQ21" s="69">
        <v>781.28952382405623</v>
      </c>
    </row>
    <row r="22" spans="1:43">
      <c r="A22" s="11">
        <v>41044</v>
      </c>
      <c r="B22" s="59"/>
      <c r="C22" s="60">
        <v>0</v>
      </c>
      <c r="D22" s="60">
        <v>0</v>
      </c>
      <c r="E22" s="60">
        <v>0</v>
      </c>
      <c r="F22" s="60">
        <v>0</v>
      </c>
      <c r="G22" s="60">
        <v>0</v>
      </c>
      <c r="H22" s="61">
        <v>0</v>
      </c>
      <c r="I22" s="59">
        <v>353.37964248657192</v>
      </c>
      <c r="J22" s="60">
        <v>1049.9644620259608</v>
      </c>
      <c r="K22" s="60">
        <v>16.513025807837629</v>
      </c>
      <c r="L22" s="60">
        <v>0</v>
      </c>
      <c r="M22" s="60">
        <v>0</v>
      </c>
      <c r="N22" s="61">
        <v>0</v>
      </c>
      <c r="O22" s="59">
        <v>0</v>
      </c>
      <c r="P22" s="60">
        <v>0</v>
      </c>
      <c r="Q22" s="60">
        <v>0</v>
      </c>
      <c r="R22" s="63">
        <v>0</v>
      </c>
      <c r="S22" s="60">
        <v>0</v>
      </c>
      <c r="T22" s="64">
        <v>0</v>
      </c>
      <c r="U22" s="65">
        <v>453.78749152289299</v>
      </c>
      <c r="V22" s="62">
        <v>0</v>
      </c>
      <c r="W22" s="62">
        <v>47.754102313518494</v>
      </c>
      <c r="X22" s="62">
        <v>0</v>
      </c>
      <c r="Y22" s="66">
        <v>317.82116808891328</v>
      </c>
      <c r="Z22" s="66">
        <v>0</v>
      </c>
      <c r="AA22" s="67">
        <v>0</v>
      </c>
      <c r="AB22" s="68">
        <v>0</v>
      </c>
      <c r="AC22" s="69">
        <v>0</v>
      </c>
      <c r="AD22" s="69">
        <v>16.487227363056626</v>
      </c>
      <c r="AE22" s="68">
        <v>16.217781891744814</v>
      </c>
      <c r="AF22" s="68">
        <v>0</v>
      </c>
      <c r="AG22" s="68">
        <v>1</v>
      </c>
      <c r="AH22" s="69">
        <v>269.45910808245344</v>
      </c>
      <c r="AI22" s="69">
        <v>492.97076527277636</v>
      </c>
      <c r="AJ22" s="69">
        <v>1130.9052919387816</v>
      </c>
      <c r="AK22" s="69">
        <v>1015.736285463969</v>
      </c>
      <c r="AL22" s="69">
        <v>894.15402870178207</v>
      </c>
      <c r="AM22" s="69">
        <v>1344.5231612523392</v>
      </c>
      <c r="AN22" s="69">
        <v>461.52390848795568</v>
      </c>
      <c r="AO22" s="69">
        <v>2149.5153986612954</v>
      </c>
      <c r="AP22" s="69">
        <v>190.25970131556195</v>
      </c>
      <c r="AQ22" s="69">
        <v>826.62013254165652</v>
      </c>
    </row>
    <row r="23" spans="1:43">
      <c r="A23" s="11">
        <v>41045</v>
      </c>
      <c r="B23" s="59"/>
      <c r="C23" s="60">
        <v>0</v>
      </c>
      <c r="D23" s="60">
        <v>0</v>
      </c>
      <c r="E23" s="60">
        <v>0</v>
      </c>
      <c r="F23" s="60">
        <v>0</v>
      </c>
      <c r="G23" s="60">
        <v>0</v>
      </c>
      <c r="H23" s="61">
        <v>0</v>
      </c>
      <c r="I23" s="59">
        <v>291.7058422565467</v>
      </c>
      <c r="J23" s="60">
        <v>747.63849193254919</v>
      </c>
      <c r="K23" s="60">
        <v>11.610494416455492</v>
      </c>
      <c r="L23" s="60">
        <v>0</v>
      </c>
      <c r="M23" s="60">
        <v>0</v>
      </c>
      <c r="N23" s="61">
        <v>0</v>
      </c>
      <c r="O23" s="59">
        <v>0</v>
      </c>
      <c r="P23" s="60">
        <v>0</v>
      </c>
      <c r="Q23" s="60">
        <v>0</v>
      </c>
      <c r="R23" s="63">
        <v>0</v>
      </c>
      <c r="S23" s="60">
        <v>0</v>
      </c>
      <c r="T23" s="64">
        <v>0</v>
      </c>
      <c r="U23" s="65">
        <v>308.16715704798094</v>
      </c>
      <c r="V23" s="62">
        <v>0</v>
      </c>
      <c r="W23" s="62">
        <v>31.321139259139684</v>
      </c>
      <c r="X23" s="62">
        <v>0</v>
      </c>
      <c r="Y23" s="66">
        <v>237.28595747152977</v>
      </c>
      <c r="Z23" s="66">
        <v>0</v>
      </c>
      <c r="AA23" s="67">
        <v>0</v>
      </c>
      <c r="AB23" s="68">
        <v>0</v>
      </c>
      <c r="AC23" s="69">
        <v>0</v>
      </c>
      <c r="AD23" s="69">
        <v>12.173463486135018</v>
      </c>
      <c r="AE23" s="68">
        <v>11.826088897898593</v>
      </c>
      <c r="AF23" s="68">
        <v>0</v>
      </c>
      <c r="AG23" s="68">
        <v>1</v>
      </c>
      <c r="AH23" s="69">
        <v>207.04376822312673</v>
      </c>
      <c r="AI23" s="69">
        <v>435.88462824821465</v>
      </c>
      <c r="AJ23" s="69">
        <v>1126.1969521840413</v>
      </c>
      <c r="AK23" s="69">
        <v>1007.2117507298786</v>
      </c>
      <c r="AL23" s="69">
        <v>875.32350848515819</v>
      </c>
      <c r="AM23" s="69">
        <v>1333.1804784138997</v>
      </c>
      <c r="AN23" s="69">
        <v>484.00246173540734</v>
      </c>
      <c r="AO23" s="69">
        <v>1978.1845249811809</v>
      </c>
      <c r="AP23" s="69">
        <v>285.65710172653195</v>
      </c>
      <c r="AQ23" s="69">
        <v>888.75623067220056</v>
      </c>
    </row>
    <row r="24" spans="1:43">
      <c r="A24" s="11">
        <v>41046</v>
      </c>
      <c r="B24" s="59"/>
      <c r="C24" s="60">
        <v>0</v>
      </c>
      <c r="D24" s="60">
        <v>0</v>
      </c>
      <c r="E24" s="60">
        <v>0</v>
      </c>
      <c r="F24" s="60">
        <v>0</v>
      </c>
      <c r="G24" s="60">
        <v>0</v>
      </c>
      <c r="H24" s="61">
        <v>0</v>
      </c>
      <c r="I24" s="59">
        <v>293.90923115412443</v>
      </c>
      <c r="J24" s="60">
        <v>754.28808093071029</v>
      </c>
      <c r="K24" s="60">
        <v>11.966313413282228</v>
      </c>
      <c r="L24" s="60">
        <v>0</v>
      </c>
      <c r="M24" s="60">
        <v>0</v>
      </c>
      <c r="N24" s="61">
        <v>0</v>
      </c>
      <c r="O24" s="59">
        <v>0</v>
      </c>
      <c r="P24" s="60">
        <v>0</v>
      </c>
      <c r="Q24" s="60">
        <v>0</v>
      </c>
      <c r="R24" s="63">
        <v>0</v>
      </c>
      <c r="S24" s="60">
        <v>0</v>
      </c>
      <c r="T24" s="64">
        <v>0</v>
      </c>
      <c r="U24" s="65">
        <v>322.31394526826097</v>
      </c>
      <c r="V24" s="62">
        <v>0</v>
      </c>
      <c r="W24" s="62">
        <v>32.253314468264584</v>
      </c>
      <c r="X24" s="62">
        <v>0</v>
      </c>
      <c r="Y24" s="66">
        <v>224.20937008062972</v>
      </c>
      <c r="Z24" s="66">
        <v>0</v>
      </c>
      <c r="AA24" s="67">
        <v>0</v>
      </c>
      <c r="AB24" s="68">
        <v>0</v>
      </c>
      <c r="AC24" s="69">
        <v>0</v>
      </c>
      <c r="AD24" s="69">
        <v>11.935260830985158</v>
      </c>
      <c r="AE24" s="68">
        <v>11.684838163391934</v>
      </c>
      <c r="AF24" s="68">
        <v>0</v>
      </c>
      <c r="AG24" s="68">
        <v>1</v>
      </c>
      <c r="AH24" s="69">
        <v>269.83380375703177</v>
      </c>
      <c r="AI24" s="69">
        <v>499.88947941462214</v>
      </c>
      <c r="AJ24" s="69">
        <v>1127.6139916102088</v>
      </c>
      <c r="AK24" s="69">
        <v>992.48322397867832</v>
      </c>
      <c r="AL24" s="69">
        <v>865.25580298105876</v>
      </c>
      <c r="AM24" s="69">
        <v>1415.0464370091752</v>
      </c>
      <c r="AN24" s="69">
        <v>509.54652824401859</v>
      </c>
      <c r="AO24" s="69">
        <v>1612.3794775009155</v>
      </c>
      <c r="AP24" s="69">
        <v>301.16426211992899</v>
      </c>
      <c r="AQ24" s="69">
        <v>875.93720788955704</v>
      </c>
    </row>
    <row r="25" spans="1:43">
      <c r="A25" s="11">
        <v>41047</v>
      </c>
      <c r="B25" s="59"/>
      <c r="C25" s="60">
        <v>0</v>
      </c>
      <c r="D25" s="60">
        <v>0</v>
      </c>
      <c r="E25" s="60">
        <v>0</v>
      </c>
      <c r="F25" s="60">
        <v>0</v>
      </c>
      <c r="G25" s="60">
        <v>0</v>
      </c>
      <c r="H25" s="61">
        <v>0</v>
      </c>
      <c r="I25" s="59">
        <v>317.24833234151203</v>
      </c>
      <c r="J25" s="60">
        <v>819.88015899658251</v>
      </c>
      <c r="K25" s="60">
        <v>12.972738873958612</v>
      </c>
      <c r="L25" s="60">
        <v>0</v>
      </c>
      <c r="M25" s="60">
        <v>0</v>
      </c>
      <c r="N25" s="61">
        <v>0</v>
      </c>
      <c r="O25" s="59">
        <v>0</v>
      </c>
      <c r="P25" s="60">
        <v>0</v>
      </c>
      <c r="Q25" s="60">
        <v>0</v>
      </c>
      <c r="R25" s="63">
        <v>0</v>
      </c>
      <c r="S25" s="60">
        <v>0</v>
      </c>
      <c r="T25" s="64">
        <v>0</v>
      </c>
      <c r="U25" s="65">
        <v>352.75099097357662</v>
      </c>
      <c r="V25" s="62">
        <v>0</v>
      </c>
      <c r="W25" s="62">
        <v>35.455993282794957</v>
      </c>
      <c r="X25" s="62">
        <v>0</v>
      </c>
      <c r="Y25" s="66">
        <v>247.79131769339205</v>
      </c>
      <c r="Z25" s="66">
        <v>0</v>
      </c>
      <c r="AA25" s="67">
        <v>0</v>
      </c>
      <c r="AB25" s="68">
        <v>0</v>
      </c>
      <c r="AC25" s="69">
        <v>0</v>
      </c>
      <c r="AD25" s="69">
        <v>13.234147594372448</v>
      </c>
      <c r="AE25" s="68">
        <v>12.973063591025667</v>
      </c>
      <c r="AF25" s="68">
        <v>0</v>
      </c>
      <c r="AG25" s="68">
        <v>1</v>
      </c>
      <c r="AH25" s="69">
        <v>212.18863581021628</v>
      </c>
      <c r="AI25" s="69">
        <v>435.74972097078967</v>
      </c>
      <c r="AJ25" s="69">
        <v>1139.0259447733563</v>
      </c>
      <c r="AK25" s="69">
        <v>994.01354541778585</v>
      </c>
      <c r="AL25" s="69">
        <v>870.16492840449007</v>
      </c>
      <c r="AM25" s="69">
        <v>1467.4285515467325</v>
      </c>
      <c r="AN25" s="69">
        <v>542.88021097183241</v>
      </c>
      <c r="AO25" s="69">
        <v>1642.1846380869545</v>
      </c>
      <c r="AP25" s="69">
        <v>299.6150359471639</v>
      </c>
      <c r="AQ25" s="69">
        <v>900.60063581466659</v>
      </c>
    </row>
    <row r="26" spans="1:43">
      <c r="A26" s="11">
        <v>41048</v>
      </c>
      <c r="B26" s="59"/>
      <c r="C26" s="60">
        <v>0</v>
      </c>
      <c r="D26" s="60">
        <v>0</v>
      </c>
      <c r="E26" s="60">
        <v>0</v>
      </c>
      <c r="F26" s="60">
        <v>0</v>
      </c>
      <c r="G26" s="60">
        <v>0</v>
      </c>
      <c r="H26" s="61">
        <v>0</v>
      </c>
      <c r="I26" s="59">
        <v>262.48210080464673</v>
      </c>
      <c r="J26" s="60">
        <v>679.66822802225681</v>
      </c>
      <c r="K26" s="60">
        <v>10.536823570728302</v>
      </c>
      <c r="L26" s="60">
        <v>0</v>
      </c>
      <c r="M26" s="60">
        <v>0</v>
      </c>
      <c r="N26" s="61">
        <v>0</v>
      </c>
      <c r="O26" s="59">
        <v>0</v>
      </c>
      <c r="P26" s="60">
        <v>0</v>
      </c>
      <c r="Q26" s="60">
        <v>0</v>
      </c>
      <c r="R26" s="63">
        <v>0</v>
      </c>
      <c r="S26" s="60">
        <v>0</v>
      </c>
      <c r="T26" s="64">
        <v>0</v>
      </c>
      <c r="U26" s="65">
        <v>283.89955362743774</v>
      </c>
      <c r="V26" s="62">
        <v>0</v>
      </c>
      <c r="W26" s="62">
        <v>28.760090405742336</v>
      </c>
      <c r="X26" s="62">
        <v>0</v>
      </c>
      <c r="Y26" s="66">
        <v>196.89006611506133</v>
      </c>
      <c r="Z26" s="66">
        <v>0</v>
      </c>
      <c r="AA26" s="67">
        <v>0</v>
      </c>
      <c r="AB26" s="68">
        <v>0</v>
      </c>
      <c r="AC26" s="69">
        <v>0</v>
      </c>
      <c r="AD26" s="69">
        <v>10.423608250750435</v>
      </c>
      <c r="AE26" s="68">
        <v>10.255257886961479</v>
      </c>
      <c r="AF26" s="68">
        <v>0</v>
      </c>
      <c r="AG26" s="68">
        <v>1</v>
      </c>
      <c r="AH26" s="69">
        <v>281.92851581573484</v>
      </c>
      <c r="AI26" s="69">
        <v>473.55074729919431</v>
      </c>
      <c r="AJ26" s="69">
        <v>1068.3519623438517</v>
      </c>
      <c r="AK26" s="69">
        <v>988.56447830200182</v>
      </c>
      <c r="AL26" s="69">
        <v>855.24540812174473</v>
      </c>
      <c r="AM26" s="69">
        <v>1401.231446393331</v>
      </c>
      <c r="AN26" s="69">
        <v>487.73097241719557</v>
      </c>
      <c r="AO26" s="69">
        <v>1473.6587654113771</v>
      </c>
      <c r="AP26" s="69">
        <v>288.79004732767743</v>
      </c>
      <c r="AQ26" s="69">
        <v>595.23968687057481</v>
      </c>
    </row>
    <row r="27" spans="1:43">
      <c r="A27" s="11">
        <v>41049</v>
      </c>
      <c r="B27" s="59"/>
      <c r="C27" s="60">
        <v>0</v>
      </c>
      <c r="D27" s="60">
        <v>0</v>
      </c>
      <c r="E27" s="60">
        <v>0</v>
      </c>
      <c r="F27" s="60">
        <v>0</v>
      </c>
      <c r="G27" s="60">
        <v>0</v>
      </c>
      <c r="H27" s="61">
        <v>0</v>
      </c>
      <c r="I27" s="59">
        <v>229.11572511990801</v>
      </c>
      <c r="J27" s="60">
        <v>541.70521313349479</v>
      </c>
      <c r="K27" s="60">
        <v>8.1968600327769892</v>
      </c>
      <c r="L27" s="60">
        <v>0</v>
      </c>
      <c r="M27" s="60">
        <v>0</v>
      </c>
      <c r="N27" s="61">
        <v>0</v>
      </c>
      <c r="O27" s="59">
        <v>0</v>
      </c>
      <c r="P27" s="60">
        <v>0</v>
      </c>
      <c r="Q27" s="60">
        <v>0</v>
      </c>
      <c r="R27" s="63">
        <v>0</v>
      </c>
      <c r="S27" s="60">
        <v>0</v>
      </c>
      <c r="T27" s="64">
        <v>0</v>
      </c>
      <c r="U27" s="65">
        <v>235.33912601471212</v>
      </c>
      <c r="V27" s="62">
        <v>0</v>
      </c>
      <c r="W27" s="62">
        <v>24.867852643132206</v>
      </c>
      <c r="X27" s="62">
        <v>0</v>
      </c>
      <c r="Y27" s="62">
        <v>161.44429076512688</v>
      </c>
      <c r="Z27" s="62">
        <v>0</v>
      </c>
      <c r="AA27" s="72">
        <v>0</v>
      </c>
      <c r="AB27" s="69">
        <v>0</v>
      </c>
      <c r="AC27" s="69">
        <v>0</v>
      </c>
      <c r="AD27" s="69">
        <v>8.5780085563659725</v>
      </c>
      <c r="AE27" s="69">
        <v>8.4379201909885175</v>
      </c>
      <c r="AF27" s="69">
        <v>0</v>
      </c>
      <c r="AG27" s="69">
        <v>1</v>
      </c>
      <c r="AH27" s="69">
        <v>200.77460276285808</v>
      </c>
      <c r="AI27" s="69">
        <v>414.09876184463508</v>
      </c>
      <c r="AJ27" s="69">
        <v>1103.2499861399333</v>
      </c>
      <c r="AK27" s="69">
        <v>988.04302101135249</v>
      </c>
      <c r="AL27" s="69">
        <v>855.2971370697021</v>
      </c>
      <c r="AM27" s="69">
        <v>1383.370317776998</v>
      </c>
      <c r="AN27" s="69">
        <v>477.95839916865026</v>
      </c>
      <c r="AO27" s="69">
        <v>1396.77608610789</v>
      </c>
      <c r="AP27" s="69">
        <v>298.6869842847189</v>
      </c>
      <c r="AQ27" s="69">
        <v>773.58605972925807</v>
      </c>
    </row>
    <row r="28" spans="1:43">
      <c r="A28" s="11">
        <v>41050</v>
      </c>
      <c r="B28" s="59"/>
      <c r="C28" s="60">
        <v>0</v>
      </c>
      <c r="D28" s="60">
        <v>0</v>
      </c>
      <c r="E28" s="60">
        <v>0</v>
      </c>
      <c r="F28" s="60">
        <v>0</v>
      </c>
      <c r="G28" s="60">
        <v>0</v>
      </c>
      <c r="H28" s="61">
        <v>0</v>
      </c>
      <c r="I28" s="59">
        <v>284.65923833847074</v>
      </c>
      <c r="J28" s="60">
        <v>846.79976151784274</v>
      </c>
      <c r="K28" s="60">
        <v>13.267831367750951</v>
      </c>
      <c r="L28" s="60">
        <v>0</v>
      </c>
      <c r="M28" s="60">
        <v>0</v>
      </c>
      <c r="N28" s="61">
        <v>0</v>
      </c>
      <c r="O28" s="59">
        <v>0</v>
      </c>
      <c r="P28" s="60">
        <v>0</v>
      </c>
      <c r="Q28" s="60">
        <v>0</v>
      </c>
      <c r="R28" s="63">
        <v>0</v>
      </c>
      <c r="S28" s="60">
        <v>0</v>
      </c>
      <c r="T28" s="64">
        <v>0</v>
      </c>
      <c r="U28" s="65">
        <v>328.14869037204153</v>
      </c>
      <c r="V28" s="62">
        <v>0</v>
      </c>
      <c r="W28" s="62">
        <v>34.032629742225005</v>
      </c>
      <c r="X28" s="62">
        <v>0</v>
      </c>
      <c r="Y28" s="66">
        <v>241.44046831130953</v>
      </c>
      <c r="Z28" s="66">
        <v>0</v>
      </c>
      <c r="AA28" s="67">
        <v>0</v>
      </c>
      <c r="AB28" s="68">
        <v>0</v>
      </c>
      <c r="AC28" s="69">
        <v>0</v>
      </c>
      <c r="AD28" s="69">
        <v>13.04732727805775</v>
      </c>
      <c r="AE28" s="68">
        <v>12.914812820525407</v>
      </c>
      <c r="AF28" s="68">
        <v>0</v>
      </c>
      <c r="AG28" s="68">
        <v>1</v>
      </c>
      <c r="AH28" s="69">
        <v>191.76038222312926</v>
      </c>
      <c r="AI28" s="69">
        <v>418.45778439839671</v>
      </c>
      <c r="AJ28" s="69">
        <v>1179.0372152964273</v>
      </c>
      <c r="AK28" s="69">
        <v>1000.4006901423136</v>
      </c>
      <c r="AL28" s="69">
        <v>869.74086319605522</v>
      </c>
      <c r="AM28" s="69">
        <v>1468.6303527196249</v>
      </c>
      <c r="AN28" s="69">
        <v>502.43020699818925</v>
      </c>
      <c r="AO28" s="69">
        <v>1462.5514357884724</v>
      </c>
      <c r="AP28" s="69">
        <v>353.5090765953064</v>
      </c>
      <c r="AQ28" s="69">
        <v>890.91097291310632</v>
      </c>
    </row>
    <row r="29" spans="1:43">
      <c r="A29" s="11">
        <v>41051</v>
      </c>
      <c r="B29" s="59"/>
      <c r="C29" s="60">
        <v>0</v>
      </c>
      <c r="D29" s="60">
        <v>0</v>
      </c>
      <c r="E29" s="60">
        <v>0</v>
      </c>
      <c r="F29" s="60">
        <v>0</v>
      </c>
      <c r="G29" s="60">
        <v>0</v>
      </c>
      <c r="H29" s="61">
        <v>0</v>
      </c>
      <c r="I29" s="59">
        <v>334.47968451182135</v>
      </c>
      <c r="J29" s="60">
        <v>988.5113454182947</v>
      </c>
      <c r="K29" s="60">
        <v>14.066429947813351</v>
      </c>
      <c r="L29" s="60">
        <v>0</v>
      </c>
      <c r="M29" s="60">
        <v>0</v>
      </c>
      <c r="N29" s="61">
        <v>0</v>
      </c>
      <c r="O29" s="59">
        <v>0</v>
      </c>
      <c r="P29" s="60">
        <v>0</v>
      </c>
      <c r="Q29" s="60">
        <v>0</v>
      </c>
      <c r="R29" s="63">
        <v>0</v>
      </c>
      <c r="S29" s="60">
        <v>0</v>
      </c>
      <c r="T29" s="64">
        <v>0</v>
      </c>
      <c r="U29" s="65">
        <v>373.26729611290909</v>
      </c>
      <c r="V29" s="62">
        <v>0</v>
      </c>
      <c r="W29" s="62">
        <v>37.848346628745382</v>
      </c>
      <c r="X29" s="62">
        <v>0</v>
      </c>
      <c r="Y29" s="66">
        <v>274.23294178644852</v>
      </c>
      <c r="Z29" s="66">
        <v>0</v>
      </c>
      <c r="AA29" s="67">
        <v>0</v>
      </c>
      <c r="AB29" s="68">
        <v>0</v>
      </c>
      <c r="AC29" s="69">
        <v>0</v>
      </c>
      <c r="AD29" s="69">
        <v>14.26220102906227</v>
      </c>
      <c r="AE29" s="68">
        <v>14.137798029859987</v>
      </c>
      <c r="AF29" s="68">
        <v>0</v>
      </c>
      <c r="AG29" s="68">
        <v>1</v>
      </c>
      <c r="AH29" s="69">
        <v>288.37543702125549</v>
      </c>
      <c r="AI29" s="69">
        <v>524.27979885737102</v>
      </c>
      <c r="AJ29" s="69">
        <v>1201.3994215647381</v>
      </c>
      <c r="AK29" s="69">
        <v>1005.6105831146241</v>
      </c>
      <c r="AL29" s="69">
        <v>869.63588501612355</v>
      </c>
      <c r="AM29" s="69">
        <v>1503.5799783706666</v>
      </c>
      <c r="AN29" s="69">
        <v>527.34948391914361</v>
      </c>
      <c r="AO29" s="69">
        <v>1825.8846641540529</v>
      </c>
      <c r="AP29" s="69">
        <v>320.8147174835205</v>
      </c>
      <c r="AQ29" s="69">
        <v>965.87701422373436</v>
      </c>
    </row>
    <row r="30" spans="1:43">
      <c r="A30" s="11">
        <v>41052</v>
      </c>
      <c r="B30" s="59"/>
      <c r="C30" s="60">
        <v>0</v>
      </c>
      <c r="D30" s="60">
        <v>0</v>
      </c>
      <c r="E30" s="60">
        <v>0</v>
      </c>
      <c r="F30" s="60">
        <v>0</v>
      </c>
      <c r="G30" s="60">
        <v>0</v>
      </c>
      <c r="H30" s="61">
        <v>0</v>
      </c>
      <c r="I30" s="59">
        <v>330.45170768101991</v>
      </c>
      <c r="J30" s="60">
        <v>983.78898598352919</v>
      </c>
      <c r="K30" s="60">
        <v>13.483050968746332</v>
      </c>
      <c r="L30" s="60">
        <v>0</v>
      </c>
      <c r="M30" s="60">
        <v>0</v>
      </c>
      <c r="N30" s="61">
        <v>0</v>
      </c>
      <c r="O30" s="59">
        <v>0</v>
      </c>
      <c r="P30" s="60">
        <v>0</v>
      </c>
      <c r="Q30" s="60">
        <v>0</v>
      </c>
      <c r="R30" s="63">
        <v>0</v>
      </c>
      <c r="S30" s="60">
        <v>0</v>
      </c>
      <c r="T30" s="64">
        <v>0</v>
      </c>
      <c r="U30" s="65">
        <v>358.9414388974447</v>
      </c>
      <c r="V30" s="62">
        <v>0</v>
      </c>
      <c r="W30" s="62">
        <v>37.292340053121265</v>
      </c>
      <c r="X30" s="62">
        <v>0</v>
      </c>
      <c r="Y30" s="66">
        <v>304.4978795687361</v>
      </c>
      <c r="Z30" s="66">
        <v>0</v>
      </c>
      <c r="AA30" s="67">
        <v>0</v>
      </c>
      <c r="AB30" s="68">
        <v>0</v>
      </c>
      <c r="AC30" s="69">
        <v>0</v>
      </c>
      <c r="AD30" s="69">
        <v>13.748604656921479</v>
      </c>
      <c r="AE30" s="68">
        <v>13.566667447008474</v>
      </c>
      <c r="AF30" s="68">
        <v>0</v>
      </c>
      <c r="AG30" s="68">
        <v>1</v>
      </c>
      <c r="AH30" s="69">
        <v>212.06600918769837</v>
      </c>
      <c r="AI30" s="69">
        <v>411.17844433784478</v>
      </c>
      <c r="AJ30" s="69">
        <v>1091.1694599151613</v>
      </c>
      <c r="AK30" s="69">
        <v>1012.3448508580525</v>
      </c>
      <c r="AL30" s="69">
        <v>870.08287019729607</v>
      </c>
      <c r="AM30" s="69">
        <v>1513.0825332641602</v>
      </c>
      <c r="AN30" s="69">
        <v>479.26239528656004</v>
      </c>
      <c r="AO30" s="69">
        <v>1765.6525414148964</v>
      </c>
      <c r="AP30" s="69">
        <v>194.7179182211558</v>
      </c>
      <c r="AQ30" s="69">
        <v>758.2569750150044</v>
      </c>
    </row>
    <row r="31" spans="1:43">
      <c r="A31" s="11">
        <v>41053</v>
      </c>
      <c r="B31" s="59"/>
      <c r="C31" s="60">
        <v>0</v>
      </c>
      <c r="D31" s="60">
        <v>0</v>
      </c>
      <c r="E31" s="60">
        <v>0</v>
      </c>
      <c r="F31" s="60">
        <v>0</v>
      </c>
      <c r="G31" s="60">
        <v>0</v>
      </c>
      <c r="H31" s="61">
        <v>0</v>
      </c>
      <c r="I31" s="59">
        <v>327.87562742233291</v>
      </c>
      <c r="J31" s="60">
        <v>805.97917626698768</v>
      </c>
      <c r="K31" s="60">
        <v>10.917772831022727</v>
      </c>
      <c r="L31" s="60">
        <v>0</v>
      </c>
      <c r="M31" s="60">
        <v>0</v>
      </c>
      <c r="N31" s="61">
        <v>0</v>
      </c>
      <c r="O31" s="59">
        <v>0</v>
      </c>
      <c r="P31" s="60">
        <v>0</v>
      </c>
      <c r="Q31" s="60">
        <v>0</v>
      </c>
      <c r="R31" s="63">
        <v>0</v>
      </c>
      <c r="S31" s="60">
        <v>0</v>
      </c>
      <c r="T31" s="64">
        <v>0</v>
      </c>
      <c r="U31" s="65">
        <v>308.0402338875669</v>
      </c>
      <c r="V31" s="62">
        <v>0</v>
      </c>
      <c r="W31" s="62">
        <v>31.990564799308814</v>
      </c>
      <c r="X31" s="62">
        <v>0</v>
      </c>
      <c r="Y31" s="66">
        <v>235.91270713011428</v>
      </c>
      <c r="Z31" s="66">
        <v>0</v>
      </c>
      <c r="AA31" s="67">
        <v>0</v>
      </c>
      <c r="AB31" s="68">
        <v>0</v>
      </c>
      <c r="AC31" s="69">
        <v>0</v>
      </c>
      <c r="AD31" s="69">
        <v>10.971997664703261</v>
      </c>
      <c r="AE31" s="68">
        <v>10.884214098124872</v>
      </c>
      <c r="AF31" s="68">
        <v>0</v>
      </c>
      <c r="AG31" s="68">
        <v>1</v>
      </c>
      <c r="AH31" s="69">
        <v>267.25646604696908</v>
      </c>
      <c r="AI31" s="69">
        <v>460.74939152399691</v>
      </c>
      <c r="AJ31" s="69">
        <v>1112.9028467814128</v>
      </c>
      <c r="AK31" s="69">
        <v>987.14462617238382</v>
      </c>
      <c r="AL31" s="69">
        <v>857.88921623229976</v>
      </c>
      <c r="AM31" s="69">
        <v>1442.4638059616088</v>
      </c>
      <c r="AN31" s="69">
        <v>453.25656817754106</v>
      </c>
      <c r="AO31" s="69">
        <v>1535.9342136383057</v>
      </c>
      <c r="AP31" s="69">
        <v>121.84213256835937</v>
      </c>
      <c r="AQ31" s="69">
        <v>721.81638949712112</v>
      </c>
    </row>
    <row r="32" spans="1:43">
      <c r="A32" s="11">
        <v>41054</v>
      </c>
      <c r="B32" s="59"/>
      <c r="C32" s="60">
        <v>0</v>
      </c>
      <c r="D32" s="60">
        <v>0</v>
      </c>
      <c r="E32" s="60">
        <v>0</v>
      </c>
      <c r="F32" s="60">
        <v>0</v>
      </c>
      <c r="G32" s="60">
        <v>0</v>
      </c>
      <c r="H32" s="61">
        <v>0</v>
      </c>
      <c r="I32" s="59">
        <v>263.37713270187351</v>
      </c>
      <c r="J32" s="60">
        <v>693.97421439488335</v>
      </c>
      <c r="K32" s="60">
        <v>9.4149362221360136</v>
      </c>
      <c r="L32" s="60">
        <v>0</v>
      </c>
      <c r="M32" s="60">
        <v>0</v>
      </c>
      <c r="N32" s="61">
        <v>0</v>
      </c>
      <c r="O32" s="59">
        <v>0</v>
      </c>
      <c r="P32" s="60">
        <v>0</v>
      </c>
      <c r="Q32" s="60">
        <v>0</v>
      </c>
      <c r="R32" s="63">
        <v>0</v>
      </c>
      <c r="S32" s="60">
        <v>0</v>
      </c>
      <c r="T32" s="64">
        <v>0</v>
      </c>
      <c r="U32" s="65">
        <v>248.13802806006569</v>
      </c>
      <c r="V32" s="62">
        <v>0</v>
      </c>
      <c r="W32" s="62">
        <v>25.695223208268473</v>
      </c>
      <c r="X32" s="62">
        <v>0</v>
      </c>
      <c r="Y32" s="66">
        <v>203.89352437655131</v>
      </c>
      <c r="Z32" s="66">
        <v>0</v>
      </c>
      <c r="AA32" s="67">
        <v>0</v>
      </c>
      <c r="AB32" s="68">
        <v>0</v>
      </c>
      <c r="AC32" s="69">
        <v>0</v>
      </c>
      <c r="AD32" s="69">
        <v>9.4993619210190108</v>
      </c>
      <c r="AE32" s="68">
        <v>9.3714371743361262</v>
      </c>
      <c r="AF32" s="68">
        <v>0</v>
      </c>
      <c r="AG32" s="68">
        <v>1</v>
      </c>
      <c r="AH32" s="69">
        <v>194.43653395970662</v>
      </c>
      <c r="AI32" s="69">
        <v>385.96484627723697</v>
      </c>
      <c r="AJ32" s="69">
        <v>1117.0588565190635</v>
      </c>
      <c r="AK32" s="69">
        <v>985.52073275248199</v>
      </c>
      <c r="AL32" s="69">
        <v>860.83819166819239</v>
      </c>
      <c r="AM32" s="69">
        <v>1391.9614042917885</v>
      </c>
      <c r="AN32" s="69">
        <v>440.77805883089707</v>
      </c>
      <c r="AO32" s="69">
        <v>1696.2876215616864</v>
      </c>
      <c r="AP32" s="69">
        <v>121.84213256835937</v>
      </c>
      <c r="AQ32" s="69">
        <v>772.53348271052039</v>
      </c>
    </row>
    <row r="33" spans="1:43">
      <c r="A33" s="11">
        <v>41055</v>
      </c>
      <c r="B33" s="59"/>
      <c r="C33" s="60">
        <v>0</v>
      </c>
      <c r="D33" s="60">
        <v>0</v>
      </c>
      <c r="E33" s="60">
        <v>0</v>
      </c>
      <c r="F33" s="60">
        <v>0</v>
      </c>
      <c r="G33" s="60">
        <v>0</v>
      </c>
      <c r="H33" s="61">
        <v>0</v>
      </c>
      <c r="I33" s="59">
        <v>325.28014041582753</v>
      </c>
      <c r="J33" s="60">
        <v>789.45854625701975</v>
      </c>
      <c r="K33" s="60">
        <v>10.376466151078544</v>
      </c>
      <c r="L33" s="60">
        <v>0</v>
      </c>
      <c r="M33" s="60">
        <v>0</v>
      </c>
      <c r="N33" s="61">
        <v>0</v>
      </c>
      <c r="O33" s="59">
        <v>0</v>
      </c>
      <c r="P33" s="60">
        <v>0</v>
      </c>
      <c r="Q33" s="60">
        <v>0</v>
      </c>
      <c r="R33" s="63">
        <v>0</v>
      </c>
      <c r="S33" s="60">
        <v>0</v>
      </c>
      <c r="T33" s="64">
        <v>0</v>
      </c>
      <c r="U33" s="65">
        <v>262.76764156553457</v>
      </c>
      <c r="V33" s="62">
        <v>0</v>
      </c>
      <c r="W33" s="62">
        <v>26.795744980374945</v>
      </c>
      <c r="X33" s="62">
        <v>0</v>
      </c>
      <c r="Y33" s="66">
        <v>202.54019231796249</v>
      </c>
      <c r="Z33" s="66">
        <v>0</v>
      </c>
      <c r="AA33" s="67">
        <v>0</v>
      </c>
      <c r="AB33" s="68">
        <v>0</v>
      </c>
      <c r="AC33" s="69">
        <v>0</v>
      </c>
      <c r="AD33" s="69">
        <v>9.78862496978706</v>
      </c>
      <c r="AE33" s="68">
        <v>9.6396953446590654</v>
      </c>
      <c r="AF33" s="68">
        <v>0</v>
      </c>
      <c r="AG33" s="68">
        <v>1</v>
      </c>
      <c r="AH33" s="69">
        <v>271.94035081068671</v>
      </c>
      <c r="AI33" s="69">
        <v>493.92586094538365</v>
      </c>
      <c r="AJ33" s="69">
        <v>1154.1401907602944</v>
      </c>
      <c r="AK33" s="69">
        <v>991.84490954081207</v>
      </c>
      <c r="AL33" s="69">
        <v>861.98206907908127</v>
      </c>
      <c r="AM33" s="69">
        <v>1445.8314797083535</v>
      </c>
      <c r="AN33" s="69">
        <v>469.98302059173591</v>
      </c>
      <c r="AO33" s="69">
        <v>1434.3971117019653</v>
      </c>
      <c r="AP33" s="69">
        <v>121.84213256835937</v>
      </c>
      <c r="AQ33" s="69">
        <v>854.59324175516747</v>
      </c>
    </row>
    <row r="34" spans="1:43">
      <c r="A34" s="11">
        <v>41056</v>
      </c>
      <c r="B34" s="59"/>
      <c r="C34" s="60">
        <v>0</v>
      </c>
      <c r="D34" s="60">
        <v>0</v>
      </c>
      <c r="E34" s="60">
        <v>0</v>
      </c>
      <c r="F34" s="60">
        <v>0</v>
      </c>
      <c r="G34" s="60">
        <v>0</v>
      </c>
      <c r="H34" s="61">
        <v>0</v>
      </c>
      <c r="I34" s="59">
        <v>403.47324592272543</v>
      </c>
      <c r="J34" s="60">
        <v>1031.4553182601915</v>
      </c>
      <c r="K34" s="60">
        <v>13.099565450350463</v>
      </c>
      <c r="L34" s="60">
        <v>0</v>
      </c>
      <c r="M34" s="60">
        <v>0</v>
      </c>
      <c r="N34" s="61">
        <v>0</v>
      </c>
      <c r="O34" s="59">
        <v>0</v>
      </c>
      <c r="P34" s="60">
        <v>0</v>
      </c>
      <c r="Q34" s="60">
        <v>0</v>
      </c>
      <c r="R34" s="63">
        <v>0</v>
      </c>
      <c r="S34" s="60">
        <v>0</v>
      </c>
      <c r="T34" s="64">
        <v>0</v>
      </c>
      <c r="U34" s="65">
        <v>343.84556206597227</v>
      </c>
      <c r="V34" s="62">
        <v>0</v>
      </c>
      <c r="W34" s="62">
        <v>36.417541261514067</v>
      </c>
      <c r="X34" s="62">
        <v>0</v>
      </c>
      <c r="Y34" s="66">
        <v>285.80286986033184</v>
      </c>
      <c r="Z34" s="66">
        <v>0</v>
      </c>
      <c r="AA34" s="67">
        <v>0</v>
      </c>
      <c r="AB34" s="68">
        <v>0</v>
      </c>
      <c r="AC34" s="69">
        <v>0</v>
      </c>
      <c r="AD34" s="69">
        <v>13.011940135558428</v>
      </c>
      <c r="AE34" s="68">
        <v>12.781154222800264</v>
      </c>
      <c r="AF34" s="68">
        <v>0</v>
      </c>
      <c r="AG34" s="68">
        <v>1</v>
      </c>
      <c r="AH34" s="69">
        <v>216.85039981206259</v>
      </c>
      <c r="AI34" s="69">
        <v>412.17064817746473</v>
      </c>
      <c r="AJ34" s="69">
        <v>1073.017646853129</v>
      </c>
      <c r="AK34" s="69">
        <v>982.60056349436445</v>
      </c>
      <c r="AL34" s="69">
        <v>864.5021880149842</v>
      </c>
      <c r="AM34" s="69">
        <v>1482.4463926315307</v>
      </c>
      <c r="AN34" s="69">
        <v>467.2515266259511</v>
      </c>
      <c r="AO34" s="69">
        <v>1613.0941148122149</v>
      </c>
      <c r="AP34" s="69">
        <v>120.78071182966232</v>
      </c>
      <c r="AQ34" s="69">
        <v>810.46673653920493</v>
      </c>
    </row>
    <row r="35" spans="1:43">
      <c r="A35" s="11">
        <v>41057</v>
      </c>
      <c r="B35" s="59"/>
      <c r="C35" s="60">
        <v>0</v>
      </c>
      <c r="D35" s="60">
        <v>0</v>
      </c>
      <c r="E35" s="60">
        <v>0</v>
      </c>
      <c r="F35" s="60">
        <v>0</v>
      </c>
      <c r="G35" s="60">
        <v>0</v>
      </c>
      <c r="H35" s="61">
        <v>0</v>
      </c>
      <c r="I35" s="59">
        <v>434.82914900779838</v>
      </c>
      <c r="J35" s="60">
        <v>1162.4749901453683</v>
      </c>
      <c r="K35" s="60">
        <v>14.327190983295431</v>
      </c>
      <c r="L35" s="60">
        <v>0</v>
      </c>
      <c r="M35" s="60">
        <v>0</v>
      </c>
      <c r="N35" s="61">
        <v>0</v>
      </c>
      <c r="O35" s="59">
        <v>0</v>
      </c>
      <c r="P35" s="60">
        <v>0</v>
      </c>
      <c r="Q35" s="60">
        <v>0</v>
      </c>
      <c r="R35" s="63">
        <v>0</v>
      </c>
      <c r="S35" s="60">
        <v>0</v>
      </c>
      <c r="T35" s="64">
        <v>0</v>
      </c>
      <c r="U35" s="65">
        <v>363.77760821448834</v>
      </c>
      <c r="V35" s="62">
        <v>0</v>
      </c>
      <c r="W35" s="62">
        <v>39.657811984419851</v>
      </c>
      <c r="X35" s="62">
        <v>0</v>
      </c>
      <c r="Y35" s="66">
        <v>327.29708948135419</v>
      </c>
      <c r="Z35" s="66">
        <v>0</v>
      </c>
      <c r="AA35" s="67">
        <v>0</v>
      </c>
      <c r="AB35" s="68">
        <v>0</v>
      </c>
      <c r="AC35" s="69">
        <v>0</v>
      </c>
      <c r="AD35" s="69">
        <v>14.101519867115542</v>
      </c>
      <c r="AE35" s="68">
        <v>13.82036083991987</v>
      </c>
      <c r="AF35" s="68">
        <v>0</v>
      </c>
      <c r="AG35" s="68">
        <v>1</v>
      </c>
      <c r="AH35" s="69">
        <v>190.09652549425761</v>
      </c>
      <c r="AI35" s="69">
        <v>400.56421195666002</v>
      </c>
      <c r="AJ35" s="69">
        <v>1123.1793898264571</v>
      </c>
      <c r="AK35" s="69">
        <v>975.12758032480849</v>
      </c>
      <c r="AL35" s="69">
        <v>862.34327061971044</v>
      </c>
      <c r="AM35" s="69">
        <v>1508.4519163131715</v>
      </c>
      <c r="AN35" s="69">
        <v>425.01263157526643</v>
      </c>
      <c r="AO35" s="69">
        <v>1433.9500521341959</v>
      </c>
      <c r="AP35" s="69">
        <v>78.172250747680664</v>
      </c>
      <c r="AQ35" s="69">
        <v>773.33061068852726</v>
      </c>
    </row>
    <row r="36" spans="1:43">
      <c r="A36" s="11">
        <v>41058</v>
      </c>
      <c r="B36" s="59"/>
      <c r="C36" s="60">
        <v>0</v>
      </c>
      <c r="D36" s="60">
        <v>0</v>
      </c>
      <c r="E36" s="60">
        <v>0</v>
      </c>
      <c r="F36" s="60">
        <v>0</v>
      </c>
      <c r="G36" s="60">
        <v>0</v>
      </c>
      <c r="H36" s="61">
        <v>0</v>
      </c>
      <c r="I36" s="59">
        <v>479.53521820704128</v>
      </c>
      <c r="J36" s="60">
        <v>1388.3870723724392</v>
      </c>
      <c r="K36" s="60">
        <v>16.953018970787532</v>
      </c>
      <c r="L36" s="60">
        <v>0</v>
      </c>
      <c r="M36" s="60">
        <v>0</v>
      </c>
      <c r="N36" s="61">
        <v>0</v>
      </c>
      <c r="O36" s="59">
        <v>0</v>
      </c>
      <c r="P36" s="60">
        <v>0</v>
      </c>
      <c r="Q36" s="60">
        <v>0</v>
      </c>
      <c r="R36" s="63">
        <v>0</v>
      </c>
      <c r="S36" s="60">
        <v>0</v>
      </c>
      <c r="T36" s="64">
        <v>0</v>
      </c>
      <c r="U36" s="65">
        <v>409.79960363176605</v>
      </c>
      <c r="V36" s="62">
        <v>0</v>
      </c>
      <c r="W36" s="62">
        <v>45.393360563119288</v>
      </c>
      <c r="X36" s="62">
        <v>0</v>
      </c>
      <c r="Y36" s="66">
        <v>413.95220128695098</v>
      </c>
      <c r="Z36" s="66">
        <v>0</v>
      </c>
      <c r="AA36" s="67">
        <v>0</v>
      </c>
      <c r="AB36" s="68">
        <v>0</v>
      </c>
      <c r="AC36" s="69">
        <v>0</v>
      </c>
      <c r="AD36" s="69">
        <v>16.951798479424582</v>
      </c>
      <c r="AE36" s="68">
        <v>16.623025288141083</v>
      </c>
      <c r="AF36" s="68">
        <v>0</v>
      </c>
      <c r="AG36" s="68">
        <v>1</v>
      </c>
      <c r="AH36" s="69">
        <v>271.89683992067972</v>
      </c>
      <c r="AI36" s="69">
        <v>486.88463145891825</v>
      </c>
      <c r="AJ36" s="69">
        <v>1144.8119105021158</v>
      </c>
      <c r="AK36" s="69">
        <v>984.3345612843832</v>
      </c>
      <c r="AL36" s="69">
        <v>867.61288140614818</v>
      </c>
      <c r="AM36" s="69">
        <v>1572.6711058298747</v>
      </c>
      <c r="AN36" s="69">
        <v>428.67015719413769</v>
      </c>
      <c r="AO36" s="69">
        <v>2009.2830099741618</v>
      </c>
      <c r="AP36" s="69">
        <v>159.32114567359289</v>
      </c>
      <c r="AQ36" s="69">
        <v>841.88365662892659</v>
      </c>
    </row>
    <row r="37" spans="1:43">
      <c r="A37" s="11">
        <v>41059</v>
      </c>
      <c r="B37" s="59"/>
      <c r="C37" s="60">
        <v>0</v>
      </c>
      <c r="D37" s="60">
        <v>0</v>
      </c>
      <c r="E37" s="60">
        <v>0</v>
      </c>
      <c r="F37" s="60">
        <v>0</v>
      </c>
      <c r="G37" s="60">
        <v>0</v>
      </c>
      <c r="H37" s="61">
        <v>0</v>
      </c>
      <c r="I37" s="59">
        <v>491.06022853851294</v>
      </c>
      <c r="J37" s="60">
        <v>1298.9310462315893</v>
      </c>
      <c r="K37" s="60">
        <v>15.94325456271571</v>
      </c>
      <c r="L37" s="60">
        <v>0</v>
      </c>
      <c r="M37" s="60">
        <v>0</v>
      </c>
      <c r="N37" s="61">
        <v>0</v>
      </c>
      <c r="O37" s="59">
        <v>0</v>
      </c>
      <c r="P37" s="60">
        <v>0</v>
      </c>
      <c r="Q37" s="60">
        <v>0</v>
      </c>
      <c r="R37" s="63">
        <v>0</v>
      </c>
      <c r="S37" s="60">
        <v>0</v>
      </c>
      <c r="T37" s="64">
        <v>0</v>
      </c>
      <c r="U37" s="65">
        <v>407.01350866953766</v>
      </c>
      <c r="V37" s="62">
        <v>0</v>
      </c>
      <c r="W37" s="62">
        <v>43.995158022642173</v>
      </c>
      <c r="X37" s="62">
        <v>0</v>
      </c>
      <c r="Y37" s="66">
        <v>389.34489631652792</v>
      </c>
      <c r="Z37" s="66">
        <v>0</v>
      </c>
      <c r="AA37" s="67">
        <v>0</v>
      </c>
      <c r="AB37" s="68">
        <v>0</v>
      </c>
      <c r="AC37" s="69">
        <v>0</v>
      </c>
      <c r="AD37" s="69">
        <v>16.021814360883518</v>
      </c>
      <c r="AE37" s="68">
        <v>15.689835893067091</v>
      </c>
      <c r="AF37" s="68">
        <v>0</v>
      </c>
      <c r="AG37" s="68">
        <v>1</v>
      </c>
      <c r="AH37" s="69">
        <v>208.75726500352224</v>
      </c>
      <c r="AI37" s="69">
        <v>416.86930977503459</v>
      </c>
      <c r="AJ37" s="69">
        <v>1157.7137582778928</v>
      </c>
      <c r="AK37" s="69">
        <v>975.12778212229421</v>
      </c>
      <c r="AL37" s="69">
        <v>856.76236273447671</v>
      </c>
      <c r="AM37" s="69">
        <v>1731.2153093973798</v>
      </c>
      <c r="AN37" s="69">
        <v>431.79882896741236</v>
      </c>
      <c r="AO37" s="69">
        <v>1852.222322463989</v>
      </c>
      <c r="AP37" s="69">
        <v>285.69938316345218</v>
      </c>
      <c r="AQ37" s="69">
        <v>838.15137634277346</v>
      </c>
    </row>
    <row r="38" spans="1:43" ht="15.75" thickBot="1">
      <c r="A38" s="11">
        <v>41060</v>
      </c>
      <c r="B38" s="73"/>
      <c r="C38" s="74">
        <v>0</v>
      </c>
      <c r="D38" s="74">
        <v>0</v>
      </c>
      <c r="E38" s="74">
        <v>0</v>
      </c>
      <c r="F38" s="74">
        <v>0</v>
      </c>
      <c r="G38" s="74">
        <v>0</v>
      </c>
      <c r="H38" s="75">
        <v>0</v>
      </c>
      <c r="I38" s="76">
        <v>547.94885574976581</v>
      </c>
      <c r="J38" s="74">
        <v>1581.7662754058836</v>
      </c>
      <c r="K38" s="74">
        <v>19.413124352693536</v>
      </c>
      <c r="L38" s="74">
        <v>0</v>
      </c>
      <c r="M38" s="74">
        <v>0</v>
      </c>
      <c r="N38" s="75">
        <v>0</v>
      </c>
      <c r="O38" s="76">
        <v>0</v>
      </c>
      <c r="P38" s="74">
        <v>0</v>
      </c>
      <c r="Q38" s="74">
        <v>0</v>
      </c>
      <c r="R38" s="77">
        <v>0</v>
      </c>
      <c r="S38" s="74">
        <v>0</v>
      </c>
      <c r="T38" s="78">
        <v>0</v>
      </c>
      <c r="U38" s="79">
        <v>495.4714270909621</v>
      </c>
      <c r="V38" s="80">
        <v>0</v>
      </c>
      <c r="W38" s="81">
        <v>53.963638579845409</v>
      </c>
      <c r="X38" s="81">
        <v>0</v>
      </c>
      <c r="Y38" s="80">
        <v>497.42137111028086</v>
      </c>
      <c r="Z38" s="80">
        <v>0</v>
      </c>
      <c r="AA38" s="82">
        <v>0</v>
      </c>
      <c r="AB38" s="83">
        <v>0</v>
      </c>
      <c r="AC38" s="84">
        <v>0</v>
      </c>
      <c r="AD38" s="85">
        <v>19.777565507094067</v>
      </c>
      <c r="AE38" s="83">
        <v>19.389219930207339</v>
      </c>
      <c r="AF38" s="83">
        <v>0</v>
      </c>
      <c r="AG38" s="83">
        <v>1</v>
      </c>
      <c r="AH38" s="84">
        <v>272.51166437466941</v>
      </c>
      <c r="AI38" s="84">
        <v>497.81516909599304</v>
      </c>
      <c r="AJ38" s="84">
        <v>1092.9325494130453</v>
      </c>
      <c r="AK38" s="84">
        <v>986.95613021850613</v>
      </c>
      <c r="AL38" s="84">
        <v>864.78796119689935</v>
      </c>
      <c r="AM38" s="84">
        <v>1788.4136020660399</v>
      </c>
      <c r="AN38" s="84">
        <v>437.24855991999306</v>
      </c>
      <c r="AO38" s="84">
        <v>2241.5234607696534</v>
      </c>
      <c r="AP38" s="84">
        <v>316.24782171249399</v>
      </c>
      <c r="AQ38" s="84">
        <v>808.85071633656833</v>
      </c>
    </row>
    <row r="39" spans="1:43" ht="15.75" thickTop="1">
      <c r="A39" s="46" t="s">
        <v>170</v>
      </c>
      <c r="B39" s="29">
        <f>SUM(B8:B38)</f>
        <v>0</v>
      </c>
      <c r="C39" s="30">
        <f t="shared" ref="C39:AC39" si="0">SUM(C8:C38)</f>
        <v>0</v>
      </c>
      <c r="D39" s="30">
        <f t="shared" si="0"/>
        <v>0</v>
      </c>
      <c r="E39" s="30">
        <f t="shared" si="0"/>
        <v>0</v>
      </c>
      <c r="F39" s="30">
        <f t="shared" si="0"/>
        <v>0</v>
      </c>
      <c r="G39" s="30">
        <f t="shared" si="0"/>
        <v>0</v>
      </c>
      <c r="H39" s="31">
        <f t="shared" si="0"/>
        <v>0</v>
      </c>
      <c r="I39" s="29">
        <f t="shared" si="0"/>
        <v>8787.6916610876742</v>
      </c>
      <c r="J39" s="30">
        <f t="shared" si="0"/>
        <v>23557.475732004656</v>
      </c>
      <c r="K39" s="30">
        <f t="shared" si="0"/>
        <v>330.0416077777744</v>
      </c>
      <c r="L39" s="30">
        <f t="shared" si="0"/>
        <v>0</v>
      </c>
      <c r="M39" s="30">
        <f t="shared" si="0"/>
        <v>0</v>
      </c>
      <c r="N39" s="31">
        <f t="shared" si="0"/>
        <v>0</v>
      </c>
      <c r="O39" s="260">
        <f t="shared" si="0"/>
        <v>0</v>
      </c>
      <c r="P39" s="261">
        <f t="shared" si="0"/>
        <v>0</v>
      </c>
      <c r="Q39" s="261">
        <f t="shared" si="0"/>
        <v>0</v>
      </c>
      <c r="R39" s="261">
        <f t="shared" si="0"/>
        <v>0</v>
      </c>
      <c r="S39" s="261">
        <f t="shared" si="0"/>
        <v>0</v>
      </c>
      <c r="T39" s="262">
        <f t="shared" si="0"/>
        <v>0</v>
      </c>
      <c r="U39" s="260">
        <f t="shared" si="0"/>
        <v>8118.5243720114149</v>
      </c>
      <c r="V39" s="261">
        <f t="shared" si="0"/>
        <v>0</v>
      </c>
      <c r="W39" s="261">
        <f t="shared" si="0"/>
        <v>825.78389975229913</v>
      </c>
      <c r="X39" s="261">
        <f t="shared" si="0"/>
        <v>0</v>
      </c>
      <c r="Y39" s="261">
        <f t="shared" si="0"/>
        <v>6011.2796154181178</v>
      </c>
      <c r="Z39" s="261">
        <f t="shared" si="0"/>
        <v>0</v>
      </c>
      <c r="AA39" s="269">
        <f t="shared" si="0"/>
        <v>0</v>
      </c>
      <c r="AB39" s="272">
        <f t="shared" si="0"/>
        <v>0</v>
      </c>
      <c r="AC39" s="272">
        <f t="shared" si="0"/>
        <v>0</v>
      </c>
      <c r="AD39" s="275" t="s">
        <v>29</v>
      </c>
      <c r="AE39" s="275" t="s">
        <v>29</v>
      </c>
      <c r="AF39" s="275" t="s">
        <v>29</v>
      </c>
      <c r="AG39" s="275" t="s">
        <v>158</v>
      </c>
      <c r="AH39" s="272">
        <f t="shared" ref="AH39:AQ39" si="1">SUM(AH8:AH38)</f>
        <v>7100.8982257763555</v>
      </c>
      <c r="AI39" s="272">
        <f t="shared" si="1"/>
        <v>13653.09984180133</v>
      </c>
      <c r="AJ39" s="272">
        <f t="shared" si="1"/>
        <v>34723.066118717194</v>
      </c>
      <c r="AK39" s="272">
        <f t="shared" si="1"/>
        <v>30890.342448925974</v>
      </c>
      <c r="AL39" s="272">
        <f t="shared" si="1"/>
        <v>27391.813341840108</v>
      </c>
      <c r="AM39" s="272">
        <f t="shared" si="1"/>
        <v>45931.170363426201</v>
      </c>
      <c r="AN39" s="272">
        <f t="shared" si="1"/>
        <v>20817.737449741366</v>
      </c>
      <c r="AO39" s="272">
        <f t="shared" si="1"/>
        <v>41635.647104001044</v>
      </c>
      <c r="AP39" s="272">
        <f t="shared" si="1"/>
        <v>4691.6007842024173</v>
      </c>
      <c r="AQ39" s="272">
        <f t="shared" si="1"/>
        <v>23949.904687881473</v>
      </c>
    </row>
    <row r="40" spans="1:43" ht="15.75" thickBot="1">
      <c r="A40" s="47" t="s">
        <v>171</v>
      </c>
      <c r="B40" s="32">
        <f>Projection!$AB$30</f>
        <v>0.91139353199999984</v>
      </c>
      <c r="C40" s="33">
        <f>Projection!$AB$28</f>
        <v>1.4375491199999999</v>
      </c>
      <c r="D40" s="33">
        <f>Projection!$AB$31</f>
        <v>2.2476299999999996</v>
      </c>
      <c r="E40" s="33">
        <f>Projection!$AB$26</f>
        <v>4.7363493840000004</v>
      </c>
      <c r="F40" s="33">
        <f>Projection!$AB$23</f>
        <v>5.8379999999999994E-2</v>
      </c>
      <c r="G40" s="33">
        <f>Projection!$AB$24</f>
        <v>5.3200000000000004E-2</v>
      </c>
      <c r="H40" s="34">
        <f>Projection!$AB$29</f>
        <v>3.6371774160000006</v>
      </c>
      <c r="I40" s="32">
        <f>Projection!$AB$30</f>
        <v>0.91139353199999984</v>
      </c>
      <c r="J40" s="33">
        <f>Projection!$AB$28</f>
        <v>1.4375491199999999</v>
      </c>
      <c r="K40" s="33">
        <f>Projection!$AB$26</f>
        <v>4.7363493840000004</v>
      </c>
      <c r="L40" s="33">
        <f>Projection!$AB$25</f>
        <v>0.37613399999999997</v>
      </c>
      <c r="M40" s="33">
        <f>Projection!$AB$23</f>
        <v>5.8379999999999994E-2</v>
      </c>
      <c r="N40" s="34">
        <f>Projection!$AB$23</f>
        <v>5.8379999999999994E-2</v>
      </c>
      <c r="O40" s="26">
        <v>15.77</v>
      </c>
      <c r="P40" s="27">
        <v>15.77</v>
      </c>
      <c r="Q40" s="27">
        <v>15.77</v>
      </c>
      <c r="R40" s="27">
        <v>15.77</v>
      </c>
      <c r="S40" s="27">
        <f>Projection!$AB$28</f>
        <v>1.4375491199999999</v>
      </c>
      <c r="T40" s="38">
        <f>Projection!$AB$28</f>
        <v>1.4375491199999999</v>
      </c>
      <c r="U40" s="26">
        <f>Projection!$AB$27</f>
        <v>0.29749999999999999</v>
      </c>
      <c r="V40" s="27">
        <f>Projection!$AB$27</f>
        <v>0.29749999999999999</v>
      </c>
      <c r="W40" s="27">
        <f>Projection!$AB$22</f>
        <v>1.1475</v>
      </c>
      <c r="X40" s="27">
        <f>Projection!$AB$22</f>
        <v>1.1475</v>
      </c>
      <c r="Y40" s="27">
        <f>Projection!$AB$31</f>
        <v>2.2476299999999996</v>
      </c>
      <c r="Z40" s="27">
        <f>Projection!$AB$31</f>
        <v>2.2476299999999996</v>
      </c>
      <c r="AA40" s="28">
        <v>0</v>
      </c>
      <c r="AB40" s="41">
        <f>Projection!$AB$27</f>
        <v>0.29749999999999999</v>
      </c>
      <c r="AC40" s="41">
        <f>Projection!$AB$30</f>
        <v>0.91139353199999984</v>
      </c>
      <c r="AD40" s="276">
        <f>SUM(AD8:AD38)</f>
        <v>294.33877994633394</v>
      </c>
      <c r="AE40" s="276">
        <f>SUM(AE8:AE38)</f>
        <v>291.05783376612965</v>
      </c>
      <c r="AF40" s="276">
        <f>SUM(AF8:AF38)</f>
        <v>0</v>
      </c>
      <c r="AG40" s="276">
        <f>IF(SUM(AE40:AF40)&gt;0, AE40/(AE40+AF40), "")</f>
        <v>1</v>
      </c>
      <c r="AH40" s="303">
        <v>7.0000000000000007E-2</v>
      </c>
      <c r="AI40" s="303">
        <f t="shared" ref="AI40:AQ40" si="2">$AH$40</f>
        <v>7.0000000000000007E-2</v>
      </c>
      <c r="AJ40" s="303">
        <f t="shared" si="2"/>
        <v>7.0000000000000007E-2</v>
      </c>
      <c r="AK40" s="303">
        <f t="shared" si="2"/>
        <v>7.0000000000000007E-2</v>
      </c>
      <c r="AL40" s="303">
        <f t="shared" si="2"/>
        <v>7.0000000000000007E-2</v>
      </c>
      <c r="AM40" s="303">
        <f t="shared" si="2"/>
        <v>7.0000000000000007E-2</v>
      </c>
      <c r="AN40" s="303">
        <f t="shared" si="2"/>
        <v>7.0000000000000007E-2</v>
      </c>
      <c r="AO40" s="303">
        <f t="shared" si="2"/>
        <v>7.0000000000000007E-2</v>
      </c>
      <c r="AP40" s="303">
        <f t="shared" si="2"/>
        <v>7.0000000000000007E-2</v>
      </c>
      <c r="AQ40" s="303">
        <f t="shared" si="2"/>
        <v>7.0000000000000007E-2</v>
      </c>
    </row>
    <row r="41" spans="1:43" ht="16.5" thickTop="1" thickBot="1">
      <c r="A41" s="48" t="s">
        <v>26</v>
      </c>
      <c r="B41" s="35">
        <f t="shared" ref="B41:AC41" si="3">B40*B39</f>
        <v>0</v>
      </c>
      <c r="C41" s="36">
        <f t="shared" si="3"/>
        <v>0</v>
      </c>
      <c r="D41" s="36">
        <f t="shared" si="3"/>
        <v>0</v>
      </c>
      <c r="E41" s="36">
        <f t="shared" si="3"/>
        <v>0</v>
      </c>
      <c r="F41" s="36">
        <f t="shared" si="3"/>
        <v>0</v>
      </c>
      <c r="G41" s="36">
        <f t="shared" si="3"/>
        <v>0</v>
      </c>
      <c r="H41" s="37">
        <f t="shared" si="3"/>
        <v>0</v>
      </c>
      <c r="I41" s="35">
        <f t="shared" si="3"/>
        <v>8009.0453411256412</v>
      </c>
      <c r="J41" s="36">
        <f t="shared" si="3"/>
        <v>33865.028507964649</v>
      </c>
      <c r="K41" s="36">
        <f t="shared" si="3"/>
        <v>1563.1923656926315</v>
      </c>
      <c r="L41" s="36">
        <f t="shared" si="3"/>
        <v>0</v>
      </c>
      <c r="M41" s="36">
        <f t="shared" si="3"/>
        <v>0</v>
      </c>
      <c r="N41" s="37">
        <f t="shared" si="3"/>
        <v>0</v>
      </c>
      <c r="O41" s="266">
        <f t="shared" si="3"/>
        <v>0</v>
      </c>
      <c r="P41" s="267">
        <f t="shared" si="3"/>
        <v>0</v>
      </c>
      <c r="Q41" s="267">
        <f t="shared" si="3"/>
        <v>0</v>
      </c>
      <c r="R41" s="267">
        <f t="shared" si="3"/>
        <v>0</v>
      </c>
      <c r="S41" s="267">
        <f t="shared" si="3"/>
        <v>0</v>
      </c>
      <c r="T41" s="268">
        <f t="shared" si="3"/>
        <v>0</v>
      </c>
      <c r="U41" s="266">
        <f t="shared" si="3"/>
        <v>2415.2610006733958</v>
      </c>
      <c r="V41" s="267">
        <f t="shared" si="3"/>
        <v>0</v>
      </c>
      <c r="W41" s="267">
        <f t="shared" si="3"/>
        <v>947.58702496576325</v>
      </c>
      <c r="X41" s="267">
        <f t="shared" si="3"/>
        <v>0</v>
      </c>
      <c r="Y41" s="267">
        <f t="shared" si="3"/>
        <v>13511.132402002222</v>
      </c>
      <c r="Z41" s="267">
        <f t="shared" si="3"/>
        <v>0</v>
      </c>
      <c r="AA41" s="271">
        <f t="shared" si="3"/>
        <v>0</v>
      </c>
      <c r="AB41" s="274">
        <f t="shared" si="3"/>
        <v>0</v>
      </c>
      <c r="AC41" s="274">
        <f t="shared" si="3"/>
        <v>0</v>
      </c>
      <c r="AH41" s="277">
        <f t="shared" ref="AH41:AQ41" si="4">AH40*AH39</f>
        <v>497.06287580434491</v>
      </c>
      <c r="AI41" s="277">
        <f t="shared" si="4"/>
        <v>955.71698892609311</v>
      </c>
      <c r="AJ41" s="277">
        <f t="shared" si="4"/>
        <v>2430.6146283102039</v>
      </c>
      <c r="AK41" s="277">
        <f t="shared" si="4"/>
        <v>2162.3239714248184</v>
      </c>
      <c r="AL41" s="277">
        <f t="shared" si="4"/>
        <v>1917.4269339288078</v>
      </c>
      <c r="AM41" s="277">
        <f t="shared" si="4"/>
        <v>3215.1819254398342</v>
      </c>
      <c r="AN41" s="277">
        <f t="shared" si="4"/>
        <v>1457.2416214818957</v>
      </c>
      <c r="AO41" s="277">
        <f t="shared" si="4"/>
        <v>2914.4952972800734</v>
      </c>
      <c r="AP41" s="277">
        <f t="shared" si="4"/>
        <v>328.41205489416927</v>
      </c>
      <c r="AQ41" s="277">
        <f t="shared" si="4"/>
        <v>1676.4933281517033</v>
      </c>
    </row>
    <row r="42" spans="1:43" ht="49.5" customHeight="1" thickTop="1" thickBot="1">
      <c r="A42" s="740" t="s">
        <v>211</v>
      </c>
      <c r="B42" s="741"/>
      <c r="C42" s="741"/>
      <c r="D42" s="741"/>
      <c r="E42" s="741"/>
      <c r="F42" s="741"/>
      <c r="G42" s="741"/>
      <c r="H42" s="741"/>
      <c r="I42" s="741"/>
      <c r="J42" s="741"/>
      <c r="K42" s="723"/>
      <c r="L42" s="44"/>
      <c r="M42" s="44"/>
      <c r="N42" s="44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  <c r="AA42" s="45"/>
      <c r="AB42" s="45"/>
      <c r="AC42" s="45"/>
      <c r="AG42" s="295" t="s">
        <v>183</v>
      </c>
      <c r="AH42" s="294">
        <v>339.79</v>
      </c>
      <c r="AI42" s="277" t="s">
        <v>196</v>
      </c>
      <c r="AJ42" s="277">
        <v>767.92</v>
      </c>
      <c r="AK42" s="277">
        <v>396.89</v>
      </c>
      <c r="AL42" s="277">
        <v>424.71</v>
      </c>
      <c r="AM42" s="277">
        <v>1082.76</v>
      </c>
      <c r="AN42" s="277">
        <v>940.44</v>
      </c>
      <c r="AO42" s="277" t="s">
        <v>196</v>
      </c>
      <c r="AP42" s="277">
        <v>39.53</v>
      </c>
      <c r="AQ42" s="277">
        <v>169.19</v>
      </c>
    </row>
    <row r="43" spans="1:43" ht="38.25" customHeight="1" thickTop="1" thickBot="1">
      <c r="A43" s="726" t="s">
        <v>49</v>
      </c>
      <c r="B43" s="722"/>
      <c r="C43" s="288"/>
      <c r="D43" s="722" t="s">
        <v>47</v>
      </c>
      <c r="E43" s="722"/>
      <c r="F43" s="288"/>
      <c r="G43" s="722" t="s">
        <v>48</v>
      </c>
      <c r="H43" s="722"/>
      <c r="I43" s="289"/>
      <c r="J43" s="722" t="s">
        <v>50</v>
      </c>
      <c r="K43" s="723"/>
      <c r="L43" s="44"/>
      <c r="M43" s="44"/>
      <c r="N43" s="44"/>
      <c r="O43" s="45"/>
      <c r="P43" s="45"/>
      <c r="Q43" s="45"/>
      <c r="R43" s="729" t="s">
        <v>165</v>
      </c>
      <c r="S43" s="730"/>
      <c r="T43" s="730"/>
      <c r="U43" s="731"/>
      <c r="AC43" s="45"/>
    </row>
    <row r="44" spans="1:43" ht="24.75" thickTop="1" thickBot="1">
      <c r="A44" s="281" t="s">
        <v>135</v>
      </c>
      <c r="B44" s="282">
        <f>SUM(B41:AC41)</f>
        <v>60311.246642424296</v>
      </c>
      <c r="C44" s="12"/>
      <c r="D44" s="281" t="s">
        <v>135</v>
      </c>
      <c r="E44" s="282">
        <f>SUM(B41:H41)+P41+R41+T41+V41+X41+Z41</f>
        <v>0</v>
      </c>
      <c r="F44" s="12"/>
      <c r="G44" s="281" t="s">
        <v>135</v>
      </c>
      <c r="H44" s="282">
        <f>SUM(I41:N41)+O41+Q41+S41+U41+W41+Y41</f>
        <v>60311.246642424296</v>
      </c>
      <c r="I44" s="12"/>
      <c r="J44" s="281" t="s">
        <v>197</v>
      </c>
      <c r="K44" s="282">
        <v>128671.26</v>
      </c>
      <c r="L44" s="12"/>
      <c r="M44" s="12"/>
      <c r="N44" s="12"/>
      <c r="O44" s="12"/>
      <c r="P44" s="12"/>
      <c r="Q44" s="12"/>
      <c r="R44" s="308" t="s">
        <v>135</v>
      </c>
      <c r="S44" s="309"/>
      <c r="T44" s="304" t="s">
        <v>166</v>
      </c>
      <c r="U44" s="254" t="s">
        <v>167</v>
      </c>
    </row>
    <row r="45" spans="1:43" ht="24" thickBot="1">
      <c r="A45" s="283" t="s">
        <v>182</v>
      </c>
      <c r="B45" s="284">
        <f>SUM(AH41:AQ41)</f>
        <v>17554.969625641945</v>
      </c>
      <c r="C45" s="12"/>
      <c r="D45" s="283" t="s">
        <v>182</v>
      </c>
      <c r="E45" s="284">
        <f>AH41*(1-$AG$40)+AI41+AJ41*0.5+AL41+AM41*(1-$AG$40)+AN41*(1-$AG$40)+AO41*(1-$AG$40)+AP41*0.5+AQ41*0.5</f>
        <v>5090.90392853294</v>
      </c>
      <c r="F45" s="24"/>
      <c r="G45" s="283" t="s">
        <v>182</v>
      </c>
      <c r="H45" s="284">
        <f>AH41*AG40+AJ41*0.5+AK41+AM41*AG40+AN41*AG40+AO41*AG40+AP41*0.5+AQ41*0.5</f>
        <v>12464.065697109005</v>
      </c>
      <c r="I45" s="12"/>
      <c r="J45" s="12"/>
      <c r="K45" s="287"/>
      <c r="L45" s="12"/>
      <c r="M45" s="12"/>
      <c r="N45" s="12"/>
      <c r="O45" s="12"/>
      <c r="P45" s="12"/>
      <c r="Q45" s="12"/>
      <c r="R45" s="306" t="s">
        <v>140</v>
      </c>
      <c r="S45" s="307"/>
      <c r="T45" s="253">
        <f>$W$39+$X$39</f>
        <v>825.78389975229913</v>
      </c>
      <c r="U45" s="255">
        <f>(T45*8.34*0.895)/27000</f>
        <v>0.22829254677485508</v>
      </c>
    </row>
    <row r="46" spans="1:43" ht="32.25" thickBot="1">
      <c r="A46" s="285" t="s">
        <v>183</v>
      </c>
      <c r="B46" s="286">
        <f>SUM(AH42:AQ42)</f>
        <v>4161.2299999999996</v>
      </c>
      <c r="C46" s="12"/>
      <c r="D46" s="285" t="s">
        <v>183</v>
      </c>
      <c r="E46" s="286">
        <f>AH42*(1-$AG$40)+AJ42*0.5+AL42+AM42*(1-$AG$40)+AN42*(1-$AG$40)+AP42*0.5+AQ42*0.5</f>
        <v>913.03</v>
      </c>
      <c r="F46" s="23"/>
      <c r="G46" s="285" t="s">
        <v>183</v>
      </c>
      <c r="H46" s="286">
        <f>AH42*AG40+AJ42*0.5+AK42+AM42*AG40+AN42*AG40+AP42*0.5+AQ42*0.5</f>
        <v>3248.1999999999994</v>
      </c>
      <c r="I46" s="12"/>
      <c r="J46" s="724" t="s">
        <v>198</v>
      </c>
      <c r="K46" s="725"/>
      <c r="L46" s="12"/>
      <c r="M46" s="12"/>
      <c r="N46" s="12"/>
      <c r="O46" s="12"/>
      <c r="P46" s="12"/>
      <c r="Q46" s="12"/>
      <c r="R46" s="306" t="s">
        <v>144</v>
      </c>
      <c r="S46" s="307"/>
      <c r="T46" s="253">
        <f>$M$39+$N$39+$F$39</f>
        <v>0</v>
      </c>
      <c r="U46" s="256">
        <f>(((T46*8.34)*0.005)/(8.34*1.055))/400</f>
        <v>0</v>
      </c>
    </row>
    <row r="47" spans="1:43" ht="24.75" thickTop="1" thickBot="1">
      <c r="A47" s="285" t="s">
        <v>184</v>
      </c>
      <c r="B47" s="286">
        <f>K44</f>
        <v>128671.26</v>
      </c>
      <c r="C47" s="12"/>
      <c r="D47" s="285" t="s">
        <v>186</v>
      </c>
      <c r="E47" s="286">
        <f>K44*0.5</f>
        <v>64335.63</v>
      </c>
      <c r="F47" s="24"/>
      <c r="G47" s="285" t="s">
        <v>184</v>
      </c>
      <c r="H47" s="286">
        <f>K44*0.5</f>
        <v>64335.63</v>
      </c>
      <c r="I47" s="12"/>
      <c r="J47" s="281" t="s">
        <v>197</v>
      </c>
      <c r="K47" s="282">
        <v>73697.86</v>
      </c>
      <c r="L47" s="12"/>
      <c r="M47" s="12"/>
      <c r="N47" s="12"/>
      <c r="O47" s="12"/>
      <c r="P47" s="12"/>
      <c r="Q47" s="12"/>
      <c r="R47" s="306" t="s">
        <v>147</v>
      </c>
      <c r="S47" s="307"/>
      <c r="T47" s="253">
        <f>$G$39</f>
        <v>0</v>
      </c>
      <c r="U47" s="255">
        <f>T47/40000</f>
        <v>0</v>
      </c>
    </row>
    <row r="48" spans="1:43" ht="24" thickBot="1">
      <c r="A48" s="285" t="s">
        <v>185</v>
      </c>
      <c r="B48" s="286">
        <f>K47</f>
        <v>73697.86</v>
      </c>
      <c r="C48" s="12"/>
      <c r="D48" s="285" t="s">
        <v>185</v>
      </c>
      <c r="E48" s="286">
        <f>K47*0.5</f>
        <v>36848.93</v>
      </c>
      <c r="F48" s="23"/>
      <c r="G48" s="285" t="s">
        <v>185</v>
      </c>
      <c r="H48" s="286">
        <f>K47*0.5</f>
        <v>36848.93</v>
      </c>
      <c r="I48" s="12"/>
      <c r="J48" s="12"/>
      <c r="K48" s="86"/>
      <c r="L48" s="12"/>
      <c r="M48" s="12"/>
      <c r="N48" s="12"/>
      <c r="O48" s="12"/>
      <c r="P48" s="12"/>
      <c r="Q48" s="12"/>
      <c r="R48" s="306" t="s">
        <v>149</v>
      </c>
      <c r="S48" s="307"/>
      <c r="T48" s="253">
        <f>$L$39</f>
        <v>0</v>
      </c>
      <c r="U48" s="255">
        <f>T48*9.34*0.107</f>
        <v>0</v>
      </c>
    </row>
    <row r="49" spans="1:25" ht="48" thickTop="1" thickBot="1">
      <c r="A49" s="290" t="s">
        <v>193</v>
      </c>
      <c r="B49" s="291">
        <f>AD40</f>
        <v>294.33877994633394</v>
      </c>
      <c r="C49" s="12"/>
      <c r="D49" s="290" t="s">
        <v>194</v>
      </c>
      <c r="E49" s="291">
        <f>AF40</f>
        <v>0</v>
      </c>
      <c r="F49" s="23"/>
      <c r="G49" s="290" t="s">
        <v>195</v>
      </c>
      <c r="H49" s="291">
        <f>AE40</f>
        <v>291.05783376612965</v>
      </c>
      <c r="I49" s="12"/>
      <c r="J49" s="12"/>
      <c r="K49" s="86"/>
      <c r="L49" s="12"/>
      <c r="M49" s="12"/>
      <c r="N49" s="12"/>
      <c r="O49" s="12"/>
      <c r="P49" s="12"/>
      <c r="Q49" s="12"/>
      <c r="R49" s="306" t="s">
        <v>151</v>
      </c>
      <c r="S49" s="307"/>
      <c r="T49" s="253">
        <f>$E$39+$K$39</f>
        <v>330.0416077777744</v>
      </c>
      <c r="U49" s="255">
        <f>(T49*8.34*1.04)/45000</f>
        <v>6.3614419760473426E-2</v>
      </c>
    </row>
    <row r="50" spans="1:25" ht="48" thickTop="1" thickBot="1">
      <c r="A50" s="290" t="s">
        <v>189</v>
      </c>
      <c r="B50" s="292">
        <f>(SUM(B44:B48)/AD40)</f>
        <v>966.22186964259197</v>
      </c>
      <c r="C50" s="12"/>
      <c r="D50" s="290" t="s">
        <v>187</v>
      </c>
      <c r="E50" s="292" t="e">
        <f>SUM(E44:E48)/AF40</f>
        <v>#DIV/0!</v>
      </c>
      <c r="F50" s="23"/>
      <c r="G50" s="290" t="s">
        <v>188</v>
      </c>
      <c r="H50" s="292">
        <f>SUM(H44:H48)/AE40</f>
        <v>608.84144586166076</v>
      </c>
      <c r="I50" s="12"/>
      <c r="J50" s="12"/>
      <c r="K50" s="86"/>
      <c r="L50" s="12"/>
      <c r="M50" s="12"/>
      <c r="N50" s="12"/>
      <c r="O50" s="12"/>
      <c r="P50" s="12"/>
      <c r="Q50" s="12"/>
      <c r="R50" s="306" t="s">
        <v>152</v>
      </c>
      <c r="S50" s="307"/>
      <c r="T50" s="253">
        <f>$U$39+$V$39+$AB$39</f>
        <v>8118.5243720114149</v>
      </c>
      <c r="U50" s="255">
        <f>T50/2000/8</f>
        <v>0.5074077732507134</v>
      </c>
    </row>
    <row r="51" spans="1:25" ht="57" customHeight="1" thickTop="1" thickBot="1">
      <c r="A51" s="280" t="s">
        <v>190</v>
      </c>
      <c r="B51" s="293">
        <f>B50/1000</f>
        <v>0.96622186964259194</v>
      </c>
      <c r="C51" s="12"/>
      <c r="D51" s="280" t="s">
        <v>191</v>
      </c>
      <c r="E51" s="293" t="e">
        <f>E50/1000</f>
        <v>#DIV/0!</v>
      </c>
      <c r="F51" s="12"/>
      <c r="G51" s="280" t="s">
        <v>192</v>
      </c>
      <c r="H51" s="293">
        <f>H50/1000</f>
        <v>0.60884144586166078</v>
      </c>
      <c r="I51" s="12"/>
      <c r="J51" s="12"/>
      <c r="K51" s="86"/>
      <c r="L51" s="12"/>
      <c r="M51" s="12"/>
      <c r="N51" s="12"/>
      <c r="O51" s="12"/>
      <c r="P51" s="12"/>
      <c r="Q51" s="12"/>
      <c r="R51" s="306" t="s">
        <v>153</v>
      </c>
      <c r="S51" s="307"/>
      <c r="T51" s="253">
        <f>$C$39+$J$39+$S$39+$T$39</f>
        <v>23557.475732004656</v>
      </c>
      <c r="U51" s="255">
        <f>(T51*8.34*1.4)/45000</f>
        <v>6.11237970326414</v>
      </c>
    </row>
    <row r="52" spans="1:25" ht="16.5" thickTop="1" thickBot="1">
      <c r="A52" s="301"/>
      <c r="B52" s="12"/>
      <c r="C52" s="12"/>
      <c r="D52" s="12"/>
      <c r="E52" s="12"/>
      <c r="F52" s="12"/>
      <c r="G52" s="12"/>
      <c r="H52" s="12"/>
      <c r="I52" s="12"/>
      <c r="J52" s="12"/>
      <c r="K52" s="86"/>
      <c r="L52" s="12"/>
      <c r="M52" s="12"/>
      <c r="N52" s="12"/>
      <c r="O52" s="12"/>
      <c r="P52" s="12"/>
      <c r="Q52" s="12"/>
      <c r="R52" s="306" t="s">
        <v>154</v>
      </c>
      <c r="S52" s="307"/>
      <c r="T52" s="253">
        <f>$H$39</f>
        <v>0</v>
      </c>
      <c r="U52" s="255">
        <f>(T52*8.34*1.135)/45000</f>
        <v>0</v>
      </c>
    </row>
    <row r="53" spans="1:25" ht="48" customHeight="1" thickTop="1" thickBot="1">
      <c r="A53" s="732" t="s">
        <v>51</v>
      </c>
      <c r="B53" s="733"/>
      <c r="C53" s="733"/>
      <c r="D53" s="733"/>
      <c r="E53" s="734"/>
      <c r="F53" s="12"/>
      <c r="G53" s="12"/>
      <c r="H53" s="12"/>
      <c r="I53" s="12"/>
      <c r="J53" s="12"/>
      <c r="K53" s="86"/>
      <c r="L53" s="12"/>
      <c r="M53" s="12"/>
      <c r="N53" s="12"/>
      <c r="O53" s="12"/>
      <c r="P53" s="12"/>
      <c r="Q53" s="12"/>
      <c r="R53" s="306" t="s">
        <v>155</v>
      </c>
      <c r="S53" s="307"/>
      <c r="T53" s="253">
        <f>$B$39+$I$39+$AC$39</f>
        <v>8787.6916610876742</v>
      </c>
      <c r="U53" s="255">
        <f>(T53*8.34*1.029*0.03)/3300</f>
        <v>0.68558854144201686</v>
      </c>
    </row>
    <row r="54" spans="1:25" ht="45.75" customHeight="1" thickBot="1">
      <c r="A54" s="735" t="s">
        <v>199</v>
      </c>
      <c r="B54" s="736"/>
      <c r="C54" s="736"/>
      <c r="D54" s="736"/>
      <c r="E54" s="737"/>
      <c r="F54" s="87"/>
      <c r="G54" s="87"/>
      <c r="H54" s="87"/>
      <c r="I54" s="87"/>
      <c r="J54" s="87"/>
      <c r="K54" s="88"/>
      <c r="L54" s="12"/>
      <c r="M54" s="12"/>
      <c r="N54" s="12"/>
      <c r="O54" s="12"/>
      <c r="P54" s="12"/>
      <c r="Q54" s="12"/>
      <c r="R54" s="738" t="s">
        <v>157</v>
      </c>
      <c r="S54" s="739"/>
      <c r="T54" s="257">
        <f>$D$39+$Y$39+$Z$39</f>
        <v>6011.2796154181178</v>
      </c>
      <c r="U54" s="258">
        <f>(T54*1.54*8.34)/45000</f>
        <v>1.7156993526352033</v>
      </c>
    </row>
    <row r="55" spans="1:25" ht="24" thickTop="1">
      <c r="A55" s="718"/>
      <c r="B55" s="719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</row>
    <row r="56" spans="1:25">
      <c r="A56" s="720"/>
      <c r="B56" s="721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</row>
    <row r="57" spans="1:25">
      <c r="A57" s="716"/>
      <c r="B57" s="717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</row>
    <row r="58" spans="1:25">
      <c r="A58" s="717"/>
      <c r="B58" s="717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</row>
    <row r="59" spans="1:25">
      <c r="A59" s="716"/>
      <c r="B59" s="717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</row>
    <row r="60" spans="1:25">
      <c r="A60" s="717"/>
      <c r="B60" s="717"/>
      <c r="C60" s="12"/>
      <c r="D60" s="12"/>
      <c r="E60" s="12"/>
      <c r="F60" s="12"/>
      <c r="G60" s="12"/>
      <c r="H60" s="12"/>
      <c r="I60" s="12"/>
      <c r="J60" s="12"/>
      <c r="K60" s="12"/>
    </row>
    <row r="61" spans="1:25">
      <c r="A61" s="12"/>
      <c r="B61" s="12"/>
      <c r="C61" s="12"/>
    </row>
    <row r="62" spans="1:25">
      <c r="A62" s="12"/>
      <c r="B62" s="12"/>
      <c r="C62" s="12"/>
    </row>
    <row r="63" spans="1:25">
      <c r="A63" s="12"/>
      <c r="B63" s="12"/>
      <c r="C63" s="12"/>
    </row>
    <row r="64" spans="1:25">
      <c r="A64" s="12"/>
      <c r="B64" s="12"/>
      <c r="C64" s="12"/>
    </row>
  </sheetData>
  <sheetProtection password="A25B" sheet="1" objects="1" scenarios="1"/>
  <customSheetViews>
    <customSheetView guid="{322E6371-A03C-4BCA-B267-212DFC76880A}" scale="75" fitToPage="1">
      <selection activeCell="A38" sqref="A38"/>
      <pageMargins left="0.33" right="0.19" top="0.75" bottom="0.75" header="0.3" footer="0.3"/>
      <pageSetup scale="47" orientation="landscape" r:id="rId1"/>
    </customSheetView>
  </customSheetViews>
  <mergeCells count="34">
    <mergeCell ref="R43:U43"/>
    <mergeCell ref="A53:E53"/>
    <mergeCell ref="A54:E54"/>
    <mergeCell ref="R54:S54"/>
    <mergeCell ref="AM4:AM5"/>
    <mergeCell ref="A42:K42"/>
    <mergeCell ref="AD4:AD5"/>
    <mergeCell ref="AE4:AE5"/>
    <mergeCell ref="AF4:AF5"/>
    <mergeCell ref="AG4:AG5"/>
    <mergeCell ref="B4:H5"/>
    <mergeCell ref="I4:N5"/>
    <mergeCell ref="O4:T5"/>
    <mergeCell ref="U4:AA5"/>
    <mergeCell ref="AB4:AB5"/>
    <mergeCell ref="AC4:AC5"/>
    <mergeCell ref="AN4:AN5"/>
    <mergeCell ref="AO4:AO5"/>
    <mergeCell ref="AP4:AP5"/>
    <mergeCell ref="AQ4:AQ5"/>
    <mergeCell ref="AH4:AH5"/>
    <mergeCell ref="AI4:AI5"/>
    <mergeCell ref="AJ4:AJ5"/>
    <mergeCell ref="AK4:AK5"/>
    <mergeCell ref="AL4:AL5"/>
    <mergeCell ref="A57:B58"/>
    <mergeCell ref="A59:B60"/>
    <mergeCell ref="A55:B55"/>
    <mergeCell ref="A56:B56"/>
    <mergeCell ref="J43:K43"/>
    <mergeCell ref="J46:K46"/>
    <mergeCell ref="A43:B43"/>
    <mergeCell ref="D43:E43"/>
    <mergeCell ref="G43:H43"/>
  </mergeCells>
  <pageMargins left="0.33" right="0.19" top="0.75" bottom="0.75" header="0.3" footer="0.3"/>
  <pageSetup scale="47" orientation="landscape"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10</vt:i4>
      </vt:variant>
    </vt:vector>
  </HeadingPairs>
  <TitlesOfParts>
    <vt:vector size="26" baseType="lpstr">
      <vt:lpstr>Instructions</vt:lpstr>
      <vt:lpstr>Yearly Summary </vt:lpstr>
      <vt:lpstr>Projection Instructions</vt:lpstr>
      <vt:lpstr>Projection</vt:lpstr>
      <vt:lpstr>JANUARY</vt:lpstr>
      <vt:lpstr>FEBRUARY</vt:lpstr>
      <vt:lpstr>MARCH</vt:lpstr>
      <vt:lpstr>APRIL</vt:lpstr>
      <vt:lpstr>MAY</vt:lpstr>
      <vt:lpstr>JUNE</vt:lpstr>
      <vt:lpstr>JULY</vt:lpstr>
      <vt:lpstr>AUGUST</vt:lpstr>
      <vt:lpstr>SEPTEMBER</vt:lpstr>
      <vt:lpstr>OCTOBER</vt:lpstr>
      <vt:lpstr>NOVEMBER</vt:lpstr>
      <vt:lpstr>DECEMBER</vt:lpstr>
      <vt:lpstr>APRIL!Print_Area</vt:lpstr>
      <vt:lpstr>AUGUST!Print_Area</vt:lpstr>
      <vt:lpstr>DECEMBER!Print_Area</vt:lpstr>
      <vt:lpstr>JULY!Print_Area</vt:lpstr>
      <vt:lpstr>JUNE!Print_Area</vt:lpstr>
      <vt:lpstr>MARCH!Print_Area</vt:lpstr>
      <vt:lpstr>MAY!Print_Area</vt:lpstr>
      <vt:lpstr>NOVEMBER!Print_Area</vt:lpstr>
      <vt:lpstr>OCTOBER!Print_Area</vt:lpstr>
      <vt:lpstr>SEPTEMBER!Print_Area</vt:lpstr>
    </vt:vector>
  </TitlesOfParts>
  <Company>City of Aurora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Bong</dc:creator>
  <cp:lastModifiedBy>cconte</cp:lastModifiedBy>
  <cp:lastPrinted>2012-12-30T07:29:46Z</cp:lastPrinted>
  <dcterms:created xsi:type="dcterms:W3CDTF">2010-10-11T23:47:50Z</dcterms:created>
  <dcterms:modified xsi:type="dcterms:W3CDTF">2013-09-20T10:22:25Z</dcterms:modified>
</cp:coreProperties>
</file>