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Cost Reports and Query Tool\Previous Years BWPF Cost Reports\"/>
    </mc:Choice>
  </mc:AlternateContent>
  <bookViews>
    <workbookView xWindow="-15" yWindow="-75" windowWidth="20730" windowHeight="11745" activeTab="1"/>
  </bookViews>
  <sheets>
    <sheet name="Instructions" sheetId="29" r:id="rId1"/>
    <sheet name="Yearly Summary " sheetId="27" r:id="rId2"/>
    <sheet name="Projection Instructions" sheetId="30" r:id="rId3"/>
    <sheet name="Projection" sheetId="28" r:id="rId4"/>
    <sheet name="JANUARY" sheetId="22" r:id="rId5"/>
    <sheet name="FEBRUARY" sheetId="21" r:id="rId6"/>
    <sheet name="MARCH" sheetId="20" r:id="rId7"/>
    <sheet name="APRIL" sheetId="19" r:id="rId8"/>
    <sheet name="MAY" sheetId="18" r:id="rId9"/>
    <sheet name="JUNE" sheetId="17" r:id="rId10"/>
    <sheet name="JULY" sheetId="24" r:id="rId11"/>
    <sheet name="AUGUST" sheetId="23" r:id="rId12"/>
    <sheet name="SEPTEMBER" sheetId="16" r:id="rId13"/>
    <sheet name="OCTOBER" sheetId="6" r:id="rId14"/>
    <sheet name="NOVEMBER" sheetId="25" r:id="rId15"/>
    <sheet name="DECEMBER" sheetId="26" r:id="rId16"/>
  </sheets>
  <externalReferences>
    <externalReference r:id="rId17"/>
  </externalReferences>
  <definedNames>
    <definedName name="_xlnm.Print_Area" localSheetId="7">APRIL!$A$42:$K$54</definedName>
    <definedName name="_xlnm.Print_Area" localSheetId="11">AUGUST!$A$42:$K$54</definedName>
    <definedName name="_xlnm.Print_Area" localSheetId="15">DECEMBER!$A$42:$K$54</definedName>
    <definedName name="_xlnm.Print_Area" localSheetId="5">FEBRUARY!$A$42:$K$54</definedName>
    <definedName name="_xlnm.Print_Area" localSheetId="4">JANUARY!$A$42:$K$54</definedName>
    <definedName name="_xlnm.Print_Area" localSheetId="10">JULY!$A$42:$K$54</definedName>
    <definedName name="_xlnm.Print_Area" localSheetId="9">JUNE!$A$42:$K$54</definedName>
    <definedName name="_xlnm.Print_Area" localSheetId="6">MARCH!$A$42:$K$54</definedName>
    <definedName name="_xlnm.Print_Area" localSheetId="8">MAY!$A$42:$K$54</definedName>
    <definedName name="_xlnm.Print_Area" localSheetId="14">NOVEMBER!$A$42:$K$54</definedName>
    <definedName name="_xlnm.Print_Area" localSheetId="13">OCTOBER!$A$42:$K$54</definedName>
    <definedName name="_xlnm.Print_Area" localSheetId="12">SEPTEMBER!$A$42:$K$54</definedName>
  </definedNames>
  <calcPr calcId="152511"/>
</workbook>
</file>

<file path=xl/calcChain.xml><?xml version="1.0" encoding="utf-8"?>
<calcChain xmlns="http://schemas.openxmlformats.org/spreadsheetml/2006/main">
  <c r="I53" i="23" l="1"/>
  <c r="I53" i="24" l="1"/>
  <c r="AA31" i="28"/>
  <c r="AI22" i="28"/>
  <c r="AH22" i="28"/>
  <c r="AG22" i="28"/>
  <c r="AF22" i="28"/>
  <c r="AH19" i="28" l="1"/>
  <c r="AF19" i="28"/>
  <c r="AI10" i="28"/>
  <c r="AG10" i="28"/>
  <c r="AB28" i="28" l="1"/>
  <c r="S40" i="17" s="1"/>
  <c r="J40" i="19" l="1"/>
  <c r="T40" i="19"/>
  <c r="J40" i="18"/>
  <c r="T40" i="18"/>
  <c r="J40" i="17"/>
  <c r="T40" i="17"/>
  <c r="C40" i="19"/>
  <c r="S40" i="19"/>
  <c r="C40" i="18"/>
  <c r="S40" i="18"/>
  <c r="C40" i="17"/>
  <c r="E41" i="27" l="1"/>
  <c r="AF40" i="24"/>
  <c r="AE40" i="24"/>
  <c r="AD40" i="24"/>
  <c r="B49" i="24" s="1"/>
  <c r="H48" i="26"/>
  <c r="E48" i="26"/>
  <c r="B48" i="26"/>
  <c r="H47" i="26"/>
  <c r="E47" i="26"/>
  <c r="B47" i="26"/>
  <c r="B46" i="26"/>
  <c r="AQ40" i="26"/>
  <c r="AP40" i="26"/>
  <c r="AO40" i="26"/>
  <c r="AN40" i="26"/>
  <c r="AM40" i="26"/>
  <c r="AL40" i="26"/>
  <c r="AK40" i="26"/>
  <c r="AJ40" i="26"/>
  <c r="AI40" i="26"/>
  <c r="AF40" i="26"/>
  <c r="E49" i="26" s="1"/>
  <c r="AE40" i="26"/>
  <c r="AD40" i="26"/>
  <c r="B49" i="26" s="1"/>
  <c r="AQ39" i="26"/>
  <c r="AP39" i="26"/>
  <c r="AO39" i="26"/>
  <c r="AN39" i="26"/>
  <c r="AM39" i="26"/>
  <c r="AL39" i="26"/>
  <c r="AK39" i="26"/>
  <c r="AJ39" i="26"/>
  <c r="AI39" i="26"/>
  <c r="AH39" i="26"/>
  <c r="AH41" i="26" s="1"/>
  <c r="AC39" i="26"/>
  <c r="AB39" i="26"/>
  <c r="AA39" i="26"/>
  <c r="AA41" i="26" s="1"/>
  <c r="Z39" i="26"/>
  <c r="Y39" i="26"/>
  <c r="X39" i="26"/>
  <c r="W39" i="26"/>
  <c r="V39" i="26"/>
  <c r="U39" i="26"/>
  <c r="T39" i="26"/>
  <c r="S39" i="26"/>
  <c r="R39" i="26"/>
  <c r="R41" i="26" s="1"/>
  <c r="Q39" i="26"/>
  <c r="Q41" i="26" s="1"/>
  <c r="P39" i="26"/>
  <c r="P41" i="26" s="1"/>
  <c r="O39" i="26"/>
  <c r="O41" i="26" s="1"/>
  <c r="N39" i="26"/>
  <c r="M39" i="26"/>
  <c r="L39" i="26"/>
  <c r="K39" i="26"/>
  <c r="J39" i="26"/>
  <c r="I39" i="26"/>
  <c r="H39" i="26"/>
  <c r="T52" i="26" s="1"/>
  <c r="U52" i="26" s="1"/>
  <c r="G39" i="26"/>
  <c r="T47" i="26" s="1"/>
  <c r="U47" i="26" s="1"/>
  <c r="F39" i="26"/>
  <c r="E39" i="26"/>
  <c r="D39" i="26"/>
  <c r="C39" i="26"/>
  <c r="B39" i="26"/>
  <c r="H48" i="25"/>
  <c r="E48" i="25"/>
  <c r="B48" i="25"/>
  <c r="H47" i="25"/>
  <c r="E47" i="25"/>
  <c r="B47" i="25"/>
  <c r="B46" i="25"/>
  <c r="AQ40" i="25"/>
  <c r="AP40" i="25"/>
  <c r="AO40" i="25"/>
  <c r="AN40" i="25"/>
  <c r="AM40" i="25"/>
  <c r="AL40" i="25"/>
  <c r="AK40" i="25"/>
  <c r="AJ40" i="25"/>
  <c r="AI40" i="25"/>
  <c r="AF40" i="25"/>
  <c r="E49" i="25" s="1"/>
  <c r="AE40" i="25"/>
  <c r="AD40" i="25"/>
  <c r="B49" i="25" s="1"/>
  <c r="AQ39" i="25"/>
  <c r="AP39" i="25"/>
  <c r="AO39" i="25"/>
  <c r="AN39" i="25"/>
  <c r="AM39" i="25"/>
  <c r="AL39" i="25"/>
  <c r="AK39" i="25"/>
  <c r="AJ39" i="25"/>
  <c r="AI39" i="25"/>
  <c r="AH39" i="25"/>
  <c r="AH41" i="25" s="1"/>
  <c r="AC39" i="25"/>
  <c r="AB39" i="25"/>
  <c r="AA39" i="25"/>
  <c r="AA41" i="25" s="1"/>
  <c r="Z39" i="25"/>
  <c r="Y39" i="25"/>
  <c r="X39" i="25"/>
  <c r="W39" i="25"/>
  <c r="V39" i="25"/>
  <c r="U39" i="25"/>
  <c r="T39" i="25"/>
  <c r="S39" i="25"/>
  <c r="R39" i="25"/>
  <c r="R41" i="25" s="1"/>
  <c r="Q39" i="25"/>
  <c r="Q41" i="25" s="1"/>
  <c r="P39" i="25"/>
  <c r="P41" i="25" s="1"/>
  <c r="O39" i="25"/>
  <c r="O41" i="25" s="1"/>
  <c r="N39" i="25"/>
  <c r="M39" i="25"/>
  <c r="L39" i="25"/>
  <c r="K39" i="25"/>
  <c r="J39" i="25"/>
  <c r="I39" i="25"/>
  <c r="H39" i="25"/>
  <c r="T52" i="25" s="1"/>
  <c r="U52" i="25" s="1"/>
  <c r="G39" i="25"/>
  <c r="T47" i="25" s="1"/>
  <c r="U47" i="25" s="1"/>
  <c r="F39" i="25"/>
  <c r="E39" i="25"/>
  <c r="T49" i="25" s="1"/>
  <c r="U49" i="25" s="1"/>
  <c r="D39" i="25"/>
  <c r="C39" i="25"/>
  <c r="B39" i="25"/>
  <c r="H48" i="6"/>
  <c r="E48" i="6"/>
  <c r="B48" i="6"/>
  <c r="H47" i="6"/>
  <c r="E47" i="6"/>
  <c r="B47" i="6"/>
  <c r="B46" i="6"/>
  <c r="AQ40" i="6"/>
  <c r="AP40" i="6"/>
  <c r="AO40" i="6"/>
  <c r="AN40" i="6"/>
  <c r="AM40" i="6"/>
  <c r="AL40" i="6"/>
  <c r="AK40" i="6"/>
  <c r="AJ40" i="6"/>
  <c r="AI40" i="6"/>
  <c r="AF40" i="6"/>
  <c r="E49" i="6" s="1"/>
  <c r="AE40" i="6"/>
  <c r="AD40" i="6"/>
  <c r="B49" i="6" s="1"/>
  <c r="AQ39" i="6"/>
  <c r="AP39" i="6"/>
  <c r="AO39" i="6"/>
  <c r="AN39" i="6"/>
  <c r="AM39" i="6"/>
  <c r="AL39" i="6"/>
  <c r="AK39" i="6"/>
  <c r="AJ39" i="6"/>
  <c r="AI39" i="6"/>
  <c r="AH39" i="6"/>
  <c r="AH41" i="6" s="1"/>
  <c r="AC39" i="6"/>
  <c r="AB39" i="6"/>
  <c r="AA39" i="6"/>
  <c r="AA41" i="6" s="1"/>
  <c r="Z39" i="6"/>
  <c r="Y39" i="6"/>
  <c r="X39" i="6"/>
  <c r="W39" i="6"/>
  <c r="V39" i="6"/>
  <c r="U39" i="6"/>
  <c r="T39" i="6"/>
  <c r="S39" i="6"/>
  <c r="R39" i="6"/>
  <c r="R41" i="6" s="1"/>
  <c r="Q39" i="6"/>
  <c r="Q41" i="6" s="1"/>
  <c r="P39" i="6"/>
  <c r="P41" i="6" s="1"/>
  <c r="O39" i="6"/>
  <c r="O41" i="6" s="1"/>
  <c r="N39" i="6"/>
  <c r="M39" i="6"/>
  <c r="L39" i="6"/>
  <c r="K39" i="6"/>
  <c r="J39" i="6"/>
  <c r="I39" i="6"/>
  <c r="H39" i="6"/>
  <c r="T52" i="6" s="1"/>
  <c r="U52" i="6" s="1"/>
  <c r="G39" i="6"/>
  <c r="T47" i="6" s="1"/>
  <c r="U47" i="6" s="1"/>
  <c r="F39" i="6"/>
  <c r="E39" i="6"/>
  <c r="T49" i="6" s="1"/>
  <c r="U49" i="6" s="1"/>
  <c r="D39" i="6"/>
  <c r="C39" i="6"/>
  <c r="B39" i="6"/>
  <c r="AF40" i="23"/>
  <c r="AE40" i="23"/>
  <c r="AD40" i="23"/>
  <c r="B49" i="23" s="1"/>
  <c r="H49" i="23"/>
  <c r="E49" i="23"/>
  <c r="H48" i="23"/>
  <c r="E48" i="23"/>
  <c r="B48" i="23"/>
  <c r="H47" i="23"/>
  <c r="E47" i="23"/>
  <c r="B47" i="23"/>
  <c r="B46" i="23"/>
  <c r="AQ40" i="23"/>
  <c r="AP40" i="23"/>
  <c r="AO40" i="23"/>
  <c r="AN40" i="23"/>
  <c r="AM40" i="23"/>
  <c r="AL40" i="23"/>
  <c r="AK40" i="23"/>
  <c r="AJ40" i="23"/>
  <c r="AI40" i="23"/>
  <c r="AQ39" i="23"/>
  <c r="AP39" i="23"/>
  <c r="AO39" i="23"/>
  <c r="AN39" i="23"/>
  <c r="AM39" i="23"/>
  <c r="AL39" i="23"/>
  <c r="AK39" i="23"/>
  <c r="AJ39" i="23"/>
  <c r="AI39" i="23"/>
  <c r="AH39" i="23"/>
  <c r="AH41" i="23" s="1"/>
  <c r="AC39" i="23"/>
  <c r="AB39" i="23"/>
  <c r="AA39" i="23"/>
  <c r="AA41" i="23" s="1"/>
  <c r="Z39" i="23"/>
  <c r="Y39" i="23"/>
  <c r="X39" i="23"/>
  <c r="W39" i="23"/>
  <c r="V39" i="23"/>
  <c r="U39" i="23"/>
  <c r="T39" i="23"/>
  <c r="S39" i="23"/>
  <c r="R39" i="23"/>
  <c r="R41" i="23" s="1"/>
  <c r="Q39" i="23"/>
  <c r="Q41" i="23" s="1"/>
  <c r="P39" i="23"/>
  <c r="P41" i="23" s="1"/>
  <c r="O39" i="23"/>
  <c r="O41" i="23" s="1"/>
  <c r="N39" i="23"/>
  <c r="M39" i="23"/>
  <c r="L39" i="23"/>
  <c r="K39" i="23"/>
  <c r="J39" i="23"/>
  <c r="I39" i="23"/>
  <c r="H39" i="23"/>
  <c r="T52" i="23" s="1"/>
  <c r="U52" i="23" s="1"/>
  <c r="G39" i="23"/>
  <c r="T47" i="23" s="1"/>
  <c r="U47" i="23" s="1"/>
  <c r="F39" i="23"/>
  <c r="E39" i="23"/>
  <c r="T49" i="23" s="1"/>
  <c r="U49" i="23" s="1"/>
  <c r="D39" i="23"/>
  <c r="C39" i="23"/>
  <c r="B39" i="23"/>
  <c r="H48" i="24"/>
  <c r="E48" i="24"/>
  <c r="B48" i="24"/>
  <c r="H47" i="24"/>
  <c r="E47" i="24"/>
  <c r="B47" i="24"/>
  <c r="B46" i="24"/>
  <c r="AQ40" i="24"/>
  <c r="AP40" i="24"/>
  <c r="AO40" i="24"/>
  <c r="AN40" i="24"/>
  <c r="AM40" i="24"/>
  <c r="AL40" i="24"/>
  <c r="AK40" i="24"/>
  <c r="AJ40" i="24"/>
  <c r="AI40" i="24"/>
  <c r="AQ39" i="24"/>
  <c r="AP39" i="24"/>
  <c r="AO39" i="24"/>
  <c r="AN39" i="24"/>
  <c r="AM39" i="24"/>
  <c r="AL39" i="24"/>
  <c r="AK39" i="24"/>
  <c r="AJ39" i="24"/>
  <c r="AI39" i="24"/>
  <c r="AH39" i="24"/>
  <c r="AH41" i="24" s="1"/>
  <c r="AC39" i="24"/>
  <c r="AB39" i="24"/>
  <c r="AA39" i="24"/>
  <c r="AA41" i="24" s="1"/>
  <c r="Z39" i="24"/>
  <c r="Y39" i="24"/>
  <c r="X39" i="24"/>
  <c r="W39" i="24"/>
  <c r="V39" i="24"/>
  <c r="U39" i="24"/>
  <c r="T39" i="24"/>
  <c r="S39" i="24"/>
  <c r="R39" i="24"/>
  <c r="R41" i="24" s="1"/>
  <c r="Q39" i="24"/>
  <c r="Q41" i="24" s="1"/>
  <c r="P39" i="24"/>
  <c r="P41" i="24" s="1"/>
  <c r="O39" i="24"/>
  <c r="O41" i="24" s="1"/>
  <c r="N39" i="24"/>
  <c r="M39" i="24"/>
  <c r="L39" i="24"/>
  <c r="K39" i="24"/>
  <c r="J39" i="24"/>
  <c r="I39" i="24"/>
  <c r="H39" i="24"/>
  <c r="T52" i="24" s="1"/>
  <c r="U52" i="24" s="1"/>
  <c r="G39" i="24"/>
  <c r="T47" i="24" s="1"/>
  <c r="U47" i="24" s="1"/>
  <c r="F39" i="24"/>
  <c r="E39" i="24"/>
  <c r="D39" i="24"/>
  <c r="T54" i="24" s="1"/>
  <c r="U54" i="24" s="1"/>
  <c r="C39" i="24"/>
  <c r="B39" i="24"/>
  <c r="H48" i="17"/>
  <c r="E48" i="17"/>
  <c r="B48" i="17"/>
  <c r="H47" i="17"/>
  <c r="E47" i="17"/>
  <c r="B47" i="17"/>
  <c r="B46" i="17"/>
  <c r="AQ40" i="17"/>
  <c r="AP40" i="17"/>
  <c r="AO40" i="17"/>
  <c r="AN40" i="17"/>
  <c r="AM40" i="17"/>
  <c r="AL40" i="17"/>
  <c r="AK40" i="17"/>
  <c r="AJ40" i="17"/>
  <c r="AI40" i="17"/>
  <c r="AF40" i="17"/>
  <c r="E49" i="17" s="1"/>
  <c r="AE40" i="17"/>
  <c r="AD40" i="17"/>
  <c r="B49" i="17" s="1"/>
  <c r="AQ39" i="17"/>
  <c r="AP39" i="17"/>
  <c r="AO39" i="17"/>
  <c r="AN39" i="17"/>
  <c r="AM39" i="17"/>
  <c r="AL39" i="17"/>
  <c r="AK39" i="17"/>
  <c r="AJ39" i="17"/>
  <c r="AI39" i="17"/>
  <c r="AH39" i="17"/>
  <c r="AH41" i="17" s="1"/>
  <c r="AC39" i="17"/>
  <c r="AB39" i="17"/>
  <c r="AA39" i="17"/>
  <c r="AA41" i="17" s="1"/>
  <c r="Z39" i="17"/>
  <c r="Y39" i="17"/>
  <c r="X39" i="17"/>
  <c r="W39" i="17"/>
  <c r="V39" i="17"/>
  <c r="U39" i="17"/>
  <c r="T39" i="17"/>
  <c r="T41" i="17" s="1"/>
  <c r="S39" i="17"/>
  <c r="S41" i="17" s="1"/>
  <c r="R39" i="17"/>
  <c r="R41" i="17" s="1"/>
  <c r="Q39" i="17"/>
  <c r="Q41" i="17" s="1"/>
  <c r="P39" i="17"/>
  <c r="P41" i="17" s="1"/>
  <c r="O39" i="17"/>
  <c r="O41" i="17" s="1"/>
  <c r="N39" i="17"/>
  <c r="M39" i="17"/>
  <c r="L39" i="17"/>
  <c r="K39" i="17"/>
  <c r="J39" i="17"/>
  <c r="J41" i="17" s="1"/>
  <c r="I39" i="17"/>
  <c r="H39" i="17"/>
  <c r="T52" i="17" s="1"/>
  <c r="U52" i="17" s="1"/>
  <c r="G39" i="17"/>
  <c r="T47" i="17" s="1"/>
  <c r="U47" i="17" s="1"/>
  <c r="F39" i="17"/>
  <c r="E39" i="17"/>
  <c r="T49" i="17" s="1"/>
  <c r="U49" i="17" s="1"/>
  <c r="D39" i="17"/>
  <c r="C39" i="17"/>
  <c r="B39" i="17"/>
  <c r="H48" i="18"/>
  <c r="E48" i="18"/>
  <c r="B48" i="18"/>
  <c r="H47" i="18"/>
  <c r="E47" i="18"/>
  <c r="B47" i="18"/>
  <c r="B46" i="18"/>
  <c r="AQ40" i="18"/>
  <c r="AP40" i="18"/>
  <c r="AO40" i="18"/>
  <c r="AN40" i="18"/>
  <c r="AM40" i="18"/>
  <c r="AL40" i="18"/>
  <c r="AK40" i="18"/>
  <c r="AJ40" i="18"/>
  <c r="AI40" i="18"/>
  <c r="AF40" i="18"/>
  <c r="E49" i="18" s="1"/>
  <c r="AE40" i="18"/>
  <c r="H49" i="18" s="1"/>
  <c r="AD40" i="18"/>
  <c r="B49" i="18" s="1"/>
  <c r="AQ39" i="18"/>
  <c r="AP39" i="18"/>
  <c r="AO39" i="18"/>
  <c r="AN39" i="18"/>
  <c r="AM39" i="18"/>
  <c r="AL39" i="18"/>
  <c r="AK39" i="18"/>
  <c r="AJ39" i="18"/>
  <c r="AI39" i="18"/>
  <c r="AH39" i="18"/>
  <c r="AH41" i="18" s="1"/>
  <c r="AC39" i="18"/>
  <c r="AB39" i="18"/>
  <c r="AA39" i="18"/>
  <c r="AA41" i="18" s="1"/>
  <c r="Z39" i="18"/>
  <c r="Y39" i="18"/>
  <c r="X39" i="18"/>
  <c r="W39" i="18"/>
  <c r="T45" i="18" s="1"/>
  <c r="U45" i="18" s="1"/>
  <c r="V39" i="18"/>
  <c r="U39" i="18"/>
  <c r="T50" i="18" s="1"/>
  <c r="U50" i="18" s="1"/>
  <c r="T39" i="18"/>
  <c r="T41" i="18" s="1"/>
  <c r="S39" i="18"/>
  <c r="S41" i="18" s="1"/>
  <c r="R39" i="18"/>
  <c r="R41" i="18" s="1"/>
  <c r="Q39" i="18"/>
  <c r="Q41" i="18" s="1"/>
  <c r="P39" i="18"/>
  <c r="P41" i="18" s="1"/>
  <c r="O39" i="18"/>
  <c r="O41" i="18" s="1"/>
  <c r="N39" i="18"/>
  <c r="M39" i="18"/>
  <c r="L39" i="18"/>
  <c r="K39" i="18"/>
  <c r="J39" i="18"/>
  <c r="J41" i="18" s="1"/>
  <c r="I39" i="18"/>
  <c r="H39" i="18"/>
  <c r="T52" i="18" s="1"/>
  <c r="U52" i="18" s="1"/>
  <c r="G39" i="18"/>
  <c r="T47" i="18" s="1"/>
  <c r="U47" i="18" s="1"/>
  <c r="F39" i="18"/>
  <c r="E39" i="18"/>
  <c r="T49" i="18" s="1"/>
  <c r="U49" i="18" s="1"/>
  <c r="D39" i="18"/>
  <c r="C39" i="18"/>
  <c r="B39" i="18"/>
  <c r="H48" i="19"/>
  <c r="E48" i="19"/>
  <c r="B48" i="19"/>
  <c r="H47" i="19"/>
  <c r="E47" i="19"/>
  <c r="B47" i="19"/>
  <c r="H46" i="19"/>
  <c r="E46" i="19"/>
  <c r="B46" i="19"/>
  <c r="AQ40" i="19"/>
  <c r="AP40" i="19"/>
  <c r="AO40" i="19"/>
  <c r="AN40" i="19"/>
  <c r="AM40" i="19"/>
  <c r="AL40" i="19"/>
  <c r="AK40" i="19"/>
  <c r="AJ40" i="19"/>
  <c r="AI40" i="19"/>
  <c r="AF40" i="19"/>
  <c r="AE40" i="19"/>
  <c r="H49" i="19" s="1"/>
  <c r="AD40" i="19"/>
  <c r="B49" i="19" s="1"/>
  <c r="AQ39" i="19"/>
  <c r="AP39" i="19"/>
  <c r="AO39" i="19"/>
  <c r="AN39" i="19"/>
  <c r="AM39" i="19"/>
  <c r="AL39" i="19"/>
  <c r="AK39" i="19"/>
  <c r="AJ39" i="19"/>
  <c r="AI39" i="19"/>
  <c r="AH39" i="19"/>
  <c r="AH41" i="19" s="1"/>
  <c r="AC39" i="19"/>
  <c r="AB39" i="19"/>
  <c r="AA39" i="19"/>
  <c r="AA41" i="19" s="1"/>
  <c r="Z39" i="19"/>
  <c r="Y39" i="19"/>
  <c r="X39" i="19"/>
  <c r="W39" i="19"/>
  <c r="V39" i="19"/>
  <c r="U39" i="19"/>
  <c r="T39" i="19"/>
  <c r="T41" i="19" s="1"/>
  <c r="S39" i="19"/>
  <c r="S41" i="19" s="1"/>
  <c r="R39" i="19"/>
  <c r="R41" i="19" s="1"/>
  <c r="Q39" i="19"/>
  <c r="Q41" i="19" s="1"/>
  <c r="P39" i="19"/>
  <c r="P41" i="19" s="1"/>
  <c r="O39" i="19"/>
  <c r="O41" i="19" s="1"/>
  <c r="N39" i="19"/>
  <c r="M39" i="19"/>
  <c r="L39" i="19"/>
  <c r="K39" i="19"/>
  <c r="J39" i="19"/>
  <c r="J41" i="19" s="1"/>
  <c r="I39" i="19"/>
  <c r="H39" i="19"/>
  <c r="T52" i="19" s="1"/>
  <c r="U52" i="19" s="1"/>
  <c r="G39" i="19"/>
  <c r="T47" i="19" s="1"/>
  <c r="U47" i="19" s="1"/>
  <c r="F39" i="19"/>
  <c r="E39" i="19"/>
  <c r="T49" i="19" s="1"/>
  <c r="U49" i="19" s="1"/>
  <c r="D39" i="19"/>
  <c r="T54" i="19" s="1"/>
  <c r="U54" i="19" s="1"/>
  <c r="C39" i="19"/>
  <c r="B39" i="19"/>
  <c r="H48" i="20"/>
  <c r="E48" i="20"/>
  <c r="B48" i="20"/>
  <c r="H47" i="20"/>
  <c r="E47" i="20"/>
  <c r="B47" i="20"/>
  <c r="H46" i="20"/>
  <c r="E46" i="20"/>
  <c r="B46" i="20"/>
  <c r="AQ40" i="20"/>
  <c r="AP40" i="20"/>
  <c r="AO40" i="20"/>
  <c r="AN40" i="20"/>
  <c r="AM40" i="20"/>
  <c r="AL40" i="20"/>
  <c r="AK40" i="20"/>
  <c r="AJ40" i="20"/>
  <c r="AI40" i="20"/>
  <c r="AF40" i="20"/>
  <c r="E49" i="20" s="1"/>
  <c r="AE40" i="20"/>
  <c r="H49" i="20" s="1"/>
  <c r="AD40" i="20"/>
  <c r="B49" i="20" s="1"/>
  <c r="AQ39" i="20"/>
  <c r="AP39" i="20"/>
  <c r="AO39" i="20"/>
  <c r="AN39" i="20"/>
  <c r="AM39" i="20"/>
  <c r="AL39" i="20"/>
  <c r="AK39" i="20"/>
  <c r="AJ39" i="20"/>
  <c r="AI39" i="20"/>
  <c r="AH39" i="20"/>
  <c r="AH41" i="20" s="1"/>
  <c r="AC39" i="20"/>
  <c r="AB39" i="20"/>
  <c r="AA39" i="20"/>
  <c r="AA41" i="20" s="1"/>
  <c r="Z39" i="20"/>
  <c r="Y39" i="20"/>
  <c r="X39" i="20"/>
  <c r="W39" i="20"/>
  <c r="T45" i="20" s="1"/>
  <c r="U45" i="20" s="1"/>
  <c r="V39" i="20"/>
  <c r="U39" i="20"/>
  <c r="T39" i="20"/>
  <c r="S39" i="20"/>
  <c r="R39" i="20"/>
  <c r="R41" i="20" s="1"/>
  <c r="Q39" i="20"/>
  <c r="Q41" i="20" s="1"/>
  <c r="P39" i="20"/>
  <c r="P41" i="20" s="1"/>
  <c r="O39" i="20"/>
  <c r="O41" i="20" s="1"/>
  <c r="N39" i="20"/>
  <c r="M39" i="20"/>
  <c r="L39" i="20"/>
  <c r="K39" i="20"/>
  <c r="J39" i="20"/>
  <c r="I39" i="20"/>
  <c r="H39" i="20"/>
  <c r="T52" i="20" s="1"/>
  <c r="U52" i="20" s="1"/>
  <c r="G39" i="20"/>
  <c r="T47" i="20" s="1"/>
  <c r="U47" i="20" s="1"/>
  <c r="F39" i="20"/>
  <c r="E39" i="20"/>
  <c r="D39" i="20"/>
  <c r="T54" i="20" s="1"/>
  <c r="U54" i="20" s="1"/>
  <c r="C39" i="20"/>
  <c r="T51" i="20" s="1"/>
  <c r="U51" i="20" s="1"/>
  <c r="B39" i="20"/>
  <c r="T50" i="19" l="1"/>
  <c r="U50" i="19" s="1"/>
  <c r="T53" i="18"/>
  <c r="U53" i="18" s="1"/>
  <c r="T49" i="20"/>
  <c r="U49" i="20" s="1"/>
  <c r="T50" i="20"/>
  <c r="U50" i="20" s="1"/>
  <c r="T53" i="19"/>
  <c r="U53" i="19" s="1"/>
  <c r="T49" i="24"/>
  <c r="U49" i="24" s="1"/>
  <c r="T49" i="26"/>
  <c r="U49" i="26" s="1"/>
  <c r="AG40" i="24"/>
  <c r="H46" i="24" s="1"/>
  <c r="T53" i="20"/>
  <c r="U53" i="20" s="1"/>
  <c r="T51" i="19"/>
  <c r="U51" i="19" s="1"/>
  <c r="T45" i="19"/>
  <c r="U45" i="19" s="1"/>
  <c r="T54" i="18"/>
  <c r="U54" i="18" s="1"/>
  <c r="T51" i="17"/>
  <c r="U51" i="17" s="1"/>
  <c r="T53" i="24"/>
  <c r="U53" i="24" s="1"/>
  <c r="T51" i="23"/>
  <c r="U51" i="23" s="1"/>
  <c r="T54" i="6"/>
  <c r="U54" i="6" s="1"/>
  <c r="T53" i="26"/>
  <c r="U53" i="26" s="1"/>
  <c r="T54" i="26"/>
  <c r="U54" i="26" s="1"/>
  <c r="T51" i="26"/>
  <c r="U51" i="26" s="1"/>
  <c r="AG40" i="26"/>
  <c r="T51" i="6"/>
  <c r="U51" i="6" s="1"/>
  <c r="AG40" i="6"/>
  <c r="E46" i="6" s="1"/>
  <c r="T53" i="6"/>
  <c r="U53" i="6" s="1"/>
  <c r="T53" i="23"/>
  <c r="U53" i="23" s="1"/>
  <c r="T54" i="23"/>
  <c r="U54" i="23" s="1"/>
  <c r="AG40" i="23"/>
  <c r="E46" i="23" s="1"/>
  <c r="T50" i="23"/>
  <c r="U50" i="23" s="1"/>
  <c r="T45" i="23"/>
  <c r="U45" i="23" s="1"/>
  <c r="T51" i="24"/>
  <c r="U51" i="24" s="1"/>
  <c r="T50" i="24"/>
  <c r="U50" i="24" s="1"/>
  <c r="T45" i="24"/>
  <c r="U45" i="24" s="1"/>
  <c r="E49" i="24"/>
  <c r="AG40" i="17"/>
  <c r="T53" i="17"/>
  <c r="U53" i="17" s="1"/>
  <c r="T54" i="17"/>
  <c r="U54" i="17" s="1"/>
  <c r="T50" i="17"/>
  <c r="U50" i="17" s="1"/>
  <c r="T45" i="17"/>
  <c r="U45" i="17" s="1"/>
  <c r="T51" i="18"/>
  <c r="U51" i="18" s="1"/>
  <c r="AG40" i="18"/>
  <c r="T46" i="19"/>
  <c r="U46" i="19" s="1"/>
  <c r="T46" i="20"/>
  <c r="U46" i="20" s="1"/>
  <c r="T50" i="26"/>
  <c r="U50" i="26" s="1"/>
  <c r="T45" i="26"/>
  <c r="U45" i="26" s="1"/>
  <c r="T46" i="26"/>
  <c r="U46" i="26" s="1"/>
  <c r="AJ41" i="26"/>
  <c r="AL41" i="26"/>
  <c r="AN41" i="26"/>
  <c r="AP41" i="26"/>
  <c r="AI41" i="26"/>
  <c r="AK41" i="26"/>
  <c r="AM41" i="26"/>
  <c r="AO41" i="26"/>
  <c r="AQ41" i="26"/>
  <c r="T50" i="25"/>
  <c r="U50" i="25" s="1"/>
  <c r="T45" i="25"/>
  <c r="U45" i="25" s="1"/>
  <c r="T51" i="25"/>
  <c r="U51" i="25" s="1"/>
  <c r="T53" i="25"/>
  <c r="U53" i="25" s="1"/>
  <c r="T54" i="25"/>
  <c r="U54" i="25" s="1"/>
  <c r="T46" i="25"/>
  <c r="U46" i="25" s="1"/>
  <c r="AJ41" i="25"/>
  <c r="AL41" i="25"/>
  <c r="AN41" i="25"/>
  <c r="AP41" i="25"/>
  <c r="AG40" i="25"/>
  <c r="E46" i="25" s="1"/>
  <c r="AI41" i="25"/>
  <c r="AK41" i="25"/>
  <c r="AM41" i="25"/>
  <c r="AO41" i="25"/>
  <c r="AQ41" i="25"/>
  <c r="T50" i="6"/>
  <c r="U50" i="6" s="1"/>
  <c r="T45" i="6"/>
  <c r="U45" i="6" s="1"/>
  <c r="AJ41" i="6"/>
  <c r="AL41" i="6"/>
  <c r="AN41" i="6"/>
  <c r="AP41" i="6"/>
  <c r="AI41" i="6"/>
  <c r="E45" i="6" s="1"/>
  <c r="AK41" i="6"/>
  <c r="AM41" i="6"/>
  <c r="AO41" i="6"/>
  <c r="AQ41" i="6"/>
  <c r="AJ41" i="23"/>
  <c r="AL41" i="23"/>
  <c r="AN41" i="23"/>
  <c r="AP41" i="23"/>
  <c r="AI41" i="23"/>
  <c r="AK41" i="23"/>
  <c r="AM41" i="23"/>
  <c r="AO41" i="23"/>
  <c r="AQ41" i="23"/>
  <c r="AJ41" i="24"/>
  <c r="AL41" i="24"/>
  <c r="AN41" i="24"/>
  <c r="AP41" i="24"/>
  <c r="AI41" i="24"/>
  <c r="AK41" i="24"/>
  <c r="AM41" i="24"/>
  <c r="AO41" i="24"/>
  <c r="AQ41" i="24"/>
  <c r="AJ41" i="17"/>
  <c r="AL41" i="17"/>
  <c r="AN41" i="17"/>
  <c r="AP41" i="17"/>
  <c r="AI41" i="17"/>
  <c r="AK41" i="17"/>
  <c r="AM41" i="17"/>
  <c r="AO41" i="17"/>
  <c r="AQ41" i="17"/>
  <c r="AI41" i="19"/>
  <c r="AK41" i="19"/>
  <c r="AM41" i="19"/>
  <c r="AO41" i="19"/>
  <c r="AQ41" i="19"/>
  <c r="AJ41" i="19"/>
  <c r="AL41" i="19"/>
  <c r="AN41" i="19"/>
  <c r="AP41" i="19"/>
  <c r="AJ41" i="20"/>
  <c r="AL41" i="20"/>
  <c r="AN41" i="20"/>
  <c r="AP41" i="20"/>
  <c r="AI41" i="20"/>
  <c r="AK41" i="20"/>
  <c r="AM41" i="20"/>
  <c r="AO41" i="20"/>
  <c r="AQ41" i="20"/>
  <c r="T48" i="26"/>
  <c r="U48" i="26" s="1"/>
  <c r="H49" i="26"/>
  <c r="T48" i="25"/>
  <c r="U48" i="25" s="1"/>
  <c r="H49" i="25"/>
  <c r="T46" i="6"/>
  <c r="U46" i="6" s="1"/>
  <c r="H46" i="6"/>
  <c r="T48" i="6"/>
  <c r="U48" i="6" s="1"/>
  <c r="H49" i="6"/>
  <c r="T46" i="23"/>
  <c r="U46" i="23" s="1"/>
  <c r="T48" i="23"/>
  <c r="U48" i="23" s="1"/>
  <c r="T46" i="24"/>
  <c r="U46" i="24" s="1"/>
  <c r="E46" i="24"/>
  <c r="T48" i="24"/>
  <c r="U48" i="24" s="1"/>
  <c r="H49" i="24"/>
  <c r="T46" i="17"/>
  <c r="U46" i="17" s="1"/>
  <c r="E45" i="17"/>
  <c r="H46" i="17"/>
  <c r="E46" i="17"/>
  <c r="C41" i="17"/>
  <c r="T48" i="17"/>
  <c r="U48" i="17" s="1"/>
  <c r="H49" i="17"/>
  <c r="AI41" i="18"/>
  <c r="AK41" i="18"/>
  <c r="AM41" i="18"/>
  <c r="AO41" i="18"/>
  <c r="AQ41" i="18"/>
  <c r="T46" i="18"/>
  <c r="U46" i="18" s="1"/>
  <c r="AJ41" i="18"/>
  <c r="AL41" i="18"/>
  <c r="AN41" i="18"/>
  <c r="AP41" i="18"/>
  <c r="C41" i="18"/>
  <c r="T48" i="18"/>
  <c r="U48" i="18" s="1"/>
  <c r="C41" i="19"/>
  <c r="T48" i="19"/>
  <c r="U48" i="19" s="1"/>
  <c r="T48" i="20"/>
  <c r="U48" i="20" s="1"/>
  <c r="E45" i="19" l="1"/>
  <c r="E45" i="26"/>
  <c r="B45" i="17"/>
  <c r="B45" i="19"/>
  <c r="H45" i="6"/>
  <c r="H45" i="20"/>
  <c r="H45" i="19"/>
  <c r="H46" i="26"/>
  <c r="E46" i="26"/>
  <c r="B45" i="6"/>
  <c r="H46" i="23"/>
  <c r="E45" i="23"/>
  <c r="B45" i="23"/>
  <c r="H45" i="24"/>
  <c r="E45" i="24"/>
  <c r="B45" i="24"/>
  <c r="B45" i="20"/>
  <c r="E45" i="20"/>
  <c r="E46" i="18"/>
  <c r="H46" i="18"/>
  <c r="B45" i="26"/>
  <c r="H45" i="26"/>
  <c r="E45" i="25"/>
  <c r="B45" i="25"/>
  <c r="H45" i="25"/>
  <c r="H46" i="25"/>
  <c r="H45" i="23"/>
  <c r="H45" i="17"/>
  <c r="E45" i="18"/>
  <c r="B45" i="18"/>
  <c r="H45" i="18"/>
  <c r="H48" i="21" l="1"/>
  <c r="E48" i="21"/>
  <c r="B48" i="21"/>
  <c r="H47" i="21"/>
  <c r="E47" i="21"/>
  <c r="B47" i="21"/>
  <c r="B46" i="21"/>
  <c r="AQ40" i="21"/>
  <c r="AP40" i="21"/>
  <c r="AO40" i="21"/>
  <c r="AN40" i="21"/>
  <c r="AM40" i="21"/>
  <c r="AL40" i="21"/>
  <c r="AK40" i="21"/>
  <c r="AJ40" i="21"/>
  <c r="AI40" i="21"/>
  <c r="AF40" i="21"/>
  <c r="E49" i="21" s="1"/>
  <c r="AE40" i="21"/>
  <c r="AD40" i="21"/>
  <c r="B49" i="21" s="1"/>
  <c r="AQ39" i="21"/>
  <c r="AP39" i="21"/>
  <c r="AO39" i="21"/>
  <c r="AN39" i="21"/>
  <c r="AM39" i="21"/>
  <c r="AL39" i="21"/>
  <c r="AK39" i="21"/>
  <c r="AJ39" i="21"/>
  <c r="AI39" i="21"/>
  <c r="AH39" i="21"/>
  <c r="AH41" i="21" s="1"/>
  <c r="AC39" i="21"/>
  <c r="AB39" i="21"/>
  <c r="AA39" i="21"/>
  <c r="AA41" i="21" s="1"/>
  <c r="Z39" i="21"/>
  <c r="Y39" i="21"/>
  <c r="X39" i="21"/>
  <c r="W39" i="21"/>
  <c r="V39" i="21"/>
  <c r="U39" i="21"/>
  <c r="T39" i="21"/>
  <c r="S39" i="21"/>
  <c r="R39" i="21"/>
  <c r="R41" i="21" s="1"/>
  <c r="Q39" i="21"/>
  <c r="Q41" i="21" s="1"/>
  <c r="P39" i="21"/>
  <c r="P41" i="21" s="1"/>
  <c r="O39" i="21"/>
  <c r="O41" i="21" s="1"/>
  <c r="N39" i="21"/>
  <c r="M39" i="21"/>
  <c r="L39" i="21"/>
  <c r="K39" i="21"/>
  <c r="J39" i="21"/>
  <c r="I39" i="21"/>
  <c r="H39" i="21"/>
  <c r="T52" i="21" s="1"/>
  <c r="U52" i="21" s="1"/>
  <c r="G39" i="21"/>
  <c r="T47" i="21" s="1"/>
  <c r="U47" i="21" s="1"/>
  <c r="F39" i="21"/>
  <c r="E39" i="21"/>
  <c r="D39" i="21"/>
  <c r="T54" i="21" s="1"/>
  <c r="U54" i="21" s="1"/>
  <c r="C39" i="21"/>
  <c r="B39" i="21"/>
  <c r="T49" i="21" l="1"/>
  <c r="U49" i="21" s="1"/>
  <c r="T53" i="21"/>
  <c r="U53" i="21" s="1"/>
  <c r="T51" i="21"/>
  <c r="U51" i="21" s="1"/>
  <c r="T50" i="21"/>
  <c r="U50" i="21" s="1"/>
  <c r="AJ41" i="21"/>
  <c r="AL41" i="21"/>
  <c r="AN41" i="21"/>
  <c r="AP41" i="21"/>
  <c r="AI41" i="21"/>
  <c r="AK41" i="21"/>
  <c r="AM41" i="21"/>
  <c r="AO41" i="21"/>
  <c r="AQ41" i="21"/>
  <c r="T46" i="21"/>
  <c r="U46" i="21" s="1"/>
  <c r="T45" i="21"/>
  <c r="U45" i="21" s="1"/>
  <c r="H46" i="21"/>
  <c r="E46" i="21"/>
  <c r="T48" i="21"/>
  <c r="U48" i="21" s="1"/>
  <c r="H49" i="21"/>
  <c r="B45" i="21" l="1"/>
  <c r="E45" i="21"/>
  <c r="H45" i="21"/>
  <c r="H48" i="22" l="1"/>
  <c r="E48" i="22"/>
  <c r="B48" i="22"/>
  <c r="H47" i="22"/>
  <c r="E47" i="22"/>
  <c r="B47" i="22"/>
  <c r="B46" i="22"/>
  <c r="AQ40" i="22"/>
  <c r="AP40" i="22"/>
  <c r="AO40" i="22"/>
  <c r="AN40" i="22"/>
  <c r="AM40" i="22"/>
  <c r="AL40" i="22"/>
  <c r="AK40" i="22"/>
  <c r="AJ40" i="22"/>
  <c r="AI40" i="22"/>
  <c r="AF40" i="22"/>
  <c r="E49" i="22" s="1"/>
  <c r="AE40" i="22"/>
  <c r="AD40" i="22"/>
  <c r="B49" i="22" s="1"/>
  <c r="AQ39" i="22"/>
  <c r="AP39" i="22"/>
  <c r="AO39" i="22"/>
  <c r="AN39" i="22"/>
  <c r="AM39" i="22"/>
  <c r="AL39" i="22"/>
  <c r="AK39" i="22"/>
  <c r="AJ39" i="22"/>
  <c r="AI39" i="22"/>
  <c r="AH39" i="22"/>
  <c r="AC39" i="22"/>
  <c r="AB39" i="22"/>
  <c r="AA39" i="22"/>
  <c r="AA41" i="22" s="1"/>
  <c r="Z39" i="22"/>
  <c r="Y39" i="22"/>
  <c r="X39" i="22"/>
  <c r="W39" i="22"/>
  <c r="V39" i="22"/>
  <c r="U39" i="22"/>
  <c r="T39" i="22"/>
  <c r="S39" i="22"/>
  <c r="R39" i="22"/>
  <c r="R41" i="22" s="1"/>
  <c r="Q39" i="22"/>
  <c r="Q41" i="22" s="1"/>
  <c r="P39" i="22"/>
  <c r="P41" i="22" s="1"/>
  <c r="O39" i="22"/>
  <c r="O41" i="22" s="1"/>
  <c r="N39" i="22"/>
  <c r="M39" i="22"/>
  <c r="L39" i="22"/>
  <c r="K39" i="22"/>
  <c r="J39" i="22"/>
  <c r="I39" i="22"/>
  <c r="H39" i="22"/>
  <c r="T52" i="22" s="1"/>
  <c r="U52" i="22" s="1"/>
  <c r="G39" i="22"/>
  <c r="T47" i="22" s="1"/>
  <c r="U47" i="22" s="1"/>
  <c r="F39" i="22"/>
  <c r="E39" i="22"/>
  <c r="D39" i="22"/>
  <c r="T54" i="22" s="1"/>
  <c r="U54" i="22" s="1"/>
  <c r="C39" i="22"/>
  <c r="B39" i="22"/>
  <c r="T49" i="22" l="1"/>
  <c r="U49" i="22" s="1"/>
  <c r="T53" i="22"/>
  <c r="U53" i="22" s="1"/>
  <c r="AH41" i="22"/>
  <c r="T51" i="22"/>
  <c r="U51" i="22" s="1"/>
  <c r="T50" i="22"/>
  <c r="U50" i="22" s="1"/>
  <c r="T45" i="22"/>
  <c r="U45" i="22" s="1"/>
  <c r="AG40" i="22"/>
  <c r="H46" i="22" s="1"/>
  <c r="AJ41" i="22"/>
  <c r="AL41" i="22"/>
  <c r="AN41" i="22"/>
  <c r="AP41" i="22"/>
  <c r="AI41" i="22"/>
  <c r="AK41" i="22"/>
  <c r="AM41" i="22"/>
  <c r="AO41" i="22"/>
  <c r="AQ41" i="22"/>
  <c r="T46" i="22"/>
  <c r="U46" i="22" s="1"/>
  <c r="T48" i="22"/>
  <c r="U48" i="22" s="1"/>
  <c r="H49" i="22"/>
  <c r="H48" i="16"/>
  <c r="E48" i="16"/>
  <c r="B48" i="16"/>
  <c r="E46" i="22" l="1"/>
  <c r="B45" i="22"/>
  <c r="H45" i="22"/>
  <c r="E45" i="22"/>
  <c r="B46" i="16"/>
  <c r="B47" i="16" l="1"/>
  <c r="AQ40" i="16"/>
  <c r="AP40" i="16"/>
  <c r="AO40" i="16"/>
  <c r="AN40" i="16"/>
  <c r="AM40" i="16"/>
  <c r="AL40" i="16"/>
  <c r="AK40" i="16"/>
  <c r="AJ40" i="16"/>
  <c r="AI40" i="16"/>
  <c r="AQ39" i="16"/>
  <c r="AP39" i="16"/>
  <c r="AO39" i="16"/>
  <c r="AN39" i="16"/>
  <c r="AM39" i="16"/>
  <c r="AL39" i="16"/>
  <c r="AK39" i="16"/>
  <c r="AJ39" i="16"/>
  <c r="AI39" i="16"/>
  <c r="AH39" i="16"/>
  <c r="H47" i="16"/>
  <c r="E47" i="16"/>
  <c r="AH41" i="16" l="1"/>
  <c r="C54" i="27"/>
  <c r="AL41" i="16"/>
  <c r="AQ41" i="16"/>
  <c r="AP41" i="16"/>
  <c r="AN41" i="16"/>
  <c r="AM41" i="16"/>
  <c r="AK41" i="16"/>
  <c r="AJ41" i="16"/>
  <c r="AI41" i="16"/>
  <c r="AO41" i="16" l="1"/>
  <c r="B45" i="16" s="1"/>
  <c r="AB26" i="28"/>
  <c r="AC26" i="28"/>
  <c r="AD26" i="28"/>
  <c r="AA26" i="28"/>
  <c r="K40" i="20" l="1"/>
  <c r="K41" i="20" s="1"/>
  <c r="L20" i="27" s="1"/>
  <c r="K40" i="21"/>
  <c r="K41" i="21" s="1"/>
  <c r="L19" i="27" s="1"/>
  <c r="K40" i="22"/>
  <c r="K41" i="22" s="1"/>
  <c r="E40" i="20"/>
  <c r="E41" i="20" s="1"/>
  <c r="F20" i="27" s="1"/>
  <c r="E40" i="21"/>
  <c r="E41" i="21" s="1"/>
  <c r="E40" i="22"/>
  <c r="E41" i="22" s="1"/>
  <c r="F18" i="27" s="1"/>
  <c r="K40" i="16"/>
  <c r="K40" i="23"/>
  <c r="K41" i="23" s="1"/>
  <c r="K40" i="24"/>
  <c r="K41" i="24" s="1"/>
  <c r="E40" i="16"/>
  <c r="E40" i="23"/>
  <c r="E41" i="23" s="1"/>
  <c r="E40" i="24"/>
  <c r="E41" i="24" s="1"/>
  <c r="F24" i="27" s="1"/>
  <c r="K40" i="26"/>
  <c r="K41" i="26" s="1"/>
  <c r="K40" i="25"/>
  <c r="K41" i="25" s="1"/>
  <c r="K40" i="6"/>
  <c r="K41" i="6" s="1"/>
  <c r="E40" i="26"/>
  <c r="E41" i="26" s="1"/>
  <c r="E40" i="25"/>
  <c r="E41" i="25" s="1"/>
  <c r="E40" i="6"/>
  <c r="E41" i="6" s="1"/>
  <c r="K40" i="17"/>
  <c r="K41" i="17" s="1"/>
  <c r="K40" i="18"/>
  <c r="K41" i="18" s="1"/>
  <c r="L22" i="27" s="1"/>
  <c r="K40" i="19"/>
  <c r="K41" i="19" s="1"/>
  <c r="E40" i="17"/>
  <c r="E41" i="17" s="1"/>
  <c r="E40" i="18"/>
  <c r="E41" i="18" s="1"/>
  <c r="F22" i="27" s="1"/>
  <c r="E40" i="19"/>
  <c r="E41" i="19" s="1"/>
  <c r="AG24" i="28"/>
  <c r="AH24" i="28"/>
  <c r="AI24" i="28"/>
  <c r="AF24" i="28"/>
  <c r="AI31" i="28"/>
  <c r="AH31" i="28"/>
  <c r="AG31" i="28"/>
  <c r="AF31" i="28"/>
  <c r="AD31" i="28"/>
  <c r="AC31" i="28"/>
  <c r="AB31" i="28"/>
  <c r="AI30" i="28"/>
  <c r="AH30" i="28"/>
  <c r="AG30" i="28"/>
  <c r="AF30" i="28"/>
  <c r="AD30" i="28"/>
  <c r="B40" i="25" s="1"/>
  <c r="AC30" i="28"/>
  <c r="AB30" i="28"/>
  <c r="AA30" i="28"/>
  <c r="AI29" i="28"/>
  <c r="AH29" i="28"/>
  <c r="AG29" i="28"/>
  <c r="AF29" i="28"/>
  <c r="AD29" i="28"/>
  <c r="AC29" i="28"/>
  <c r="AB29" i="28"/>
  <c r="AA29" i="28"/>
  <c r="AI28" i="28"/>
  <c r="AH28" i="28"/>
  <c r="AG28" i="28"/>
  <c r="AF28" i="28"/>
  <c r="AD28" i="28"/>
  <c r="AC28" i="28"/>
  <c r="AA28" i="28"/>
  <c r="AI27" i="28"/>
  <c r="AH27" i="28"/>
  <c r="AG27" i="28"/>
  <c r="AF27" i="28"/>
  <c r="AD27" i="28"/>
  <c r="AC27" i="28"/>
  <c r="AB27" i="28"/>
  <c r="AA27" i="28"/>
  <c r="AI26" i="28"/>
  <c r="AH26" i="28"/>
  <c r="AG26" i="28"/>
  <c r="AF26" i="28"/>
  <c r="AI25" i="28"/>
  <c r="AH25" i="28"/>
  <c r="AG25" i="28"/>
  <c r="AF25" i="28"/>
  <c r="AD25" i="28"/>
  <c r="AC25" i="28"/>
  <c r="AB25" i="28"/>
  <c r="AA25" i="28"/>
  <c r="AD24" i="28"/>
  <c r="AC24" i="28"/>
  <c r="AB24" i="28"/>
  <c r="AA24" i="28"/>
  <c r="AI23" i="28"/>
  <c r="AH23" i="28"/>
  <c r="AG23" i="28"/>
  <c r="AF23" i="28"/>
  <c r="AD23" i="28"/>
  <c r="AC23" i="28"/>
  <c r="AB23" i="28"/>
  <c r="AA23" i="28"/>
  <c r="AD22" i="28"/>
  <c r="AC22" i="28"/>
  <c r="AB22" i="28"/>
  <c r="AA22" i="28"/>
  <c r="R20" i="28"/>
  <c r="AI19" i="28"/>
  <c r="AG19" i="28"/>
  <c r="T18" i="28"/>
  <c r="AB18" i="28" s="1"/>
  <c r="P18" i="28"/>
  <c r="A12" i="28"/>
  <c r="A20" i="28" s="1"/>
  <c r="AE7" i="28"/>
  <c r="AD7" i="28"/>
  <c r="AD9" i="28" s="1"/>
  <c r="F25" i="27"/>
  <c r="L25" i="27"/>
  <c r="P25" i="27"/>
  <c r="Q25" i="27"/>
  <c r="R25" i="27"/>
  <c r="S25" i="27"/>
  <c r="AB25" i="27"/>
  <c r="L24" i="27"/>
  <c r="P24" i="27"/>
  <c r="Q24" i="27"/>
  <c r="R24" i="27"/>
  <c r="S24" i="27"/>
  <c r="AB24" i="27"/>
  <c r="AE10" i="27"/>
  <c r="AF10" i="27"/>
  <c r="AG10" i="27"/>
  <c r="AH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D23" i="27"/>
  <c r="F23" i="27"/>
  <c r="K23" i="27"/>
  <c r="L23" i="27"/>
  <c r="P23" i="27"/>
  <c r="Q23" i="27"/>
  <c r="R23" i="27"/>
  <c r="S23" i="27"/>
  <c r="T23" i="27"/>
  <c r="U23" i="27"/>
  <c r="AB23" i="27"/>
  <c r="D22" i="27"/>
  <c r="K22" i="27"/>
  <c r="P22" i="27"/>
  <c r="Q22" i="27"/>
  <c r="R22" i="27"/>
  <c r="S22" i="27"/>
  <c r="T22" i="27"/>
  <c r="U22" i="27"/>
  <c r="AB22" i="27"/>
  <c r="AE9" i="27"/>
  <c r="AF9" i="27"/>
  <c r="AG9" i="27"/>
  <c r="AH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8" i="27"/>
  <c r="AF8" i="27"/>
  <c r="AG8" i="27"/>
  <c r="AH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D21" i="27"/>
  <c r="F21" i="27"/>
  <c r="K21" i="27"/>
  <c r="L21" i="27"/>
  <c r="P21" i="27"/>
  <c r="Q21" i="27"/>
  <c r="R21" i="27"/>
  <c r="S21" i="27"/>
  <c r="T21" i="27"/>
  <c r="U21" i="27"/>
  <c r="AB21" i="27"/>
  <c r="AE7" i="27"/>
  <c r="AF7" i="27"/>
  <c r="AG7" i="27"/>
  <c r="AH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P20" i="27"/>
  <c r="Q20" i="27"/>
  <c r="R20" i="27"/>
  <c r="S20" i="27"/>
  <c r="AB20" i="27"/>
  <c r="AE6" i="27"/>
  <c r="AF6" i="27"/>
  <c r="AG6" i="27"/>
  <c r="AH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F19" i="27"/>
  <c r="P19" i="27"/>
  <c r="Q19" i="27"/>
  <c r="R19" i="27"/>
  <c r="S19" i="27"/>
  <c r="AB19" i="27"/>
  <c r="AE5" i="27"/>
  <c r="AF5" i="27"/>
  <c r="AG5" i="27"/>
  <c r="AH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11" i="27"/>
  <c r="AF11" i="27"/>
  <c r="AG11" i="27"/>
  <c r="AH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B18" i="27"/>
  <c r="S18" i="27"/>
  <c r="R18" i="27"/>
  <c r="Q18" i="27"/>
  <c r="P18" i="27"/>
  <c r="L18" i="27"/>
  <c r="AE30" i="27"/>
  <c r="AF30" i="27"/>
  <c r="AG30" i="27"/>
  <c r="AH30" i="27"/>
  <c r="AE4" i="27"/>
  <c r="AF4" i="27"/>
  <c r="AG4" i="27"/>
  <c r="AH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W40" i="20" l="1"/>
  <c r="W41" i="20" s="1"/>
  <c r="W40" i="21"/>
  <c r="W41" i="21" s="1"/>
  <c r="W40" i="22"/>
  <c r="W41" i="22" s="1"/>
  <c r="X40" i="20"/>
  <c r="X41" i="20" s="1"/>
  <c r="X40" i="22"/>
  <c r="X41" i="22" s="1"/>
  <c r="X40" i="21"/>
  <c r="X41" i="21" s="1"/>
  <c r="W40" i="16"/>
  <c r="W40" i="23"/>
  <c r="W41" i="23" s="1"/>
  <c r="X25" i="27" s="1"/>
  <c r="W40" i="24"/>
  <c r="W41" i="24" s="1"/>
  <c r="X40" i="16"/>
  <c r="X40" i="23"/>
  <c r="X41" i="23" s="1"/>
  <c r="X40" i="24"/>
  <c r="X41" i="24" s="1"/>
  <c r="N40" i="20"/>
  <c r="N41" i="20" s="1"/>
  <c r="O20" i="27" s="1"/>
  <c r="F40" i="20"/>
  <c r="F41" i="20" s="1"/>
  <c r="M40" i="21"/>
  <c r="M41" i="21" s="1"/>
  <c r="N40" i="22"/>
  <c r="N41" i="22" s="1"/>
  <c r="F40" i="22"/>
  <c r="F41" i="22" s="1"/>
  <c r="M40" i="20"/>
  <c r="M41" i="20" s="1"/>
  <c r="F40" i="21"/>
  <c r="F41" i="21" s="1"/>
  <c r="M40" i="22"/>
  <c r="M41" i="22" s="1"/>
  <c r="N40" i="21"/>
  <c r="N41" i="21" s="1"/>
  <c r="N40" i="16"/>
  <c r="F40" i="16"/>
  <c r="M40" i="23"/>
  <c r="M41" i="23" s="1"/>
  <c r="N25" i="27" s="1"/>
  <c r="N40" i="24"/>
  <c r="N41" i="24" s="1"/>
  <c r="F40" i="24"/>
  <c r="F41" i="24" s="1"/>
  <c r="N40" i="23"/>
  <c r="N41" i="23" s="1"/>
  <c r="F40" i="23"/>
  <c r="F41" i="23" s="1"/>
  <c r="M40" i="16"/>
  <c r="M40" i="24"/>
  <c r="M41" i="24" s="1"/>
  <c r="M40" i="26"/>
  <c r="M41" i="26" s="1"/>
  <c r="N40" i="26"/>
  <c r="N41" i="26" s="1"/>
  <c r="F40" i="26"/>
  <c r="F41" i="26" s="1"/>
  <c r="G40" i="21"/>
  <c r="G41" i="21" s="1"/>
  <c r="H19" i="27" s="1"/>
  <c r="G40" i="22"/>
  <c r="G41" i="22" s="1"/>
  <c r="H18" i="27" s="1"/>
  <c r="G40" i="20"/>
  <c r="G41" i="20" s="1"/>
  <c r="H20" i="27" s="1"/>
  <c r="G40" i="16"/>
  <c r="G40" i="24"/>
  <c r="G41" i="24" s="1"/>
  <c r="H24" i="27" s="1"/>
  <c r="G40" i="23"/>
  <c r="G41" i="23" s="1"/>
  <c r="H25" i="27" s="1"/>
  <c r="L40" i="21"/>
  <c r="L41" i="21" s="1"/>
  <c r="M19" i="27" s="1"/>
  <c r="L40" i="20"/>
  <c r="L41" i="20" s="1"/>
  <c r="M20" i="27" s="1"/>
  <c r="L40" i="22"/>
  <c r="L41" i="22" s="1"/>
  <c r="M18" i="27" s="1"/>
  <c r="L40" i="23"/>
  <c r="L41" i="23" s="1"/>
  <c r="M25" i="27" s="1"/>
  <c r="L40" i="16"/>
  <c r="L40" i="24"/>
  <c r="L41" i="24" s="1"/>
  <c r="M24" i="27" s="1"/>
  <c r="V40" i="20"/>
  <c r="V41" i="20" s="1"/>
  <c r="W20" i="27" s="1"/>
  <c r="AB40" i="21"/>
  <c r="AB41" i="21" s="1"/>
  <c r="AC19" i="27" s="1"/>
  <c r="U40" i="21"/>
  <c r="U41" i="21" s="1"/>
  <c r="V19" i="27" s="1"/>
  <c r="V40" i="22"/>
  <c r="V41" i="22" s="1"/>
  <c r="W18" i="27" s="1"/>
  <c r="AB40" i="20"/>
  <c r="AB41" i="20" s="1"/>
  <c r="AC20" i="27" s="1"/>
  <c r="U40" i="20"/>
  <c r="U41" i="20" s="1"/>
  <c r="V40" i="21"/>
  <c r="V41" i="21" s="1"/>
  <c r="W19" i="27" s="1"/>
  <c r="AB40" i="22"/>
  <c r="AB41" i="22" s="1"/>
  <c r="AC18" i="27" s="1"/>
  <c r="U40" i="22"/>
  <c r="U41" i="22" s="1"/>
  <c r="V18" i="27" s="1"/>
  <c r="V40" i="16"/>
  <c r="AB40" i="23"/>
  <c r="AB41" i="23" s="1"/>
  <c r="AC25" i="27" s="1"/>
  <c r="U40" i="23"/>
  <c r="U41" i="23" s="1"/>
  <c r="V25" i="27" s="1"/>
  <c r="V40" i="24"/>
  <c r="V41" i="24" s="1"/>
  <c r="W24" i="27" s="1"/>
  <c r="AB40" i="16"/>
  <c r="U40" i="16"/>
  <c r="V40" i="23"/>
  <c r="V41" i="23" s="1"/>
  <c r="W25" i="27" s="1"/>
  <c r="AB40" i="24"/>
  <c r="AB41" i="24" s="1"/>
  <c r="AC24" i="27" s="1"/>
  <c r="U40" i="24"/>
  <c r="U41" i="24" s="1"/>
  <c r="V24" i="27" s="1"/>
  <c r="T40" i="20"/>
  <c r="T41" i="20" s="1"/>
  <c r="J40" i="20"/>
  <c r="J41" i="20" s="1"/>
  <c r="K20" i="27" s="1"/>
  <c r="T40" i="21"/>
  <c r="T41" i="21" s="1"/>
  <c r="J40" i="21"/>
  <c r="J41" i="21" s="1"/>
  <c r="K19" i="27" s="1"/>
  <c r="T40" i="22"/>
  <c r="T41" i="22" s="1"/>
  <c r="J40" i="22"/>
  <c r="J41" i="22" s="1"/>
  <c r="K18" i="27" s="1"/>
  <c r="S40" i="20"/>
  <c r="S41" i="20" s="1"/>
  <c r="T20" i="27" s="1"/>
  <c r="C40" i="20"/>
  <c r="C41" i="20" s="1"/>
  <c r="D20" i="27" s="1"/>
  <c r="S40" i="21"/>
  <c r="S41" i="21" s="1"/>
  <c r="C40" i="21"/>
  <c r="C41" i="21" s="1"/>
  <c r="D19" i="27" s="1"/>
  <c r="S40" i="22"/>
  <c r="S41" i="22" s="1"/>
  <c r="C40" i="22"/>
  <c r="C41" i="22" s="1"/>
  <c r="D18" i="27" s="1"/>
  <c r="S40" i="26"/>
  <c r="S41" i="26" s="1"/>
  <c r="C40" i="26"/>
  <c r="C41" i="26" s="1"/>
  <c r="S40" i="25"/>
  <c r="S41" i="25" s="1"/>
  <c r="C40" i="25"/>
  <c r="C41" i="25" s="1"/>
  <c r="S40" i="6"/>
  <c r="S41" i="6" s="1"/>
  <c r="C40" i="6"/>
  <c r="C41" i="6" s="1"/>
  <c r="T40" i="26"/>
  <c r="T41" i="26" s="1"/>
  <c r="J40" i="26"/>
  <c r="J41" i="26" s="1"/>
  <c r="T40" i="25"/>
  <c r="T41" i="25" s="1"/>
  <c r="J40" i="25"/>
  <c r="J41" i="25" s="1"/>
  <c r="T40" i="6"/>
  <c r="T41" i="6" s="1"/>
  <c r="J40" i="6"/>
  <c r="J41" i="6" s="1"/>
  <c r="H40" i="18"/>
  <c r="H41" i="18" s="1"/>
  <c r="I22" i="27" s="1"/>
  <c r="H40" i="17"/>
  <c r="H41" i="17" s="1"/>
  <c r="I23" i="27" s="1"/>
  <c r="H40" i="19"/>
  <c r="H41" i="19" s="1"/>
  <c r="I21" i="27" s="1"/>
  <c r="H40" i="25"/>
  <c r="H41" i="25" s="1"/>
  <c r="H40" i="26"/>
  <c r="H41" i="26" s="1"/>
  <c r="H40" i="6"/>
  <c r="H41" i="6" s="1"/>
  <c r="I40" i="17"/>
  <c r="I41" i="17" s="1"/>
  <c r="J23" i="27" s="1"/>
  <c r="AC40" i="18"/>
  <c r="AC41" i="18" s="1"/>
  <c r="AD22" i="27" s="1"/>
  <c r="B40" i="18"/>
  <c r="B41" i="18" s="1"/>
  <c r="I40" i="19"/>
  <c r="I41" i="19" s="1"/>
  <c r="J21" i="27" s="1"/>
  <c r="AC40" i="17"/>
  <c r="AC41" i="17" s="1"/>
  <c r="AD23" i="27" s="1"/>
  <c r="B40" i="17"/>
  <c r="B41" i="17" s="1"/>
  <c r="I40" i="18"/>
  <c r="I41" i="18" s="1"/>
  <c r="J22" i="27" s="1"/>
  <c r="AC40" i="19"/>
  <c r="AC41" i="19" s="1"/>
  <c r="AD21" i="27" s="1"/>
  <c r="B40" i="19"/>
  <c r="B41" i="19" s="1"/>
  <c r="I40" i="26"/>
  <c r="I41" i="26" s="1"/>
  <c r="AC40" i="25"/>
  <c r="AC41" i="25" s="1"/>
  <c r="B41" i="25"/>
  <c r="I40" i="6"/>
  <c r="I41" i="6" s="1"/>
  <c r="AC40" i="26"/>
  <c r="AC41" i="26" s="1"/>
  <c r="B40" i="26"/>
  <c r="B41" i="26" s="1"/>
  <c r="I40" i="25"/>
  <c r="I41" i="25" s="1"/>
  <c r="AC40" i="6"/>
  <c r="AC41" i="6" s="1"/>
  <c r="B40" i="6"/>
  <c r="B41" i="6" s="1"/>
  <c r="Y40" i="17"/>
  <c r="Y41" i="17" s="1"/>
  <c r="Z23" i="27" s="1"/>
  <c r="Z40" i="18"/>
  <c r="Z41" i="18" s="1"/>
  <c r="AA22" i="27" s="1"/>
  <c r="D40" i="18"/>
  <c r="D41" i="18" s="1"/>
  <c r="E22" i="27" s="1"/>
  <c r="Y40" i="19"/>
  <c r="Y41" i="19" s="1"/>
  <c r="Z21" i="27" s="1"/>
  <c r="D40" i="17"/>
  <c r="D41" i="17" s="1"/>
  <c r="E23" i="27" s="1"/>
  <c r="Z40" i="17"/>
  <c r="Z41" i="17" s="1"/>
  <c r="AA23" i="27" s="1"/>
  <c r="Y40" i="18"/>
  <c r="Y41" i="18" s="1"/>
  <c r="Z22" i="27" s="1"/>
  <c r="Z40" i="19"/>
  <c r="Z41" i="19" s="1"/>
  <c r="AA21" i="27" s="1"/>
  <c r="D40" i="19"/>
  <c r="D41" i="19" s="1"/>
  <c r="E21" i="27" s="1"/>
  <c r="Y40" i="26"/>
  <c r="Y41" i="26" s="1"/>
  <c r="Z40" i="25"/>
  <c r="Z41" i="25" s="1"/>
  <c r="D40" i="25"/>
  <c r="D41" i="25" s="1"/>
  <c r="Z40" i="6"/>
  <c r="Z41" i="6" s="1"/>
  <c r="Z40" i="26"/>
  <c r="Z41" i="26" s="1"/>
  <c r="D40" i="26"/>
  <c r="D41" i="26" s="1"/>
  <c r="Y40" i="25"/>
  <c r="Y41" i="25" s="1"/>
  <c r="D40" i="6"/>
  <c r="D41" i="6" s="1"/>
  <c r="Y40" i="6"/>
  <c r="Y41" i="6" s="1"/>
  <c r="W40" i="17"/>
  <c r="W41" i="17" s="1"/>
  <c r="W40" i="18"/>
  <c r="W41" i="18" s="1"/>
  <c r="W40" i="19"/>
  <c r="W41" i="19" s="1"/>
  <c r="X40" i="17"/>
  <c r="X41" i="17" s="1"/>
  <c r="X40" i="18"/>
  <c r="X41" i="18" s="1"/>
  <c r="X40" i="19"/>
  <c r="X41" i="19" s="1"/>
  <c r="W40" i="26"/>
  <c r="W41" i="26" s="1"/>
  <c r="W40" i="25"/>
  <c r="W41" i="25" s="1"/>
  <c r="W40" i="6"/>
  <c r="W41" i="6" s="1"/>
  <c r="X40" i="25"/>
  <c r="X41" i="25" s="1"/>
  <c r="X40" i="26"/>
  <c r="X41" i="26" s="1"/>
  <c r="X40" i="6"/>
  <c r="X41" i="6" s="1"/>
  <c r="M40" i="17"/>
  <c r="M41" i="17" s="1"/>
  <c r="N40" i="18"/>
  <c r="N41" i="18" s="1"/>
  <c r="F40" i="18"/>
  <c r="F41" i="18" s="1"/>
  <c r="M40" i="19"/>
  <c r="M41" i="19" s="1"/>
  <c r="F40" i="17"/>
  <c r="F41" i="17" s="1"/>
  <c r="N40" i="19"/>
  <c r="N41" i="19" s="1"/>
  <c r="N40" i="17"/>
  <c r="N41" i="17" s="1"/>
  <c r="M40" i="18"/>
  <c r="M41" i="18" s="1"/>
  <c r="F40" i="19"/>
  <c r="F41" i="19" s="1"/>
  <c r="N40" i="25"/>
  <c r="N41" i="25" s="1"/>
  <c r="F40" i="25"/>
  <c r="F41" i="25" s="1"/>
  <c r="M40" i="6"/>
  <c r="M41" i="6" s="1"/>
  <c r="M40" i="25"/>
  <c r="M41" i="25" s="1"/>
  <c r="F40" i="6"/>
  <c r="F41" i="6" s="1"/>
  <c r="N40" i="6"/>
  <c r="N41" i="6" s="1"/>
  <c r="G40" i="17"/>
  <c r="G41" i="17" s="1"/>
  <c r="H23" i="27" s="1"/>
  <c r="G40" i="19"/>
  <c r="G41" i="19" s="1"/>
  <c r="H21" i="27" s="1"/>
  <c r="G40" i="18"/>
  <c r="G41" i="18" s="1"/>
  <c r="H22" i="27" s="1"/>
  <c r="G40" i="26"/>
  <c r="G41" i="26" s="1"/>
  <c r="G40" i="6"/>
  <c r="G41" i="6" s="1"/>
  <c r="G40" i="25"/>
  <c r="G41" i="25" s="1"/>
  <c r="L40" i="17"/>
  <c r="L41" i="17" s="1"/>
  <c r="M23" i="27" s="1"/>
  <c r="L40" i="19"/>
  <c r="L41" i="19" s="1"/>
  <c r="M21" i="27" s="1"/>
  <c r="L40" i="18"/>
  <c r="L41" i="18" s="1"/>
  <c r="M22" i="27" s="1"/>
  <c r="L40" i="26"/>
  <c r="L41" i="26" s="1"/>
  <c r="L40" i="6"/>
  <c r="L41" i="6" s="1"/>
  <c r="L40" i="25"/>
  <c r="L41" i="25" s="1"/>
  <c r="AB40" i="17"/>
  <c r="AB41" i="17" s="1"/>
  <c r="AC23" i="27" s="1"/>
  <c r="U40" i="17"/>
  <c r="U41" i="17" s="1"/>
  <c r="V40" i="18"/>
  <c r="V41" i="18" s="1"/>
  <c r="AB40" i="19"/>
  <c r="AB41" i="19" s="1"/>
  <c r="AC21" i="27" s="1"/>
  <c r="U40" i="19"/>
  <c r="U41" i="19" s="1"/>
  <c r="V40" i="17"/>
  <c r="V41" i="17" s="1"/>
  <c r="AB40" i="18"/>
  <c r="AB41" i="18" s="1"/>
  <c r="AC22" i="27" s="1"/>
  <c r="U40" i="18"/>
  <c r="U41" i="18" s="1"/>
  <c r="V40" i="19"/>
  <c r="V41" i="19" s="1"/>
  <c r="AB40" i="26"/>
  <c r="AB41" i="26" s="1"/>
  <c r="U40" i="26"/>
  <c r="U41" i="26" s="1"/>
  <c r="V40" i="25"/>
  <c r="V41" i="25" s="1"/>
  <c r="AB40" i="6"/>
  <c r="AB41" i="6" s="1"/>
  <c r="U40" i="6"/>
  <c r="U41" i="6" s="1"/>
  <c r="V40" i="26"/>
  <c r="V41" i="26" s="1"/>
  <c r="AB40" i="25"/>
  <c r="AB41" i="25" s="1"/>
  <c r="U40" i="25"/>
  <c r="U41" i="25" s="1"/>
  <c r="V40" i="6"/>
  <c r="V41" i="6" s="1"/>
  <c r="S40" i="16"/>
  <c r="C40" i="16"/>
  <c r="S40" i="23"/>
  <c r="S41" i="23" s="1"/>
  <c r="C40" i="23"/>
  <c r="C41" i="23" s="1"/>
  <c r="D25" i="27" s="1"/>
  <c r="S40" i="24"/>
  <c r="S41" i="24" s="1"/>
  <c r="C40" i="24"/>
  <c r="C41" i="24" s="1"/>
  <c r="D24" i="27" s="1"/>
  <c r="T40" i="16"/>
  <c r="J40" i="16"/>
  <c r="T40" i="23"/>
  <c r="T41" i="23" s="1"/>
  <c r="J40" i="23"/>
  <c r="J41" i="23" s="1"/>
  <c r="K25" i="27" s="1"/>
  <c r="T40" i="24"/>
  <c r="T41" i="24" s="1"/>
  <c r="J40" i="24"/>
  <c r="J41" i="24" s="1"/>
  <c r="K24" i="27" s="1"/>
  <c r="H40" i="20"/>
  <c r="H41" i="20" s="1"/>
  <c r="I20" i="27" s="1"/>
  <c r="H40" i="22"/>
  <c r="H41" i="22" s="1"/>
  <c r="I18" i="27" s="1"/>
  <c r="H40" i="21"/>
  <c r="H41" i="21" s="1"/>
  <c r="I19" i="27" s="1"/>
  <c r="H40" i="16"/>
  <c r="H40" i="24"/>
  <c r="H41" i="24" s="1"/>
  <c r="I24" i="27" s="1"/>
  <c r="H40" i="23"/>
  <c r="H41" i="23" s="1"/>
  <c r="I25" i="27" s="1"/>
  <c r="AC40" i="20"/>
  <c r="AC41" i="20" s="1"/>
  <c r="AD20" i="27" s="1"/>
  <c r="B40" i="20"/>
  <c r="B41" i="20" s="1"/>
  <c r="I40" i="21"/>
  <c r="I41" i="21" s="1"/>
  <c r="J19" i="27" s="1"/>
  <c r="AC40" i="22"/>
  <c r="AC41" i="22" s="1"/>
  <c r="AD18" i="27" s="1"/>
  <c r="B40" i="22"/>
  <c r="B41" i="22" s="1"/>
  <c r="I40" i="20"/>
  <c r="I41" i="20" s="1"/>
  <c r="J20" i="27" s="1"/>
  <c r="AC40" i="21"/>
  <c r="AC41" i="21" s="1"/>
  <c r="AD19" i="27" s="1"/>
  <c r="B40" i="21"/>
  <c r="B41" i="21" s="1"/>
  <c r="I40" i="22"/>
  <c r="I41" i="22" s="1"/>
  <c r="J18" i="27" s="1"/>
  <c r="AC40" i="16"/>
  <c r="B40" i="16"/>
  <c r="I40" i="23"/>
  <c r="I41" i="23" s="1"/>
  <c r="J25" i="27" s="1"/>
  <c r="AC40" i="24"/>
  <c r="AC41" i="24" s="1"/>
  <c r="AD24" i="27" s="1"/>
  <c r="B40" i="24"/>
  <c r="B41" i="24" s="1"/>
  <c r="I40" i="16"/>
  <c r="AC40" i="23"/>
  <c r="AC41" i="23" s="1"/>
  <c r="AD25" i="27" s="1"/>
  <c r="B40" i="23"/>
  <c r="B41" i="23" s="1"/>
  <c r="I40" i="24"/>
  <c r="I41" i="24" s="1"/>
  <c r="J24" i="27" s="1"/>
  <c r="D40" i="20"/>
  <c r="D41" i="20" s="1"/>
  <c r="E20" i="27" s="1"/>
  <c r="Y40" i="20"/>
  <c r="Y41" i="20" s="1"/>
  <c r="Z20" i="27" s="1"/>
  <c r="Z40" i="21"/>
  <c r="Z41" i="21" s="1"/>
  <c r="AA19" i="27" s="1"/>
  <c r="Z40" i="22"/>
  <c r="Z41" i="22" s="1"/>
  <c r="AA18" i="27" s="1"/>
  <c r="D40" i="22"/>
  <c r="D41" i="22" s="1"/>
  <c r="E18" i="27" s="1"/>
  <c r="Z40" i="20"/>
  <c r="Z41" i="20" s="1"/>
  <c r="AA20" i="27" s="1"/>
  <c r="D40" i="21"/>
  <c r="D41" i="21" s="1"/>
  <c r="E19" i="27" s="1"/>
  <c r="Y40" i="21"/>
  <c r="Y41" i="21" s="1"/>
  <c r="Z19" i="27" s="1"/>
  <c r="Y40" i="22"/>
  <c r="Y41" i="22" s="1"/>
  <c r="Z18" i="27" s="1"/>
  <c r="D40" i="16"/>
  <c r="Y40" i="16"/>
  <c r="Z40" i="23"/>
  <c r="Z41" i="23" s="1"/>
  <c r="AA25" i="27" s="1"/>
  <c r="Z40" i="24"/>
  <c r="Z41" i="24" s="1"/>
  <c r="AA24" i="27" s="1"/>
  <c r="D40" i="24"/>
  <c r="D41" i="24" s="1"/>
  <c r="E24" i="27" s="1"/>
  <c r="Z40" i="16"/>
  <c r="D40" i="23"/>
  <c r="D41" i="23" s="1"/>
  <c r="E25" i="27" s="1"/>
  <c r="Y40" i="23"/>
  <c r="Y41" i="23" s="1"/>
  <c r="Z25" i="27" s="1"/>
  <c r="Y40" i="24"/>
  <c r="Y41" i="24" s="1"/>
  <c r="Z24" i="27" s="1"/>
  <c r="AG15" i="27"/>
  <c r="AE15" i="27"/>
  <c r="AG14" i="27"/>
  <c r="AE14" i="27"/>
  <c r="O24" i="27"/>
  <c r="Y25" i="27"/>
  <c r="O25" i="27"/>
  <c r="G25" i="27"/>
  <c r="O18" i="27"/>
  <c r="O19" i="27"/>
  <c r="O21" i="27"/>
  <c r="O22" i="27"/>
  <c r="O23" i="27"/>
  <c r="AF40" i="16"/>
  <c r="AE40" i="16"/>
  <c r="AD40" i="16"/>
  <c r="AC39" i="16"/>
  <c r="AB39" i="16"/>
  <c r="AA39" i="16"/>
  <c r="Z39" i="16"/>
  <c r="Y39" i="16"/>
  <c r="X39" i="16"/>
  <c r="W39" i="16"/>
  <c r="V39" i="16"/>
  <c r="U39" i="16"/>
  <c r="T50" i="16" s="1"/>
  <c r="U50" i="16" s="1"/>
  <c r="T39" i="16"/>
  <c r="S39" i="16"/>
  <c r="R39" i="16"/>
  <c r="Q39" i="16"/>
  <c r="P39" i="16"/>
  <c r="O39" i="16"/>
  <c r="N39" i="16"/>
  <c r="M39" i="16"/>
  <c r="L39" i="16"/>
  <c r="T48" i="16" s="1"/>
  <c r="U48" i="16" s="1"/>
  <c r="K39" i="16"/>
  <c r="J39" i="16"/>
  <c r="I39" i="16"/>
  <c r="H39" i="16"/>
  <c r="T52" i="16" s="1"/>
  <c r="U52" i="16" s="1"/>
  <c r="G39" i="16"/>
  <c r="T47" i="16" s="1"/>
  <c r="U47" i="16" s="1"/>
  <c r="F39" i="16"/>
  <c r="E39" i="16"/>
  <c r="T49" i="16" s="1"/>
  <c r="U49" i="16" s="1"/>
  <c r="D39" i="16"/>
  <c r="C39" i="16"/>
  <c r="B39" i="16"/>
  <c r="AG13" i="27"/>
  <c r="AE13" i="27"/>
  <c r="T53" i="16" l="1"/>
  <c r="U53" i="16" s="1"/>
  <c r="T51" i="16"/>
  <c r="U51" i="16" s="1"/>
  <c r="T54" i="16"/>
  <c r="U54" i="16" s="1"/>
  <c r="T45" i="16"/>
  <c r="U45" i="16" s="1"/>
  <c r="AG40" i="16"/>
  <c r="H44" i="26"/>
  <c r="H50" i="26" s="1"/>
  <c r="H51" i="26" s="1"/>
  <c r="E44" i="27" s="1"/>
  <c r="B44" i="23"/>
  <c r="B50" i="23" s="1"/>
  <c r="B51" i="23" s="1"/>
  <c r="C40" i="27" s="1"/>
  <c r="C25" i="27"/>
  <c r="B44" i="22"/>
  <c r="B50" i="22" s="1"/>
  <c r="B51" i="22" s="1"/>
  <c r="C33" i="27" s="1"/>
  <c r="C18" i="27"/>
  <c r="E44" i="24"/>
  <c r="E50" i="24" s="1"/>
  <c r="E51" i="24" s="1"/>
  <c r="D39" i="27" s="1"/>
  <c r="U24" i="27"/>
  <c r="E44" i="23"/>
  <c r="E50" i="23" s="1"/>
  <c r="E51" i="23" s="1"/>
  <c r="D40" i="27" s="1"/>
  <c r="U25" i="27"/>
  <c r="H44" i="24"/>
  <c r="H50" i="24" s="1"/>
  <c r="H51" i="24" s="1"/>
  <c r="E39" i="27" s="1"/>
  <c r="T24" i="27"/>
  <c r="H44" i="23"/>
  <c r="H50" i="23" s="1"/>
  <c r="H51" i="23" s="1"/>
  <c r="E40" i="27" s="1"/>
  <c r="T25" i="27"/>
  <c r="E44" i="19"/>
  <c r="E50" i="19" s="1"/>
  <c r="E51" i="19" s="1"/>
  <c r="D36" i="27" s="1"/>
  <c r="W21" i="27"/>
  <c r="H44" i="19"/>
  <c r="H50" i="19" s="1"/>
  <c r="H51" i="19" s="1"/>
  <c r="E36" i="27" s="1"/>
  <c r="V21" i="27"/>
  <c r="E44" i="18"/>
  <c r="W22" i="27"/>
  <c r="B44" i="17"/>
  <c r="B50" i="17" s="1"/>
  <c r="B51" i="17" s="1"/>
  <c r="C38" i="27" s="1"/>
  <c r="C23" i="27"/>
  <c r="H44" i="20"/>
  <c r="H50" i="20" s="1"/>
  <c r="H51" i="20" s="1"/>
  <c r="E35" i="27" s="1"/>
  <c r="V20" i="27"/>
  <c r="B44" i="6"/>
  <c r="B50" i="6" s="1"/>
  <c r="B51" i="6" s="1"/>
  <c r="C42" i="27" s="1"/>
  <c r="B44" i="25"/>
  <c r="B50" i="25" s="1"/>
  <c r="B51" i="25" s="1"/>
  <c r="C43" i="27" s="1"/>
  <c r="B44" i="24"/>
  <c r="B50" i="24" s="1"/>
  <c r="B51" i="24" s="1"/>
  <c r="C39" i="27" s="1"/>
  <c r="C24" i="27"/>
  <c r="B44" i="21"/>
  <c r="B50" i="21" s="1"/>
  <c r="B51" i="21" s="1"/>
  <c r="C34" i="27" s="1"/>
  <c r="C19" i="27"/>
  <c r="B44" i="20"/>
  <c r="B50" i="20" s="1"/>
  <c r="B51" i="20" s="1"/>
  <c r="C35" i="27" s="1"/>
  <c r="C20" i="27"/>
  <c r="H44" i="18"/>
  <c r="H50" i="18" s="1"/>
  <c r="H51" i="18" s="1"/>
  <c r="E37" i="27" s="1"/>
  <c r="V22" i="27"/>
  <c r="E44" i="17"/>
  <c r="W23" i="27"/>
  <c r="H44" i="17"/>
  <c r="H50" i="17" s="1"/>
  <c r="H51" i="17" s="1"/>
  <c r="E38" i="27" s="1"/>
  <c r="V23" i="27"/>
  <c r="B44" i="19"/>
  <c r="C21" i="27"/>
  <c r="B44" i="18"/>
  <c r="B50" i="18" s="1"/>
  <c r="B51" i="18" s="1"/>
  <c r="C37" i="27" s="1"/>
  <c r="C22" i="27"/>
  <c r="H44" i="22"/>
  <c r="H50" i="22" s="1"/>
  <c r="H51" i="22" s="1"/>
  <c r="E33" i="27" s="1"/>
  <c r="T18" i="27"/>
  <c r="H44" i="21"/>
  <c r="H50" i="21" s="1"/>
  <c r="H51" i="21" s="1"/>
  <c r="E34" i="27" s="1"/>
  <c r="T19" i="27"/>
  <c r="E44" i="22"/>
  <c r="E50" i="22" s="1"/>
  <c r="E51" i="22" s="1"/>
  <c r="D33" i="27" s="1"/>
  <c r="U18" i="27"/>
  <c r="E44" i="21"/>
  <c r="E50" i="21" s="1"/>
  <c r="E51" i="21" s="1"/>
  <c r="D34" i="27" s="1"/>
  <c r="U19" i="27"/>
  <c r="E44" i="20"/>
  <c r="E50" i="20" s="1"/>
  <c r="E51" i="20" s="1"/>
  <c r="D35" i="27" s="1"/>
  <c r="U20" i="27"/>
  <c r="B44" i="26"/>
  <c r="B50" i="26" s="1"/>
  <c r="B51" i="26" s="1"/>
  <c r="C44" i="27" s="1"/>
  <c r="E44" i="6"/>
  <c r="E50" i="6" s="1"/>
  <c r="E51" i="6" s="1"/>
  <c r="D42" i="27" s="1"/>
  <c r="E44" i="25"/>
  <c r="E50" i="25" s="1"/>
  <c r="E51" i="25" s="1"/>
  <c r="D43" i="27" s="1"/>
  <c r="E44" i="26"/>
  <c r="E50" i="26" s="1"/>
  <c r="E51" i="26" s="1"/>
  <c r="D44" i="27" s="1"/>
  <c r="H44" i="6"/>
  <c r="H50" i="6" s="1"/>
  <c r="H51" i="6" s="1"/>
  <c r="E42" i="27" s="1"/>
  <c r="H44" i="25"/>
  <c r="H50" i="25" s="1"/>
  <c r="H51" i="25" s="1"/>
  <c r="E43" i="27" s="1"/>
  <c r="H49" i="16"/>
  <c r="AE12" i="27"/>
  <c r="AE17" i="27" s="1"/>
  <c r="B49" i="16"/>
  <c r="AG12" i="27"/>
  <c r="AG17" i="27" s="1"/>
  <c r="E49" i="16"/>
  <c r="T46" i="16"/>
  <c r="U46" i="16" s="1"/>
  <c r="C29" i="27"/>
  <c r="C15" i="27"/>
  <c r="E29" i="27"/>
  <c r="E15" i="27"/>
  <c r="G29" i="27"/>
  <c r="G15" i="27"/>
  <c r="I29" i="27"/>
  <c r="I15" i="27"/>
  <c r="K29" i="27"/>
  <c r="K15" i="27"/>
  <c r="M29" i="27"/>
  <c r="M15" i="27"/>
  <c r="O29" i="27"/>
  <c r="O15" i="27"/>
  <c r="Q29" i="27"/>
  <c r="Q15" i="27"/>
  <c r="S29" i="27"/>
  <c r="S15" i="27"/>
  <c r="U29" i="27"/>
  <c r="U15" i="27"/>
  <c r="W29" i="27"/>
  <c r="W15" i="27"/>
  <c r="Y29" i="27"/>
  <c r="Y15" i="27"/>
  <c r="AA29" i="27"/>
  <c r="AA15" i="27"/>
  <c r="AC15" i="27"/>
  <c r="D29" i="27"/>
  <c r="D15" i="27"/>
  <c r="F29" i="27"/>
  <c r="F15" i="27"/>
  <c r="H29" i="27"/>
  <c r="H15" i="27"/>
  <c r="J29" i="27"/>
  <c r="J15" i="27"/>
  <c r="L29" i="27"/>
  <c r="L15" i="27"/>
  <c r="N29" i="27"/>
  <c r="N15" i="27"/>
  <c r="P15" i="27"/>
  <c r="R29" i="27"/>
  <c r="R15" i="27"/>
  <c r="T29" i="27"/>
  <c r="T15" i="27"/>
  <c r="V29" i="27"/>
  <c r="V15" i="27"/>
  <c r="X29" i="27"/>
  <c r="X15" i="27"/>
  <c r="Z29" i="27"/>
  <c r="Z15" i="27"/>
  <c r="AB29" i="27"/>
  <c r="AB15" i="27"/>
  <c r="AD15" i="27"/>
  <c r="AF15" i="27"/>
  <c r="AH15" i="27"/>
  <c r="C28" i="27"/>
  <c r="C14" i="27"/>
  <c r="E28" i="27"/>
  <c r="E14" i="27"/>
  <c r="G28" i="27"/>
  <c r="G14" i="27"/>
  <c r="I28" i="27"/>
  <c r="I14" i="27"/>
  <c r="K28" i="27"/>
  <c r="K14" i="27"/>
  <c r="M28" i="27"/>
  <c r="M14" i="27"/>
  <c r="O28" i="27"/>
  <c r="O14" i="27"/>
  <c r="Q28" i="27"/>
  <c r="Q14" i="27"/>
  <c r="S28" i="27"/>
  <c r="S14" i="27"/>
  <c r="U28" i="27"/>
  <c r="U14" i="27"/>
  <c r="W28" i="27"/>
  <c r="W14" i="27"/>
  <c r="Y28" i="27"/>
  <c r="Y14" i="27"/>
  <c r="AA28" i="27"/>
  <c r="AA14" i="27"/>
  <c r="AC14" i="27"/>
  <c r="D28" i="27"/>
  <c r="D14" i="27"/>
  <c r="F28" i="27"/>
  <c r="F14" i="27"/>
  <c r="H28" i="27"/>
  <c r="H14" i="27"/>
  <c r="J14" i="27"/>
  <c r="L28" i="27"/>
  <c r="L14" i="27"/>
  <c r="N28" i="27"/>
  <c r="N14" i="27"/>
  <c r="P28" i="27"/>
  <c r="P14" i="27"/>
  <c r="R28" i="27"/>
  <c r="R14" i="27"/>
  <c r="T28" i="27"/>
  <c r="T14" i="27"/>
  <c r="V14" i="27"/>
  <c r="X28" i="27"/>
  <c r="X14" i="27"/>
  <c r="Z28" i="27"/>
  <c r="Z14" i="27"/>
  <c r="AB28" i="27"/>
  <c r="AB14" i="27"/>
  <c r="AD14" i="27"/>
  <c r="AH14" i="27"/>
  <c r="AF14" i="27"/>
  <c r="Z27" i="27"/>
  <c r="Z13" i="27"/>
  <c r="AB27" i="27"/>
  <c r="AB13" i="27"/>
  <c r="AD13" i="27"/>
  <c r="AF13" i="27"/>
  <c r="AH13" i="27"/>
  <c r="Y27" i="27"/>
  <c r="Y13" i="27"/>
  <c r="AA27" i="27"/>
  <c r="AA13" i="27"/>
  <c r="AC13" i="27"/>
  <c r="AF12" i="27"/>
  <c r="N24" i="27"/>
  <c r="G24" i="27"/>
  <c r="N23" i="27"/>
  <c r="G23" i="27"/>
  <c r="N22" i="27"/>
  <c r="G22" i="27"/>
  <c r="N21" i="27"/>
  <c r="G21" i="27"/>
  <c r="N20" i="27"/>
  <c r="G20" i="27"/>
  <c r="N19" i="27"/>
  <c r="G19" i="27"/>
  <c r="N18" i="27"/>
  <c r="G18" i="27"/>
  <c r="Y24" i="27"/>
  <c r="X24" i="27"/>
  <c r="Y23" i="27"/>
  <c r="X23" i="27"/>
  <c r="Y22" i="27"/>
  <c r="X22" i="27"/>
  <c r="Y21" i="27"/>
  <c r="X21" i="27"/>
  <c r="Y20" i="27"/>
  <c r="X20" i="27"/>
  <c r="Y19" i="27"/>
  <c r="X19" i="27"/>
  <c r="Y18" i="27"/>
  <c r="X18" i="27"/>
  <c r="B41" i="16"/>
  <c r="C12" i="27"/>
  <c r="D41" i="16"/>
  <c r="E26" i="27" s="1"/>
  <c r="E12" i="27"/>
  <c r="F41" i="16"/>
  <c r="G12" i="27"/>
  <c r="H41" i="16"/>
  <c r="I26" i="27" s="1"/>
  <c r="I12" i="27"/>
  <c r="J41" i="16"/>
  <c r="K26" i="27" s="1"/>
  <c r="K12" i="27"/>
  <c r="L41" i="16"/>
  <c r="M26" i="27" s="1"/>
  <c r="M12" i="27"/>
  <c r="N41" i="16"/>
  <c r="O26" i="27" s="1"/>
  <c r="O12" i="27"/>
  <c r="P41" i="16"/>
  <c r="Q26" i="27" s="1"/>
  <c r="Q12" i="27"/>
  <c r="R41" i="16"/>
  <c r="S26" i="27" s="1"/>
  <c r="S12" i="27"/>
  <c r="T41" i="16"/>
  <c r="U26" i="27" s="1"/>
  <c r="U12" i="27"/>
  <c r="V41" i="16"/>
  <c r="W26" i="27" s="1"/>
  <c r="W12" i="27"/>
  <c r="X41" i="16"/>
  <c r="Y12" i="27"/>
  <c r="Z41" i="16"/>
  <c r="AA26" i="27" s="1"/>
  <c r="AA12" i="27"/>
  <c r="AB41" i="16"/>
  <c r="AC12" i="27"/>
  <c r="C41" i="16"/>
  <c r="D26" i="27" s="1"/>
  <c r="D12" i="27"/>
  <c r="E41" i="16"/>
  <c r="F26" i="27" s="1"/>
  <c r="F12" i="27"/>
  <c r="G41" i="16"/>
  <c r="H26" i="27" s="1"/>
  <c r="H12" i="27"/>
  <c r="I41" i="16"/>
  <c r="J26" i="27" s="1"/>
  <c r="J12" i="27"/>
  <c r="K41" i="16"/>
  <c r="L26" i="27" s="1"/>
  <c r="L12" i="27"/>
  <c r="M41" i="16"/>
  <c r="N12" i="27"/>
  <c r="O41" i="16"/>
  <c r="P12" i="27"/>
  <c r="Q41" i="16"/>
  <c r="R26" i="27" s="1"/>
  <c r="R12" i="27"/>
  <c r="S41" i="16"/>
  <c r="T26" i="27" s="1"/>
  <c r="T12" i="27"/>
  <c r="U41" i="16"/>
  <c r="V26" i="27" s="1"/>
  <c r="V12" i="27"/>
  <c r="W41" i="16"/>
  <c r="X12" i="27"/>
  <c r="Y41" i="16"/>
  <c r="Z26" i="27" s="1"/>
  <c r="Z12" i="27"/>
  <c r="AA41" i="16"/>
  <c r="AB26" i="27" s="1"/>
  <c r="AB12" i="27"/>
  <c r="AC41" i="16"/>
  <c r="AD12" i="27"/>
  <c r="E50" i="17" l="1"/>
  <c r="E51" i="17" s="1"/>
  <c r="D38" i="27" s="1"/>
  <c r="I53" i="17"/>
  <c r="E50" i="18"/>
  <c r="E51" i="18" s="1"/>
  <c r="D37" i="27" s="1"/>
  <c r="I53" i="18"/>
  <c r="B50" i="19"/>
  <c r="B51" i="19" s="1"/>
  <c r="C36" i="27" s="1"/>
  <c r="E49" i="19"/>
  <c r="AH6" i="28"/>
  <c r="D58" i="27"/>
  <c r="D51" i="27"/>
  <c r="D49" i="27"/>
  <c r="AF6" i="28"/>
  <c r="C52" i="27"/>
  <c r="C58" i="27"/>
  <c r="C55" i="27" s="1"/>
  <c r="C53" i="27"/>
  <c r="C51" i="27"/>
  <c r="C49" i="27"/>
  <c r="AB17" i="27"/>
  <c r="Z17" i="27"/>
  <c r="AB6" i="28" s="1"/>
  <c r="AB7" i="28" s="1"/>
  <c r="AB9" i="28" s="1"/>
  <c r="AC17" i="27"/>
  <c r="E45" i="27"/>
  <c r="AD17" i="27"/>
  <c r="AA17" i="27"/>
  <c r="O6" i="28" s="1"/>
  <c r="O7" i="28" s="1"/>
  <c r="O9" i="28" s="1"/>
  <c r="Y17" i="27"/>
  <c r="N6" i="28" s="1"/>
  <c r="N7" i="28" s="1"/>
  <c r="N9" i="28" s="1"/>
  <c r="E46" i="16"/>
  <c r="D52" i="27" s="1"/>
  <c r="H46" i="16"/>
  <c r="B44" i="16"/>
  <c r="B50" i="16" s="1"/>
  <c r="B51" i="16" s="1"/>
  <c r="C41" i="27" s="1"/>
  <c r="C45" i="27" s="1"/>
  <c r="AH12" i="27"/>
  <c r="E45" i="16"/>
  <c r="D54" i="27" s="1"/>
  <c r="E54" i="27" s="1"/>
  <c r="H45" i="16"/>
  <c r="P26" i="27"/>
  <c r="X26" i="27"/>
  <c r="H44" i="16"/>
  <c r="N26" i="27"/>
  <c r="N30" i="27" s="1"/>
  <c r="U10" i="28" s="1"/>
  <c r="Y26" i="27"/>
  <c r="Y30" i="27" s="1"/>
  <c r="N10" i="28" s="1"/>
  <c r="E44" i="16"/>
  <c r="D48" i="27" s="1"/>
  <c r="G26" i="27"/>
  <c r="AB30" i="27"/>
  <c r="Z30" i="27"/>
  <c r="AB10" i="28" s="1"/>
  <c r="AA30" i="27"/>
  <c r="O10" i="28" s="1"/>
  <c r="AF17" i="27"/>
  <c r="AG6" i="28" s="1"/>
  <c r="AD29" i="27"/>
  <c r="P29" i="27"/>
  <c r="AC29" i="27"/>
  <c r="AD28" i="27"/>
  <c r="V28" i="27"/>
  <c r="J28" i="27"/>
  <c r="AC28" i="27"/>
  <c r="C27" i="27"/>
  <c r="C13" i="27"/>
  <c r="E27" i="27"/>
  <c r="E30" i="27" s="1"/>
  <c r="E10" i="28" s="1"/>
  <c r="E13" i="27"/>
  <c r="G27" i="27"/>
  <c r="G13" i="27"/>
  <c r="G17" i="27" s="1"/>
  <c r="G6" i="28" s="1"/>
  <c r="G14" i="28" s="1"/>
  <c r="I27" i="27"/>
  <c r="I30" i="27" s="1"/>
  <c r="I10" i="28" s="1"/>
  <c r="I13" i="27"/>
  <c r="K27" i="27"/>
  <c r="K30" i="27" s="1"/>
  <c r="R10" i="28" s="1"/>
  <c r="K13" i="27"/>
  <c r="M27" i="27"/>
  <c r="M30" i="27" s="1"/>
  <c r="T10" i="28" s="1"/>
  <c r="M13" i="27"/>
  <c r="O27" i="27"/>
  <c r="O30" i="27" s="1"/>
  <c r="V10" i="28" s="1"/>
  <c r="O13" i="27"/>
  <c r="O17" i="27" s="1"/>
  <c r="V6" i="28" s="1"/>
  <c r="V7" i="28" s="1"/>
  <c r="V9" i="28" s="1"/>
  <c r="Q27" i="27"/>
  <c r="Q30" i="27" s="1"/>
  <c r="J10" i="28" s="1"/>
  <c r="Q13" i="27"/>
  <c r="S27" i="27"/>
  <c r="S30" i="27" s="1"/>
  <c r="K16" i="28" s="1"/>
  <c r="S13" i="27"/>
  <c r="U27" i="27"/>
  <c r="U30" i="27" s="1"/>
  <c r="L16" i="28" s="1"/>
  <c r="U13" i="27"/>
  <c r="W27" i="27"/>
  <c r="W13" i="27"/>
  <c r="W17" i="27" s="1"/>
  <c r="M6" i="28" s="1"/>
  <c r="M14" i="28" s="1"/>
  <c r="AC27" i="27"/>
  <c r="AD27" i="27"/>
  <c r="W30" i="27"/>
  <c r="M10" i="28" s="1"/>
  <c r="D27" i="27"/>
  <c r="D30" i="27" s="1"/>
  <c r="D10" i="28" s="1"/>
  <c r="D13" i="27"/>
  <c r="D17" i="27" s="1"/>
  <c r="D6" i="28" s="1"/>
  <c r="F27" i="27"/>
  <c r="F30" i="27" s="1"/>
  <c r="F10" i="28" s="1"/>
  <c r="F13" i="27"/>
  <c r="F17" i="27" s="1"/>
  <c r="F6" i="28" s="1"/>
  <c r="H27" i="27"/>
  <c r="H30" i="27" s="1"/>
  <c r="H10" i="28" s="1"/>
  <c r="H13" i="27"/>
  <c r="H17" i="27" s="1"/>
  <c r="H6" i="28" s="1"/>
  <c r="H7" i="28" s="1"/>
  <c r="H9" i="28" s="1"/>
  <c r="J27" i="27"/>
  <c r="J13" i="27"/>
  <c r="J17" i="27" s="1"/>
  <c r="Q6" i="28" s="1"/>
  <c r="L27" i="27"/>
  <c r="L30" i="27" s="1"/>
  <c r="S10" i="28" s="1"/>
  <c r="L13" i="27"/>
  <c r="L17" i="27" s="1"/>
  <c r="S6" i="28" s="1"/>
  <c r="S7" i="28" s="1"/>
  <c r="S9" i="28" s="1"/>
  <c r="N27" i="27"/>
  <c r="N13" i="27"/>
  <c r="N17" i="27" s="1"/>
  <c r="U6" i="28" s="1"/>
  <c r="U7" i="28" s="1"/>
  <c r="U9" i="28" s="1"/>
  <c r="P27" i="27"/>
  <c r="P13" i="27"/>
  <c r="P17" i="27" s="1"/>
  <c r="W6" i="28" s="1"/>
  <c r="R27" i="27"/>
  <c r="R30" i="27" s="1"/>
  <c r="X10" i="28" s="1"/>
  <c r="R13" i="27"/>
  <c r="R17" i="27" s="1"/>
  <c r="X6" i="28" s="1"/>
  <c r="X7" i="28" s="1"/>
  <c r="X9" i="28" s="1"/>
  <c r="T27" i="27"/>
  <c r="T30" i="27" s="1"/>
  <c r="Y16" i="28" s="1"/>
  <c r="T13" i="27"/>
  <c r="T17" i="27" s="1"/>
  <c r="Y6" i="28" s="1"/>
  <c r="V27" i="27"/>
  <c r="V13" i="27"/>
  <c r="V17" i="27" s="1"/>
  <c r="Z6" i="28" s="1"/>
  <c r="Z7" i="28" s="1"/>
  <c r="Z9" i="28" s="1"/>
  <c r="X27" i="27"/>
  <c r="X30" i="27" s="1"/>
  <c r="AA10" i="28" s="1"/>
  <c r="X13" i="27"/>
  <c r="X17" i="27" s="1"/>
  <c r="AA6" i="28" s="1"/>
  <c r="U17" i="27"/>
  <c r="L6" i="28" s="1"/>
  <c r="L7" i="28" s="1"/>
  <c r="L9" i="28" s="1"/>
  <c r="S17" i="27"/>
  <c r="K6" i="28" s="1"/>
  <c r="Q17" i="27"/>
  <c r="J6" i="28" s="1"/>
  <c r="J7" i="28" s="1"/>
  <c r="J9" i="28" s="1"/>
  <c r="M17" i="27"/>
  <c r="T6" i="28" s="1"/>
  <c r="T7" i="28" s="1"/>
  <c r="T9" i="28" s="1"/>
  <c r="K17" i="27"/>
  <c r="R6" i="28" s="1"/>
  <c r="R7" i="28" s="1"/>
  <c r="R9" i="28" s="1"/>
  <c r="I17" i="27"/>
  <c r="I6" i="28" s="1"/>
  <c r="I7" i="28" s="1"/>
  <c r="I9" i="28" s="1"/>
  <c r="E17" i="27"/>
  <c r="E6" i="28" s="1"/>
  <c r="E7" i="28" s="1"/>
  <c r="E9" i="28" s="1"/>
  <c r="C17" i="27"/>
  <c r="C6" i="28" s="1"/>
  <c r="AH17" i="27"/>
  <c r="AI6" i="28" s="1"/>
  <c r="AD26" i="27"/>
  <c r="AC26" i="27"/>
  <c r="C26" i="27"/>
  <c r="V30" i="27" l="1"/>
  <c r="Z10" i="28" s="1"/>
  <c r="C14" i="28"/>
  <c r="K14" i="28"/>
  <c r="F14" i="28"/>
  <c r="AD30" i="27"/>
  <c r="AE10" i="28" s="1"/>
  <c r="J30" i="27"/>
  <c r="Q10" i="28" s="1"/>
  <c r="C30" i="27"/>
  <c r="C10" i="28" s="1"/>
  <c r="Q7" i="28"/>
  <c r="Q9" i="28" s="1"/>
  <c r="Q14" i="28"/>
  <c r="Q33" i="28" s="1"/>
  <c r="I14" i="28"/>
  <c r="P30" i="27"/>
  <c r="W10" i="28" s="1"/>
  <c r="D53" i="27"/>
  <c r="D56" i="27" s="1"/>
  <c r="D57" i="27" s="1"/>
  <c r="D55" i="27"/>
  <c r="H14" i="28"/>
  <c r="L14" i="28"/>
  <c r="O14" i="28"/>
  <c r="J14" i="28"/>
  <c r="H18" i="28"/>
  <c r="X18" i="28" s="1"/>
  <c r="AE18" i="28" s="1"/>
  <c r="P6" i="28"/>
  <c r="P7" i="28" s="1"/>
  <c r="P9" i="28" s="1"/>
  <c r="S14" i="28"/>
  <c r="Z14" i="28"/>
  <c r="AB14" i="28"/>
  <c r="D14" i="28"/>
  <c r="C48" i="27"/>
  <c r="C56" i="27" s="1"/>
  <c r="C57" i="27" s="1"/>
  <c r="E52" i="27"/>
  <c r="E58" i="27"/>
  <c r="E55" i="27" s="1"/>
  <c r="E53" i="27"/>
  <c r="E51" i="27"/>
  <c r="E48" i="27"/>
  <c r="E49" i="27"/>
  <c r="D50" i="27"/>
  <c r="G30" i="27"/>
  <c r="G10" i="28" s="1"/>
  <c r="D7" i="28"/>
  <c r="D9" i="28" s="1"/>
  <c r="N14" i="28"/>
  <c r="AC30" i="27"/>
  <c r="AD10" i="28" s="1"/>
  <c r="AC10" i="28"/>
  <c r="E14" i="28"/>
  <c r="H50" i="16"/>
  <c r="H51" i="16" s="1"/>
  <c r="X14" i="28"/>
  <c r="E50" i="16"/>
  <c r="E51" i="16" s="1"/>
  <c r="D41" i="27" s="1"/>
  <c r="D45" i="27" s="1"/>
  <c r="G7" i="28"/>
  <c r="V14" i="28"/>
  <c r="M7" i="28"/>
  <c r="C7" i="28"/>
  <c r="C9" i="28" s="1"/>
  <c r="R14" i="28"/>
  <c r="T14" i="28"/>
  <c r="K7" i="28"/>
  <c r="F7" i="28"/>
  <c r="F9" i="28" s="1"/>
  <c r="U14" i="28"/>
  <c r="AA7" i="28"/>
  <c r="AA9" i="28" s="1"/>
  <c r="AA14" i="28"/>
  <c r="Y7" i="28"/>
  <c r="Y9" i="28" s="1"/>
  <c r="Y14" i="28"/>
  <c r="W7" i="28"/>
  <c r="W9" i="28" s="1"/>
  <c r="W14" i="28"/>
  <c r="C8" i="28"/>
  <c r="C15" i="28" s="1"/>
  <c r="E8" i="28"/>
  <c r="E15" i="28" s="1"/>
  <c r="I8" i="28"/>
  <c r="I15" i="28" s="1"/>
  <c r="J8" i="28"/>
  <c r="J15" i="28" s="1"/>
  <c r="L8" i="28"/>
  <c r="L15" i="28" s="1"/>
  <c r="N8" i="28"/>
  <c r="N15" i="28" s="1"/>
  <c r="O8" i="28"/>
  <c r="O15" i="28" s="1"/>
  <c r="O16" i="28" s="1"/>
  <c r="F8" i="28"/>
  <c r="F15" i="28" s="1"/>
  <c r="H8" i="28"/>
  <c r="H15" i="28" s="1"/>
  <c r="P10" i="28"/>
  <c r="R8" i="28"/>
  <c r="R15" i="28" s="1"/>
  <c r="R16" i="28" s="1"/>
  <c r="T8" i="28"/>
  <c r="T15" i="28" s="1"/>
  <c r="V8" i="28"/>
  <c r="V15" i="28" s="1"/>
  <c r="V16" i="28" s="1"/>
  <c r="Q8" i="28"/>
  <c r="Q15" i="28" s="1"/>
  <c r="Q16" i="28" s="1"/>
  <c r="S8" i="28"/>
  <c r="S15" i="28" s="1"/>
  <c r="S16" i="28" s="1"/>
  <c r="U8" i="28"/>
  <c r="U15" i="28" s="1"/>
  <c r="U16" i="28" s="1"/>
  <c r="X8" i="28"/>
  <c r="X15" i="28" s="1"/>
  <c r="Z8" i="28"/>
  <c r="Z15" i="28" s="1"/>
  <c r="Z16" i="28" s="1"/>
  <c r="AB8" i="28"/>
  <c r="AB15" i="28" s="1"/>
  <c r="AB16" i="28" s="1"/>
  <c r="AE14" i="28"/>
  <c r="AE15" i="28" s="1"/>
  <c r="AE16" i="28" s="1"/>
  <c r="AD14" i="28"/>
  <c r="R11" i="28"/>
  <c r="AD8" i="28"/>
  <c r="AD15" i="28" s="1"/>
  <c r="AD16" i="28" s="1"/>
  <c r="AC6" i="28"/>
  <c r="D8" i="28" l="1"/>
  <c r="D15" i="28" s="1"/>
  <c r="D16" i="28" s="1"/>
  <c r="E28" i="28" s="1"/>
  <c r="P14" i="28"/>
  <c r="F11" i="28"/>
  <c r="C50" i="27"/>
  <c r="E56" i="27"/>
  <c r="E57" i="27" s="1"/>
  <c r="E50" i="27"/>
  <c r="J11" i="28"/>
  <c r="K8" i="28"/>
  <c r="K15" i="28" s="1"/>
  <c r="K9" i="28"/>
  <c r="M8" i="28"/>
  <c r="M15" i="28" s="1"/>
  <c r="M16" i="28" s="1"/>
  <c r="E27" i="28" s="1"/>
  <c r="M9" i="28"/>
  <c r="G8" i="28"/>
  <c r="G15" i="28" s="1"/>
  <c r="G16" i="28" s="1"/>
  <c r="E23" i="28" s="1"/>
  <c r="G9" i="28"/>
  <c r="Y8" i="28"/>
  <c r="Y15" i="28" s="1"/>
  <c r="C28" i="28" s="1"/>
  <c r="G28" i="28" s="1"/>
  <c r="J28" i="28" s="1"/>
  <c r="M28" i="28" s="1"/>
  <c r="O28" i="28" s="1"/>
  <c r="AA8" i="28"/>
  <c r="AA15" i="28" s="1"/>
  <c r="AA16" i="28" s="1"/>
  <c r="W8" i="28"/>
  <c r="W15" i="28" s="1"/>
  <c r="M11" i="28"/>
  <c r="AC14" i="28"/>
  <c r="AC7" i="28"/>
  <c r="AC9" i="28" s="1"/>
  <c r="P8" i="28"/>
  <c r="P15" i="28" s="1"/>
  <c r="T16" i="28"/>
  <c r="E25" i="28" s="1"/>
  <c r="C25" i="28"/>
  <c r="G25" i="28" s="1"/>
  <c r="J25" i="28" s="1"/>
  <c r="H16" i="28"/>
  <c r="E24" i="28" s="1"/>
  <c r="C24" i="28"/>
  <c r="G24" i="28" s="1"/>
  <c r="J24" i="28" s="1"/>
  <c r="M24" i="28" s="1"/>
  <c r="O24" i="28" s="1"/>
  <c r="F16" i="28"/>
  <c r="E26" i="28" s="1"/>
  <c r="C26" i="28"/>
  <c r="G26" i="28" s="1"/>
  <c r="J26" i="28" s="1"/>
  <c r="M26" i="28" s="1"/>
  <c r="O26" i="28" s="1"/>
  <c r="N16" i="28"/>
  <c r="I16" i="28"/>
  <c r="E29" i="28" s="1"/>
  <c r="C29" i="28"/>
  <c r="G29" i="28" s="1"/>
  <c r="J29" i="28" s="1"/>
  <c r="M29" i="28" s="1"/>
  <c r="O29" i="28" s="1"/>
  <c r="E16" i="28"/>
  <c r="E31" i="28" s="1"/>
  <c r="C31" i="28"/>
  <c r="G31" i="28" s="1"/>
  <c r="J31" i="28" s="1"/>
  <c r="M31" i="28" s="1"/>
  <c r="O31" i="28" s="1"/>
  <c r="C16" i="28"/>
  <c r="C30" i="28"/>
  <c r="C23" i="28" l="1"/>
  <c r="G23" i="28" s="1"/>
  <c r="J23" i="28" s="1"/>
  <c r="M23" i="28" s="1"/>
  <c r="O23" i="28" s="1"/>
  <c r="G30" i="28"/>
  <c r="J30" i="28" s="1"/>
  <c r="M30" i="28" s="1"/>
  <c r="O30" i="28" s="1"/>
  <c r="C27" i="28"/>
  <c r="G27" i="28" s="1"/>
  <c r="J27" i="28" s="1"/>
  <c r="M27" i="28" s="1"/>
  <c r="O27" i="28" s="1"/>
  <c r="C22" i="28"/>
  <c r="G22" i="28" s="1"/>
  <c r="J22" i="28" s="1"/>
  <c r="M22" i="28" s="1"/>
  <c r="O22" i="28" s="1"/>
  <c r="J17" i="28"/>
  <c r="E22" i="28"/>
  <c r="F17" i="28"/>
  <c r="M17" i="28"/>
  <c r="E30" i="28"/>
  <c r="O25" i="28"/>
  <c r="M25" i="28"/>
  <c r="AC8" i="28"/>
  <c r="AC15" i="28" s="1"/>
</calcChain>
</file>

<file path=xl/comments1.xml><?xml version="1.0" encoding="utf-8"?>
<comments xmlns="http://schemas.openxmlformats.org/spreadsheetml/2006/main">
  <authors>
    <author>Peter Bong</author>
  </authors>
  <commentList>
    <comment ref="B5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Mark Meyer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38" authorId="1" shapeId="0">
      <text>
        <r>
          <rPr>
            <b/>
            <sz val="8"/>
            <color indexed="81"/>
            <rFont val="Tahoma"/>
            <family val="2"/>
          </rPr>
          <t>Mark Meyer: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2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>
  <authors>
    <author>jamoore</author>
  </authors>
  <commentList>
    <comment ref="AD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L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</commentList>
</comments>
</file>

<file path=xl/comments3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9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<sst xmlns="http://schemas.openxmlformats.org/spreadsheetml/2006/main" count="2224" uniqueCount="235">
  <si>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</si>
  <si>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</si>
  <si>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</si>
  <si>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</si>
  <si>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</si>
  <si>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</si>
  <si>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</si>
  <si>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</si>
  <si>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</si>
  <si>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</si>
  <si>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</si>
  <si>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</si>
  <si>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</si>
  <si>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</si>
  <si>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</si>
  <si>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</si>
  <si>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</si>
  <si>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</si>
  <si>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</si>
  <si>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</si>
  <si>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</si>
  <si>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</si>
  <si>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</si>
  <si>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</si>
  <si>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</si>
  <si>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</si>
  <si>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</si>
  <si>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</si>
  <si>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</si>
  <si>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</si>
  <si>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</si>
  <si>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</si>
  <si>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</si>
  <si>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</si>
  <si>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</si>
  <si>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</si>
  <si>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</si>
  <si>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</si>
  <si>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</si>
  <si>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</si>
  <si>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</si>
  <si>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</si>
  <si>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</si>
  <si>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</si>
  <si>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</si>
  <si>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</si>
  <si>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</si>
  <si>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</si>
  <si>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</si>
  <si>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</si>
  <si>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</si>
  <si>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</si>
  <si>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</si>
  <si>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</si>
  <si>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</si>
  <si>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</si>
  <si>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</si>
  <si>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</si>
  <si>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</si>
  <si>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</si>
  <si>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</si>
  <si>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</si>
  <si>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</si>
  <si>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</si>
  <si>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</si>
  <si>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</si>
  <si>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</si>
  <si>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</si>
  <si>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</si>
  <si>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</si>
  <si>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</si>
  <si>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</si>
  <si>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</si>
  <si>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</si>
  <si>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</si>
  <si>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</si>
  <si>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</si>
  <si>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</si>
  <si>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</si>
  <si>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</si>
  <si>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</si>
  <si>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</si>
  <si>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</si>
  <si>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</si>
  <si>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</si>
  <si>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</si>
  <si>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</si>
  <si>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</si>
  <si>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</si>
  <si>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</si>
  <si>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</si>
  <si>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</si>
  <si>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</si>
  <si>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</si>
  <si>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</si>
  <si>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</si>
  <si>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</si>
  <si>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</si>
  <si>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</si>
  <si>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</si>
  <si>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</si>
  <si>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</si>
  <si>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</si>
  <si>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</si>
  <si>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</si>
  <si>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</si>
  <si>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</si>
  <si>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</si>
  <si>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</si>
  <si>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</si>
  <si>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</si>
  <si>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</si>
  <si>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</si>
  <si>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</si>
  <si>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</si>
  <si>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</si>
  <si>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</si>
  <si>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</si>
  <si>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</si>
  <si>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</si>
  <si>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</si>
  <si>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</si>
  <si>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</si>
  <si>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</si>
  <si>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</si>
  <si>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</si>
  <si>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</si>
  <si>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</si>
  <si>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</si>
  <si>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</si>
  <si>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</si>
  <si>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</si>
  <si>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</si>
  <si>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</si>
  <si>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</si>
  <si>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</si>
  <si>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</si>
  <si>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</si>
  <si>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</si>
  <si>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</si>
  <si>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</si>
  <si>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</si>
  <si>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</si>
  <si>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</si>
  <si>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</si>
  <si>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</si>
  <si>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</si>
  <si>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</si>
  <si>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</si>
  <si>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</si>
  <si>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</si>
  <si>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</si>
  <si>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</si>
  <si>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</si>
  <si>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</si>
  <si>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</si>
  <si>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</si>
  <si>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</si>
  <si>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</si>
  <si>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</si>
  <si>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</si>
  <si>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</si>
  <si>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</si>
  <si>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</si>
  <si>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</si>
  <si>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</si>
  <si>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</si>
  <si>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</si>
  <si>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</si>
  <si>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</si>
  <si>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</si>
  <si>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</si>
  <si>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</si>
  <si>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</si>
  <si>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</si>
  <si>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</si>
  <si>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</si>
  <si>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</si>
  <si>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</si>
  <si>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</si>
  <si>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</si>
  <si>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</si>
  <si>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</si>
  <si>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</si>
  <si>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</si>
  <si>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</si>
  <si>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</si>
  <si>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</si>
  <si>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</si>
  <si>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</si>
  <si>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</si>
  <si>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</si>
  <si>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</si>
  <si>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</si>
  <si>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</si>
  <si>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</si>
  <si>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</si>
  <si>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</si>
  <si>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</si>
  <si>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</si>
  <si>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</si>
  <si>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</si>
  <si>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</si>
  <si>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</si>
  <si>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</si>
  <si>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</si>
  <si>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</si>
  <si>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</si>
  <si>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December 201x</t>
  </si>
  <si>
    <t>November 201x</t>
  </si>
  <si>
    <t>October 201x</t>
  </si>
  <si>
    <t>August 201x</t>
  </si>
  <si>
    <t>July 201x</t>
  </si>
  <si>
    <t>June 201x</t>
  </si>
  <si>
    <t>February 201x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</si>
  <si>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</si>
  <si>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</si>
  <si>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</si>
  <si>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</si>
  <si>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</si>
  <si>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</si>
  <si>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</si>
  <si>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</si>
  <si>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</si>
  <si>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</si>
  <si>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</si>
  <si>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</si>
  <si>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</si>
  <si>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>2013 YTD Finished Delivered Flows (MG) &amp; Ratios</t>
  </si>
  <si>
    <t>2013 YTD Treated Raw Water Flows (MG)</t>
  </si>
  <si>
    <t>January 2013</t>
  </si>
  <si>
    <t>March 2013</t>
  </si>
  <si>
    <t>April 2013</t>
  </si>
  <si>
    <t>May 2013</t>
  </si>
  <si>
    <t>September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</si>
</sst>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#,##0.0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7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98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4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5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6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Border="1" applyAlignment="1">
      <alignment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167" fontId="0" fillId="0" borderId="95" xfId="0" applyNumberFormat="1" applyFill="1" applyBorder="1"/>
    <xf numFmtId="167" fontId="0" fillId="0" borderId="95" xfId="0" applyNumberFormat="1" applyFill="1" applyBorder="1" applyAlignment="1">
      <alignment horizontal="right"/>
    </xf>
    <xf numFmtId="170" fontId="4" fillId="6" borderId="42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50" xfId="0" applyNumberFormat="1" applyFill="1" applyBorder="1" applyAlignment="1">
      <alignment horizontal="right"/>
    </xf>
    <xf numFmtId="0" fontId="0" fillId="0" borderId="0" xfId="0" applyFill="1"/>
    <xf numFmtId="0" fontId="0" fillId="0" borderId="95" xfId="0" applyFill="1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5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/>
    <xf numFmtId="0" fontId="0" fillId="0" borderId="156" xfId="0" applyBorder="1" applyAlignment="1">
      <alignment horizontal="center" vertical="center" wrapText="1"/>
    </xf>
    <xf numFmtId="165" fontId="0" fillId="0" borderId="157" xfId="0" applyNumberFormat="1" applyBorder="1" applyAlignment="1">
      <alignment horizontal="center"/>
    </xf>
    <xf numFmtId="165" fontId="0" fillId="0" borderId="158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61" xfId="0" applyNumberFormat="1" applyBorder="1" applyAlignment="1">
      <alignment horizontal="center"/>
    </xf>
    <xf numFmtId="0" fontId="0" fillId="0" borderId="150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6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2" xfId="0" applyNumberFormat="1" applyFill="1" applyBorder="1" applyAlignment="1">
      <alignment horizontal="center"/>
    </xf>
    <xf numFmtId="0" fontId="0" fillId="27" borderId="150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3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171" fontId="0" fillId="27" borderId="165" xfId="0" applyNumberFormat="1" applyFill="1" applyBorder="1" applyAlignment="1">
      <alignment horizontal="center"/>
    </xf>
    <xf numFmtId="171" fontId="0" fillId="27" borderId="166" xfId="0" applyNumberFormat="1" applyFill="1" applyBorder="1" applyAlignment="1">
      <alignment horizontal="center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0" fontId="19" fillId="0" borderId="96" xfId="0" applyFont="1" applyFill="1" applyBorder="1" applyAlignment="1">
      <alignment horizontal="center" vertical="center"/>
    </xf>
    <xf numFmtId="170" fontId="0" fillId="24" borderId="136" xfId="0" applyNumberFormat="1" applyFill="1" applyBorder="1" applyAlignment="1">
      <alignment horizontal="center"/>
    </xf>
    <xf numFmtId="170" fontId="0" fillId="24" borderId="137" xfId="0" applyNumberFormat="1" applyFill="1" applyBorder="1" applyAlignment="1">
      <alignment horizontal="center"/>
    </xf>
    <xf numFmtId="170" fontId="0" fillId="24" borderId="138" xfId="0" applyNumberFormat="1" applyFill="1" applyBorder="1" applyAlignment="1">
      <alignment horizontal="center"/>
    </xf>
    <xf numFmtId="170" fontId="0" fillId="24" borderId="139" xfId="0" applyNumberFormat="1" applyFill="1" applyBorder="1" applyAlignment="1">
      <alignment horizontal="center"/>
    </xf>
    <xf numFmtId="170" fontId="0" fillId="24" borderId="30" xfId="0" applyNumberFormat="1" applyFill="1" applyBorder="1" applyAlignment="1">
      <alignment horizontal="center"/>
    </xf>
    <xf numFmtId="170" fontId="0" fillId="24" borderId="140" xfId="0" applyNumberFormat="1" applyFill="1" applyBorder="1" applyAlignment="1">
      <alignment horizontal="center"/>
    </xf>
    <xf numFmtId="170" fontId="0" fillId="24" borderId="141" xfId="0" applyNumberFormat="1" applyFill="1" applyBorder="1" applyAlignment="1">
      <alignment horizontal="center"/>
    </xf>
    <xf numFmtId="170" fontId="0" fillId="24" borderId="142" xfId="0" applyNumberFormat="1" applyFill="1" applyBorder="1" applyAlignment="1">
      <alignment horizontal="center"/>
    </xf>
    <xf numFmtId="170" fontId="0" fillId="24" borderId="143" xfId="0" applyNumberFormat="1" applyFill="1" applyBorder="1" applyAlignment="1">
      <alignment horizontal="center"/>
    </xf>
    <xf numFmtId="2" fontId="0" fillId="0" borderId="4" xfId="0" applyNumberFormat="1" applyBorder="1" applyAlignment="1" applyProtection="1">
      <alignment horizontal="center"/>
    </xf>
    <xf numFmtId="2" fontId="0" fillId="0" borderId="43" xfId="0" applyNumberFormat="1" applyBorder="1" applyAlignment="1" applyProtection="1">
      <alignment horizontal="center"/>
    </xf>
    <xf numFmtId="2" fontId="0" fillId="0" borderId="22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4" fontId="0" fillId="0" borderId="94" xfId="0" applyNumberFormat="1" applyFill="1" applyBorder="1" applyAlignment="1" applyProtection="1">
      <protection locked="0"/>
    </xf>
    <xf numFmtId="2" fontId="0" fillId="0" borderId="160" xfId="0" applyNumberFormat="1" applyFill="1" applyBorder="1" applyAlignment="1" applyProtection="1">
      <alignment horizontal="center" vertical="center"/>
      <protection locked="0"/>
    </xf>
    <xf numFmtId="2" fontId="0" fillId="0" borderId="167" xfId="0" applyNumberFormat="1" applyFill="1" applyBorder="1" applyAlignment="1" applyProtection="1">
      <alignment horizontal="center" vertical="center"/>
      <protection locked="0"/>
    </xf>
    <xf numFmtId="2" fontId="0" fillId="0" borderId="168" xfId="0" applyNumberFormat="1" applyFill="1" applyBorder="1" applyAlignment="1" applyProtection="1">
      <alignment horizontal="center" vertical="center"/>
      <protection locked="0"/>
    </xf>
    <xf numFmtId="2" fontId="0" fillId="0" borderId="153" xfId="0" applyNumberFormat="1" applyFill="1" applyBorder="1" applyAlignment="1" applyProtection="1">
      <alignment horizontal="center" vertical="center"/>
      <protection locked="0"/>
    </xf>
    <xf numFmtId="2" fontId="0" fillId="0" borderId="169" xfId="0" applyNumberFormat="1" applyFill="1" applyBorder="1" applyAlignment="1" applyProtection="1">
      <alignment horizontal="center" vertical="center"/>
      <protection locked="0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/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6" fillId="0" borderId="155" xfId="0" applyFont="1" applyBorder="1" applyAlignment="1">
      <alignment horizontal="center" vertical="center" textRotation="75"/>
    </xf>
    <xf numFmtId="0" fontId="16" fillId="0" borderId="160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4" xfId="0" applyBorder="1" applyAlignment="1"/>
    <xf numFmtId="0" fontId="16" fillId="0" borderId="152" xfId="0" applyFont="1" applyBorder="1" applyAlignment="1">
      <alignment horizontal="center" vertical="center" textRotation="75"/>
    </xf>
    <xf numFmtId="0" fontId="16" fillId="0" borderId="153" xfId="0" applyFont="1" applyBorder="1" applyAlignment="1">
      <alignment horizontal="center" vertical="center" textRotation="75"/>
    </xf>
    <xf numFmtId="0" fontId="0" fillId="0" borderId="154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165" fontId="0" fillId="22" borderId="30" xfId="0" applyNumberFormat="1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7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6" xfId="0" applyFont="1" applyFill="1" applyBorder="1" applyAlignment="1">
      <alignment horizontal="center" vertical="center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4" fillId="13" borderId="134" xfId="0" applyFont="1" applyFill="1" applyBorder="1" applyAlignment="1">
      <alignment horizontal="center" vertical="center"/>
    </xf>
    <xf numFmtId="1" fontId="14" fillId="0" borderId="86" xfId="0" applyNumberFormat="1" applyFont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7" fillId="0" borderId="121" xfId="0" applyFont="1" applyFill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7" xfId="0" applyBorder="1" applyAlignment="1">
      <alignment vertical="center"/>
    </xf>
    <xf numFmtId="165" fontId="10" fillId="0" borderId="66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10" fillId="0" borderId="29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0" fontId="4" fillId="0" borderId="95" xfId="0" applyFont="1" applyFill="1" applyBorder="1" applyAlignment="1">
      <alignment horizontal="left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49" fontId="11" fillId="0" borderId="55" xfId="0" applyNumberFormat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148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22" borderId="14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DB6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</xdr:row>
          <xdr:rowOff>28575</xdr:rowOff>
        </xdr:from>
        <xdr:to>
          <xdr:col>10</xdr:col>
          <xdr:colOff>600075</xdr:colOff>
          <xdr:row>45</xdr:row>
          <xdr:rowOff>76200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</xdr:row>
          <xdr:rowOff>9525</xdr:rowOff>
        </xdr:from>
        <xdr:to>
          <xdr:col>22</xdr:col>
          <xdr:colOff>123825</xdr:colOff>
          <xdr:row>45</xdr:row>
          <xdr:rowOff>38100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447675</xdr:colOff>
          <xdr:row>42</xdr:row>
          <xdr:rowOff>142875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133350</xdr:colOff>
          <xdr:row>0</xdr:row>
          <xdr:rowOff>0</xdr:rowOff>
        </xdr:from>
        <xdr:to>
          <xdr:col>20</xdr:col>
          <xdr:colOff>581025</xdr:colOff>
          <xdr:row>31</xdr:row>
          <xdr:rowOff>104775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t/Utilities%20Department/Divisions/Water%20Treatment/Binney/BWPF%20Operating%20Reports/BWPF%20Flow%20Reports%20and%20Query%20Tool/BWPF%20Monthly%20Plant%20Flows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0</v>
          </cell>
          <cell r="D29">
            <v>0</v>
          </cell>
          <cell r="Q29">
            <v>0</v>
          </cell>
          <cell r="R2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4.docx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3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3793" r:id="rId4">
          <objectPr defaultSize="0" r:id="rId5">
            <anchor moveWithCells="1">
              <from>
                <xdr:col>1</xdr:col>
                <xdr:colOff>28575</xdr:colOff>
                <xdr:row>1</xdr:row>
                <xdr:rowOff>28575</xdr:rowOff>
              </from>
              <to>
                <xdr:col>10</xdr:col>
                <xdr:colOff>600075</xdr:colOff>
                <xdr:row>45</xdr:row>
                <xdr:rowOff>76200</xdr:rowOff>
              </to>
            </anchor>
          </objectPr>
        </oleObject>
      </mc:Choice>
      <mc:Fallback>
        <oleObject progId="Word.Document.12" shapeId="33793" r:id="rId4"/>
      </mc:Fallback>
    </mc:AlternateContent>
    <mc:AlternateContent xmlns:mc="http://schemas.openxmlformats.org/markup-compatibility/2006">
      <mc:Choice Requires="x14">
        <oleObject progId="Word.Document.12" shapeId="33794" r:id="rId6">
          <objectPr defaultSize="0" r:id="rId7">
            <anchor moveWithCells="1">
              <from>
                <xdr:col>12</xdr:col>
                <xdr:colOff>19050</xdr:colOff>
                <xdr:row>1</xdr:row>
                <xdr:rowOff>9525</xdr:rowOff>
              </from>
              <to>
                <xdr:col>22</xdr:col>
                <xdr:colOff>123825</xdr:colOff>
                <xdr:row>45</xdr:row>
                <xdr:rowOff>38100</xdr:rowOff>
              </to>
            </anchor>
          </objectPr>
        </oleObject>
      </mc:Choice>
      <mc:Fallback>
        <oleObject progId="Word.Document.12" shapeId="33794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topLeftCell="A39" zoomScale="75" zoomScaleNormal="75" workbookViewId="0">
      <selection activeCell="I53" sqref="I53"/>
    </sheetView>
  </sheetViews>
  <sheetFormatPr defaultRowHeight="15" x14ac:dyDescent="0.2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1" width="15.140625" customWidth="1"/>
    <col min="42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  <c r="AT4" t="s">
        <v>169</v>
      </c>
      <c r="AU4" s="331" t="s">
        <v>207</v>
      </c>
    </row>
    <row r="5" spans="1:47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0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47" x14ac:dyDescent="0.25">
      <c r="A8" s="11">
        <v>41426</v>
      </c>
      <c r="B8" s="49"/>
      <c r="C8" s="50">
        <v>106.59602334499391</v>
      </c>
      <c r="D8" s="50">
        <v>1536.1916826883928</v>
      </c>
      <c r="E8" s="50">
        <v>17.832961852351836</v>
      </c>
      <c r="F8" s="50">
        <v>0</v>
      </c>
      <c r="G8" s="50">
        <v>4516.7475669860805</v>
      </c>
      <c r="H8" s="51">
        <v>75.471507652600465</v>
      </c>
      <c r="I8" s="49">
        <v>445.80822760264124</v>
      </c>
      <c r="J8" s="50">
        <v>976.30486392974922</v>
      </c>
      <c r="K8" s="50">
        <v>29.360682906707066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439.20668540804667</v>
      </c>
      <c r="V8" s="54">
        <v>162.34417395847657</v>
      </c>
      <c r="W8" s="54">
        <v>36.751375553860093</v>
      </c>
      <c r="X8" s="54">
        <v>13.584428252921709</v>
      </c>
      <c r="Y8" s="54">
        <v>183.10171986261426</v>
      </c>
      <c r="Z8" s="54">
        <v>67.679974939033329</v>
      </c>
      <c r="AA8" s="55">
        <v>0</v>
      </c>
      <c r="AB8" s="56">
        <v>227.40777189466735</v>
      </c>
      <c r="AC8" s="57">
        <v>0</v>
      </c>
      <c r="AD8" s="57">
        <v>22.292381384637611</v>
      </c>
      <c r="AE8" s="58">
        <v>16.016260619321894</v>
      </c>
      <c r="AF8" s="58">
        <v>5.9200979550933175</v>
      </c>
      <c r="AG8" s="58">
        <v>0.73012394308697892</v>
      </c>
      <c r="AH8" s="57">
        <v>228.22238076527915</v>
      </c>
      <c r="AI8" s="57">
        <v>693.11299212773645</v>
      </c>
      <c r="AJ8" s="57">
        <v>3081.5216570536304</v>
      </c>
      <c r="AK8" s="57">
        <v>617.82278070449831</v>
      </c>
      <c r="AL8" s="57">
        <v>4219.8247441609692</v>
      </c>
      <c r="AM8" s="57">
        <v>2964.6533093770349</v>
      </c>
      <c r="AN8" s="57">
        <v>582.48165839513149</v>
      </c>
      <c r="AO8" s="57">
        <v>2579.3818513234464</v>
      </c>
      <c r="AP8" s="57">
        <v>385.17347753842665</v>
      </c>
      <c r="AQ8" s="57">
        <v>700.53787908554079</v>
      </c>
    </row>
    <row r="9" spans="1:47" x14ac:dyDescent="0.25">
      <c r="A9" s="11">
        <v>41427</v>
      </c>
      <c r="B9" s="59"/>
      <c r="C9" s="60">
        <v>107.50502904653544</v>
      </c>
      <c r="D9" s="60">
        <v>1553.078629493712</v>
      </c>
      <c r="E9" s="60">
        <v>17.850419271985707</v>
      </c>
      <c r="F9" s="60">
        <v>0</v>
      </c>
      <c r="G9" s="60">
        <v>4505.1787773132291</v>
      </c>
      <c r="H9" s="61">
        <v>75.744676268100577</v>
      </c>
      <c r="I9" s="59">
        <v>425.38826481501292</v>
      </c>
      <c r="J9" s="60">
        <v>931.34527492523193</v>
      </c>
      <c r="K9" s="60">
        <v>27.805901988347276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438.87920705110236</v>
      </c>
      <c r="V9" s="62">
        <v>164.56342757379915</v>
      </c>
      <c r="W9" s="62">
        <v>36.710629532179993</v>
      </c>
      <c r="X9" s="62">
        <v>13.765124724863178</v>
      </c>
      <c r="Y9" s="66">
        <v>191.92336207235175</v>
      </c>
      <c r="Z9" s="66">
        <v>71.964143633799338</v>
      </c>
      <c r="AA9" s="67">
        <v>0</v>
      </c>
      <c r="AB9" s="68">
        <v>227.32384273740817</v>
      </c>
      <c r="AC9" s="69">
        <v>0</v>
      </c>
      <c r="AD9" s="69">
        <v>22.377448956171698</v>
      </c>
      <c r="AE9" s="68">
        <v>15.999511635242058</v>
      </c>
      <c r="AF9" s="68">
        <v>5.9992235492162163</v>
      </c>
      <c r="AG9" s="68">
        <v>0.7272923420863503</v>
      </c>
      <c r="AH9" s="69">
        <v>211.60954155921937</v>
      </c>
      <c r="AI9" s="69">
        <v>698.7855051040649</v>
      </c>
      <c r="AJ9" s="69">
        <v>3119.9844308217366</v>
      </c>
      <c r="AK9" s="69">
        <v>620.94633916219072</v>
      </c>
      <c r="AL9" s="69">
        <v>4194.6456155141195</v>
      </c>
      <c r="AM9" s="69">
        <v>2905.1849543253584</v>
      </c>
      <c r="AN9" s="69">
        <v>605.78397181828814</v>
      </c>
      <c r="AO9" s="69">
        <v>2562.6551246643066</v>
      </c>
      <c r="AP9" s="69">
        <v>427.67011704444883</v>
      </c>
      <c r="AQ9" s="69">
        <v>789.55895579655976</v>
      </c>
    </row>
    <row r="10" spans="1:47" x14ac:dyDescent="0.25">
      <c r="A10" s="11">
        <v>41428</v>
      </c>
      <c r="B10" s="59"/>
      <c r="C10" s="60">
        <v>106.43425470987984</v>
      </c>
      <c r="D10" s="60">
        <v>1639.079699834188</v>
      </c>
      <c r="E10" s="60">
        <v>17.900030644734699</v>
      </c>
      <c r="F10" s="60">
        <v>0</v>
      </c>
      <c r="G10" s="60">
        <v>4638.8402002970433</v>
      </c>
      <c r="H10" s="61">
        <v>74.959984318415408</v>
      </c>
      <c r="I10" s="59">
        <v>424.99942251841219</v>
      </c>
      <c r="J10" s="60">
        <v>931.02218055725075</v>
      </c>
      <c r="K10" s="60">
        <v>27.892441749572669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438.76979557486698</v>
      </c>
      <c r="V10" s="62">
        <v>164.52311684476544</v>
      </c>
      <c r="W10" s="62">
        <v>36.549378648148249</v>
      </c>
      <c r="X10" s="62">
        <v>13.704721142107054</v>
      </c>
      <c r="Y10" s="66">
        <v>191.75373558082339</v>
      </c>
      <c r="Z10" s="66">
        <v>71.900852252262794</v>
      </c>
      <c r="AA10" s="67">
        <v>0</v>
      </c>
      <c r="AB10" s="68">
        <v>227.40888366699016</v>
      </c>
      <c r="AC10" s="69">
        <v>0</v>
      </c>
      <c r="AD10" s="69">
        <v>22.386611876222748</v>
      </c>
      <c r="AE10" s="68">
        <v>16.000892282237622</v>
      </c>
      <c r="AF10" s="68">
        <v>5.9997672973865903</v>
      </c>
      <c r="AG10" s="68">
        <v>0.72729148070891292</v>
      </c>
      <c r="AH10" s="69">
        <v>196.75478016535442</v>
      </c>
      <c r="AI10" s="69">
        <v>704.45437933603932</v>
      </c>
      <c r="AJ10" s="69">
        <v>3220.8941570281986</v>
      </c>
      <c r="AK10" s="69">
        <v>631.75911003748581</v>
      </c>
      <c r="AL10" s="69">
        <v>4160.236376698811</v>
      </c>
      <c r="AM10" s="69">
        <v>2873.7699717203768</v>
      </c>
      <c r="AN10" s="69">
        <v>654.18782898584993</v>
      </c>
      <c r="AO10" s="69">
        <v>2659.6291323343912</v>
      </c>
      <c r="AP10" s="69">
        <v>457.85091565450028</v>
      </c>
      <c r="AQ10" s="69">
        <v>943.49057722091663</v>
      </c>
    </row>
    <row r="11" spans="1:47" x14ac:dyDescent="0.25">
      <c r="A11" s="11">
        <v>41429</v>
      </c>
      <c r="B11" s="59"/>
      <c r="C11" s="60">
        <v>117.5918797254562</v>
      </c>
      <c r="D11" s="60">
        <v>1870.9848135630275</v>
      </c>
      <c r="E11" s="60">
        <v>19.233092496792452</v>
      </c>
      <c r="F11" s="60">
        <v>0</v>
      </c>
      <c r="G11" s="60">
        <v>5588.1713946024693</v>
      </c>
      <c r="H11" s="61">
        <v>83.337888197104121</v>
      </c>
      <c r="I11" s="59">
        <v>428.30035053888975</v>
      </c>
      <c r="J11" s="60">
        <v>928.74956054687482</v>
      </c>
      <c r="K11" s="60">
        <v>27.933433208862795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427.05256400693889</v>
      </c>
      <c r="V11" s="62">
        <v>179.87866566920039</v>
      </c>
      <c r="W11" s="62">
        <v>36.093263365644219</v>
      </c>
      <c r="X11" s="62">
        <v>15.202831222794449</v>
      </c>
      <c r="Y11" s="66">
        <v>178.76659024018656</v>
      </c>
      <c r="Z11" s="66">
        <v>75.298214854213995</v>
      </c>
      <c r="AA11" s="67">
        <v>0</v>
      </c>
      <c r="AB11" s="68">
        <v>227.72461611429702</v>
      </c>
      <c r="AC11" s="69">
        <v>0</v>
      </c>
      <c r="AD11" s="69">
        <v>22.505089910825095</v>
      </c>
      <c r="AE11" s="68">
        <v>15.584198144287848</v>
      </c>
      <c r="AF11" s="68">
        <v>6.5642148156576337</v>
      </c>
      <c r="AG11" s="68">
        <v>0.70362595155107721</v>
      </c>
      <c r="AH11" s="69">
        <v>196.14662933349609</v>
      </c>
      <c r="AI11" s="69">
        <v>692.39674564997347</v>
      </c>
      <c r="AJ11" s="69">
        <v>3177.9937898000085</v>
      </c>
      <c r="AK11" s="69">
        <v>620.00217256546023</v>
      </c>
      <c r="AL11" s="69">
        <v>4425.6587081909183</v>
      </c>
      <c r="AM11" s="69">
        <v>2851.10978864034</v>
      </c>
      <c r="AN11" s="69">
        <v>626.60740995407104</v>
      </c>
      <c r="AO11" s="69">
        <v>2653.2867652893065</v>
      </c>
      <c r="AP11" s="69">
        <v>410.03938035964967</v>
      </c>
      <c r="AQ11" s="69">
        <v>780.89464626312258</v>
      </c>
    </row>
    <row r="12" spans="1:47" x14ac:dyDescent="0.25">
      <c r="A12" s="11">
        <v>41430</v>
      </c>
      <c r="B12" s="59"/>
      <c r="C12" s="60">
        <v>125.28063747088115</v>
      </c>
      <c r="D12" s="60">
        <v>1990.3142074584916</v>
      </c>
      <c r="E12" s="60">
        <v>26.04398108124737</v>
      </c>
      <c r="F12" s="60">
        <v>0</v>
      </c>
      <c r="G12" s="60">
        <v>6001.0170117696234</v>
      </c>
      <c r="H12" s="61">
        <v>88.908961741129275</v>
      </c>
      <c r="I12" s="59">
        <v>426.17168838183073</v>
      </c>
      <c r="J12" s="60">
        <v>910.79111162821516</v>
      </c>
      <c r="K12" s="60">
        <v>27.489875835180335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422.32578150906232</v>
      </c>
      <c r="V12" s="62">
        <v>190.69147554558103</v>
      </c>
      <c r="W12" s="62">
        <v>36.588538206255009</v>
      </c>
      <c r="X12" s="62">
        <v>16.520711365704106</v>
      </c>
      <c r="Y12" s="66">
        <v>163.72482797805554</v>
      </c>
      <c r="Z12" s="66">
        <v>73.926173578659188</v>
      </c>
      <c r="AA12" s="67">
        <v>0</v>
      </c>
      <c r="AB12" s="68">
        <v>228.09303534825708</v>
      </c>
      <c r="AC12" s="69">
        <v>0</v>
      </c>
      <c r="AD12" s="69">
        <v>22.60359075864158</v>
      </c>
      <c r="AE12" s="68">
        <v>15.400906535262928</v>
      </c>
      <c r="AF12" s="68">
        <v>6.9539244832625737</v>
      </c>
      <c r="AG12" s="68">
        <v>0.68892967799667815</v>
      </c>
      <c r="AH12" s="69">
        <v>306.93094418843583</v>
      </c>
      <c r="AI12" s="69">
        <v>794.88980903625497</v>
      </c>
      <c r="AJ12" s="69">
        <v>3133.1935440063476</v>
      </c>
      <c r="AK12" s="69">
        <v>601.45107552210493</v>
      </c>
      <c r="AL12" s="69">
        <v>4808.6012781778963</v>
      </c>
      <c r="AM12" s="69">
        <v>2802.6890061696367</v>
      </c>
      <c r="AN12" s="69">
        <v>612.28141765594501</v>
      </c>
      <c r="AO12" s="69">
        <v>2843.516913986206</v>
      </c>
      <c r="AP12" s="69">
        <v>388.7888136545817</v>
      </c>
      <c r="AQ12" s="69">
        <v>663.4950194994608</v>
      </c>
    </row>
    <row r="13" spans="1:47" x14ac:dyDescent="0.25">
      <c r="A13" s="11">
        <v>41431</v>
      </c>
      <c r="B13" s="59"/>
      <c r="C13" s="60">
        <v>125.42382079760236</v>
      </c>
      <c r="D13" s="60">
        <v>1994.2249261220281</v>
      </c>
      <c r="E13" s="60">
        <v>30.765233069658283</v>
      </c>
      <c r="F13" s="60">
        <v>0</v>
      </c>
      <c r="G13" s="60">
        <v>5883.1051663716717</v>
      </c>
      <c r="H13" s="61">
        <v>88.886238869031118</v>
      </c>
      <c r="I13" s="59">
        <v>378.48471482594749</v>
      </c>
      <c r="J13" s="60">
        <v>808.7253348668421</v>
      </c>
      <c r="K13" s="60">
        <v>24.482362006108019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380.90087824975188</v>
      </c>
      <c r="V13" s="62">
        <v>185.74514259714846</v>
      </c>
      <c r="W13" s="62">
        <v>33.026898756225421</v>
      </c>
      <c r="X13" s="62">
        <v>16.105465671817921</v>
      </c>
      <c r="Y13" s="66">
        <v>147.01812406024615</v>
      </c>
      <c r="Z13" s="66">
        <v>71.692936344531716</v>
      </c>
      <c r="AA13" s="67">
        <v>0</v>
      </c>
      <c r="AB13" s="68">
        <v>227.91688879860348</v>
      </c>
      <c r="AC13" s="69">
        <v>0</v>
      </c>
      <c r="AD13" s="69">
        <v>20.908707429965336</v>
      </c>
      <c r="AE13" s="68">
        <v>13.901409431328227</v>
      </c>
      <c r="AF13" s="68">
        <v>6.7789795838442348</v>
      </c>
      <c r="AG13" s="68">
        <v>0.67220251133231879</v>
      </c>
      <c r="AH13" s="69">
        <v>249.47203458150227</v>
      </c>
      <c r="AI13" s="69">
        <v>826.87970225016272</v>
      </c>
      <c r="AJ13" s="69">
        <v>3161.1068035125736</v>
      </c>
      <c r="AK13" s="69">
        <v>600.23239539464305</v>
      </c>
      <c r="AL13" s="69">
        <v>4787.3742457071949</v>
      </c>
      <c r="AM13" s="69">
        <v>2857.6895117441813</v>
      </c>
      <c r="AN13" s="69">
        <v>594.55346555709832</v>
      </c>
      <c r="AO13" s="69">
        <v>2592.8124670664465</v>
      </c>
      <c r="AP13" s="69">
        <v>424.70808402697247</v>
      </c>
      <c r="AQ13" s="69">
        <v>848.13511107762645</v>
      </c>
    </row>
    <row r="14" spans="1:47" x14ac:dyDescent="0.25">
      <c r="A14" s="11">
        <v>41432</v>
      </c>
      <c r="B14" s="59"/>
      <c r="C14" s="60">
        <v>128.6582251707714</v>
      </c>
      <c r="D14" s="60">
        <v>2093.6341369628913</v>
      </c>
      <c r="E14" s="60">
        <v>21.146667142709109</v>
      </c>
      <c r="F14" s="60">
        <v>0</v>
      </c>
      <c r="G14" s="60">
        <v>6159.2410873412982</v>
      </c>
      <c r="H14" s="61">
        <v>91.586039872963738</v>
      </c>
      <c r="I14" s="59">
        <v>429.88508982658414</v>
      </c>
      <c r="J14" s="60">
        <v>909.32387434641464</v>
      </c>
      <c r="K14" s="60">
        <v>27.360618082682194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439.56938881739563</v>
      </c>
      <c r="V14" s="62">
        <v>194.39420642457242</v>
      </c>
      <c r="W14" s="62">
        <v>37.20583149521395</v>
      </c>
      <c r="X14" s="62">
        <v>16.453825657279832</v>
      </c>
      <c r="Y14" s="66">
        <v>165.63746599668366</v>
      </c>
      <c r="Z14" s="66">
        <v>73.251151185094017</v>
      </c>
      <c r="AA14" s="67">
        <v>0</v>
      </c>
      <c r="AB14" s="68">
        <v>227.86288380093131</v>
      </c>
      <c r="AC14" s="69">
        <v>0</v>
      </c>
      <c r="AD14" s="69">
        <v>22.868808180756076</v>
      </c>
      <c r="AE14" s="68">
        <v>15.687233103306582</v>
      </c>
      <c r="AF14" s="68">
        <v>6.9374877043164211</v>
      </c>
      <c r="AG14" s="68">
        <v>0.69336692535101008</v>
      </c>
      <c r="AH14" s="69">
        <v>260.97453735669455</v>
      </c>
      <c r="AI14" s="69">
        <v>843.95160373051954</v>
      </c>
      <c r="AJ14" s="69">
        <v>3215.6915748596198</v>
      </c>
      <c r="AK14" s="69">
        <v>614.26284796396897</v>
      </c>
      <c r="AL14" s="69">
        <v>5099.168628946938</v>
      </c>
      <c r="AM14" s="69">
        <v>3058.1354048411054</v>
      </c>
      <c r="AN14" s="69">
        <v>620.11824051539099</v>
      </c>
      <c r="AO14" s="69">
        <v>2687.4461989084884</v>
      </c>
      <c r="AP14" s="69">
        <v>454.18889392216994</v>
      </c>
      <c r="AQ14" s="69">
        <v>863.31853577295942</v>
      </c>
    </row>
    <row r="15" spans="1:47" x14ac:dyDescent="0.25">
      <c r="A15" s="11">
        <v>41433</v>
      </c>
      <c r="B15" s="59"/>
      <c r="C15" s="60">
        <v>159.83196021715747</v>
      </c>
      <c r="D15" s="60">
        <v>2317.8827897389756</v>
      </c>
      <c r="E15" s="60">
        <v>23.283218296368869</v>
      </c>
      <c r="F15" s="60">
        <v>0</v>
      </c>
      <c r="G15" s="60">
        <v>6922.5486155191993</v>
      </c>
      <c r="H15" s="61">
        <v>101.08103717962825</v>
      </c>
      <c r="I15" s="59">
        <v>434.86711095174121</v>
      </c>
      <c r="J15" s="60">
        <v>906.77589168548582</v>
      </c>
      <c r="K15" s="60">
        <v>27.253934897979157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430.45992342322614</v>
      </c>
      <c r="V15" s="62">
        <v>217.82627326425504</v>
      </c>
      <c r="W15" s="62">
        <v>37.160847744434001</v>
      </c>
      <c r="X15" s="62">
        <v>18.80455888004207</v>
      </c>
      <c r="Y15" s="66">
        <v>158.93787206518596</v>
      </c>
      <c r="Z15" s="66">
        <v>80.427567047795421</v>
      </c>
      <c r="AA15" s="67">
        <v>0</v>
      </c>
      <c r="AB15" s="68">
        <v>227.76200773450739</v>
      </c>
      <c r="AC15" s="69">
        <v>0</v>
      </c>
      <c r="AD15" s="69">
        <v>23.943200336562288</v>
      </c>
      <c r="AE15" s="68">
        <v>15.726685851431002</v>
      </c>
      <c r="AF15" s="68">
        <v>7.9581981583144605</v>
      </c>
      <c r="AG15" s="68">
        <v>0.66399674344869264</v>
      </c>
      <c r="AH15" s="69">
        <v>232.50545310974124</v>
      </c>
      <c r="AI15" s="69">
        <v>816.5157618840534</v>
      </c>
      <c r="AJ15" s="69">
        <v>3245.1710280100506</v>
      </c>
      <c r="AK15" s="69">
        <v>614.45395793914781</v>
      </c>
      <c r="AL15" s="69">
        <v>5141.5115529378254</v>
      </c>
      <c r="AM15" s="69">
        <v>3294.1226119995122</v>
      </c>
      <c r="AN15" s="69">
        <v>632.14469677607224</v>
      </c>
      <c r="AO15" s="69">
        <v>2980.6432725270588</v>
      </c>
      <c r="AP15" s="69">
        <v>470.18278511365253</v>
      </c>
      <c r="AQ15" s="69">
        <v>921.81142492294305</v>
      </c>
    </row>
    <row r="16" spans="1:47" x14ac:dyDescent="0.25">
      <c r="A16" s="11">
        <v>41434</v>
      </c>
      <c r="B16" s="59"/>
      <c r="C16" s="60">
        <v>184.70725657145036</v>
      </c>
      <c r="D16" s="60">
        <v>2328.2166680653859</v>
      </c>
      <c r="E16" s="60">
        <v>24.979433172941192</v>
      </c>
      <c r="F16" s="60">
        <v>0</v>
      </c>
      <c r="G16" s="60">
        <v>6953.3049931844025</v>
      </c>
      <c r="H16" s="61">
        <v>101.39974041779779</v>
      </c>
      <c r="I16" s="59">
        <v>471.28478180567345</v>
      </c>
      <c r="J16" s="60">
        <v>1056.1238838195802</v>
      </c>
      <c r="K16" s="60">
        <v>28.534676295518832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415.94075357675047</v>
      </c>
      <c r="V16" s="62">
        <v>212.34317239099289</v>
      </c>
      <c r="W16" s="62">
        <v>35.697022666685641</v>
      </c>
      <c r="X16" s="62">
        <v>18.223795030362481</v>
      </c>
      <c r="Y16" s="66">
        <v>144.6511601238889</v>
      </c>
      <c r="Z16" s="66">
        <v>73.846301346079372</v>
      </c>
      <c r="AA16" s="67">
        <v>0</v>
      </c>
      <c r="AB16" s="68">
        <v>227.90320552190403</v>
      </c>
      <c r="AC16" s="69">
        <v>0</v>
      </c>
      <c r="AD16" s="69">
        <v>23.609304581748102</v>
      </c>
      <c r="AE16" s="68">
        <v>15.394281476734959</v>
      </c>
      <c r="AF16" s="68">
        <v>7.8589812066747147</v>
      </c>
      <c r="AG16" s="68">
        <v>0.66202673088616504</v>
      </c>
      <c r="AH16" s="69">
        <v>230.77919745445251</v>
      </c>
      <c r="AI16" s="69">
        <v>786.91914803187024</v>
      </c>
      <c r="AJ16" s="69">
        <v>3321.6526822408041</v>
      </c>
      <c r="AK16" s="69">
        <v>618.59910335540769</v>
      </c>
      <c r="AL16" s="69">
        <v>5383.1777966817217</v>
      </c>
      <c r="AM16" s="69">
        <v>3276.0927982330322</v>
      </c>
      <c r="AN16" s="69">
        <v>641.39623864491773</v>
      </c>
      <c r="AO16" s="69">
        <v>2975.6713003794357</v>
      </c>
      <c r="AP16" s="69">
        <v>461.52070700327562</v>
      </c>
      <c r="AQ16" s="69">
        <v>875.13168824513752</v>
      </c>
    </row>
    <row r="17" spans="1:43" x14ac:dyDescent="0.25">
      <c r="A17" s="11">
        <v>41435</v>
      </c>
      <c r="B17" s="49"/>
      <c r="C17" s="50">
        <v>214.87685068448204</v>
      </c>
      <c r="D17" s="50">
        <v>2380.7422949473062</v>
      </c>
      <c r="E17" s="50">
        <v>27.304698568582573</v>
      </c>
      <c r="F17" s="50">
        <v>0</v>
      </c>
      <c r="G17" s="50">
        <v>6953.9597900390845</v>
      </c>
      <c r="H17" s="51">
        <v>94.701248383522113</v>
      </c>
      <c r="I17" s="49">
        <v>492.2934874534609</v>
      </c>
      <c r="J17" s="50">
        <v>1183.9078189214063</v>
      </c>
      <c r="K17" s="50">
        <v>28.522176967064429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445.54561710543987</v>
      </c>
      <c r="V17" s="66">
        <v>216.28340646769391</v>
      </c>
      <c r="W17" s="62">
        <v>37.749171672116802</v>
      </c>
      <c r="X17" s="62">
        <v>18.324766594319417</v>
      </c>
      <c r="Y17" s="66">
        <v>153.52125727480623</v>
      </c>
      <c r="Z17" s="66">
        <v>74.524581128895861</v>
      </c>
      <c r="AA17" s="67">
        <v>0</v>
      </c>
      <c r="AB17" s="68">
        <v>227.63366905847911</v>
      </c>
      <c r="AC17" s="69">
        <v>0</v>
      </c>
      <c r="AD17" s="69">
        <v>24.927731234497518</v>
      </c>
      <c r="AE17" s="68">
        <v>16.48320136411736</v>
      </c>
      <c r="AF17" s="68">
        <v>8.0015217379650725</v>
      </c>
      <c r="AG17" s="68">
        <v>0.6732035030739415</v>
      </c>
      <c r="AH17" s="69">
        <v>255.7914524714152</v>
      </c>
      <c r="AI17" s="69">
        <v>816.03982810974139</v>
      </c>
      <c r="AJ17" s="69">
        <v>3411.1395137786867</v>
      </c>
      <c r="AK17" s="69">
        <v>632.50411609013884</v>
      </c>
      <c r="AL17" s="69">
        <v>5646.0837153116854</v>
      </c>
      <c r="AM17" s="69">
        <v>3179.4772481282553</v>
      </c>
      <c r="AN17" s="69">
        <v>727.46383794148767</v>
      </c>
      <c r="AO17" s="69">
        <v>3162.0826437632245</v>
      </c>
      <c r="AP17" s="69">
        <v>503.73599055608111</v>
      </c>
      <c r="AQ17" s="69">
        <v>1026.8568788528444</v>
      </c>
    </row>
    <row r="18" spans="1:43" x14ac:dyDescent="0.25">
      <c r="A18" s="11">
        <v>41436</v>
      </c>
      <c r="B18" s="59"/>
      <c r="C18" s="60">
        <v>208.12167712052576</v>
      </c>
      <c r="D18" s="60">
        <v>2379.3548280080172</v>
      </c>
      <c r="E18" s="60">
        <v>27.390546325842521</v>
      </c>
      <c r="F18" s="60">
        <v>0</v>
      </c>
      <c r="G18" s="60">
        <v>6811.0745005289791</v>
      </c>
      <c r="H18" s="61">
        <v>81.133809387683627</v>
      </c>
      <c r="I18" s="59">
        <v>486.88902018864957</v>
      </c>
      <c r="J18" s="60">
        <v>1162.6033231735239</v>
      </c>
      <c r="K18" s="60">
        <v>27.861331305901153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436.17684564001883</v>
      </c>
      <c r="V18" s="62">
        <v>218.03895809974202</v>
      </c>
      <c r="W18" s="62">
        <v>36.72044909216266</v>
      </c>
      <c r="X18" s="62">
        <v>18.356060256388758</v>
      </c>
      <c r="Y18" s="66">
        <v>163.53956698109099</v>
      </c>
      <c r="Z18" s="66">
        <v>81.751237254049371</v>
      </c>
      <c r="AA18" s="67">
        <v>0</v>
      </c>
      <c r="AB18" s="68">
        <v>227.58524853388533</v>
      </c>
      <c r="AC18" s="69">
        <v>0</v>
      </c>
      <c r="AD18" s="69">
        <v>24.396610572602988</v>
      </c>
      <c r="AE18" s="68">
        <v>16.003272901680276</v>
      </c>
      <c r="AF18" s="68">
        <v>7.9998215965548711</v>
      </c>
      <c r="AG18" s="68">
        <v>0.66671707278646652</v>
      </c>
      <c r="AH18" s="69">
        <v>269.73521321614589</v>
      </c>
      <c r="AI18" s="69">
        <v>890.13174212773663</v>
      </c>
      <c r="AJ18" s="69">
        <v>3487.3080234527592</v>
      </c>
      <c r="AK18" s="69">
        <v>631.84778321584054</v>
      </c>
      <c r="AL18" s="69">
        <v>5871.8480056762692</v>
      </c>
      <c r="AM18" s="69">
        <v>3121.4152250925695</v>
      </c>
      <c r="AN18" s="69">
        <v>759.75186052322385</v>
      </c>
      <c r="AO18" s="69">
        <v>3070.586938349406</v>
      </c>
      <c r="AP18" s="69">
        <v>502.22011734644576</v>
      </c>
      <c r="AQ18" s="69">
        <v>1177.4445607503253</v>
      </c>
    </row>
    <row r="19" spans="1:43" x14ac:dyDescent="0.25">
      <c r="A19" s="11">
        <v>41437</v>
      </c>
      <c r="B19" s="59"/>
      <c r="C19" s="60">
        <v>222.5641816616041</v>
      </c>
      <c r="D19" s="60">
        <v>2395.3540958404478</v>
      </c>
      <c r="E19" s="60">
        <v>27.868085618813776</v>
      </c>
      <c r="F19" s="60">
        <v>0</v>
      </c>
      <c r="G19" s="60">
        <v>6821.9927068074367</v>
      </c>
      <c r="H19" s="61">
        <v>81.744818989435814</v>
      </c>
      <c r="I19" s="59">
        <v>502.48350105285664</v>
      </c>
      <c r="J19" s="60">
        <v>1162.2864778518676</v>
      </c>
      <c r="K19" s="60">
        <v>27.616768620411509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434.51352860908958</v>
      </c>
      <c r="V19" s="62">
        <v>208.02478254389757</v>
      </c>
      <c r="W19" s="62">
        <v>36.645338723800023</v>
      </c>
      <c r="X19" s="62">
        <v>17.544076576092369</v>
      </c>
      <c r="Y19" s="66">
        <v>169.66652187479099</v>
      </c>
      <c r="Z19" s="66">
        <v>81.228406008356686</v>
      </c>
      <c r="AA19" s="67">
        <v>0</v>
      </c>
      <c r="AB19" s="68">
        <v>227.57449433008352</v>
      </c>
      <c r="AC19" s="69">
        <v>0</v>
      </c>
      <c r="AD19" s="69">
        <v>23.90228146645757</v>
      </c>
      <c r="AE19" s="68">
        <v>15.895948515509055</v>
      </c>
      <c r="AF19" s="68">
        <v>7.6102376923750121</v>
      </c>
      <c r="AG19" s="68">
        <v>0.67624532431286066</v>
      </c>
      <c r="AH19" s="69">
        <v>311.72170885403955</v>
      </c>
      <c r="AI19" s="69">
        <v>945.03106740315752</v>
      </c>
      <c r="AJ19" s="69">
        <v>3440.7991645812986</v>
      </c>
      <c r="AK19" s="69">
        <v>625.51950394312541</v>
      </c>
      <c r="AL19" s="69">
        <v>6163.5828595479325</v>
      </c>
      <c r="AM19" s="69">
        <v>3078.6956202189126</v>
      </c>
      <c r="AN19" s="69">
        <v>758.80092302958167</v>
      </c>
      <c r="AO19" s="69">
        <v>3052.9591204325361</v>
      </c>
      <c r="AP19" s="69">
        <v>481.51437560717261</v>
      </c>
      <c r="AQ19" s="69">
        <v>963.3566915194192</v>
      </c>
    </row>
    <row r="20" spans="1:43" x14ac:dyDescent="0.25">
      <c r="A20" s="11">
        <v>41438</v>
      </c>
      <c r="B20" s="59"/>
      <c r="C20" s="60">
        <v>221.25052181879474</v>
      </c>
      <c r="D20" s="60">
        <v>2354.2359563191735</v>
      </c>
      <c r="E20" s="60">
        <v>27.790103308359736</v>
      </c>
      <c r="F20" s="60">
        <v>0</v>
      </c>
      <c r="G20" s="60">
        <v>6645.546196492488</v>
      </c>
      <c r="H20" s="61">
        <v>81.458755425611926</v>
      </c>
      <c r="I20" s="59">
        <v>515.63850752512576</v>
      </c>
      <c r="J20" s="60">
        <v>1293.9864938735932</v>
      </c>
      <c r="K20" s="60">
        <v>29.13209554950387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450.81572125191161</v>
      </c>
      <c r="V20" s="62">
        <v>220.40520630444274</v>
      </c>
      <c r="W20" s="62">
        <v>38.346305805185274</v>
      </c>
      <c r="X20" s="62">
        <v>18.747628007591967</v>
      </c>
      <c r="Y20" s="66">
        <v>171.08332045497602</v>
      </c>
      <c r="Z20" s="66">
        <v>83.643166736541986</v>
      </c>
      <c r="AA20" s="67">
        <v>0</v>
      </c>
      <c r="AB20" s="68">
        <v>227.74024188783616</v>
      </c>
      <c r="AC20" s="69">
        <v>0</v>
      </c>
      <c r="AD20" s="69">
        <v>24.326355434126366</v>
      </c>
      <c r="AE20" s="68">
        <v>16.155567917200944</v>
      </c>
      <c r="AF20" s="68">
        <v>7.8985073321486601</v>
      </c>
      <c r="AG20" s="68">
        <v>0.67163537777814897</v>
      </c>
      <c r="AH20" s="69">
        <v>263.60048419634501</v>
      </c>
      <c r="AI20" s="69">
        <v>880.41033124923706</v>
      </c>
      <c r="AJ20" s="69">
        <v>3384.1148592631021</v>
      </c>
      <c r="AK20" s="69">
        <v>627.10337848663335</v>
      </c>
      <c r="AL20" s="69">
        <v>5663.3862740834566</v>
      </c>
      <c r="AM20" s="69">
        <v>3187.7530810038256</v>
      </c>
      <c r="AN20" s="69">
        <v>708.35037282307928</v>
      </c>
      <c r="AO20" s="69">
        <v>3045.4629306793213</v>
      </c>
      <c r="AP20" s="69">
        <v>494.26119502385455</v>
      </c>
      <c r="AQ20" s="69">
        <v>942.34555877049786</v>
      </c>
    </row>
    <row r="21" spans="1:43" x14ac:dyDescent="0.25">
      <c r="A21" s="11">
        <v>41439</v>
      </c>
      <c r="B21" s="59"/>
      <c r="C21" s="60">
        <v>216.29163786570035</v>
      </c>
      <c r="D21" s="60">
        <v>2337.6054868062261</v>
      </c>
      <c r="E21" s="60">
        <v>27.582397838433568</v>
      </c>
      <c r="F21" s="60">
        <v>0</v>
      </c>
      <c r="G21" s="60">
        <v>6837.8088389078684</v>
      </c>
      <c r="H21" s="61">
        <v>81.552212639649724</v>
      </c>
      <c r="I21" s="59">
        <v>505.997173213959</v>
      </c>
      <c r="J21" s="60">
        <v>1277.2352443695031</v>
      </c>
      <c r="K21" s="60">
        <v>28.309887959559621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459.7290554712111</v>
      </c>
      <c r="V21" s="62">
        <v>222.87598251469484</v>
      </c>
      <c r="W21" s="62">
        <v>38.976006172073106</v>
      </c>
      <c r="X21" s="62">
        <v>18.895511533844275</v>
      </c>
      <c r="Y21" s="66">
        <v>174.49237572094307</v>
      </c>
      <c r="Z21" s="66">
        <v>84.593651885384972</v>
      </c>
      <c r="AA21" s="67">
        <v>0</v>
      </c>
      <c r="AB21" s="68">
        <v>227.75820077260519</v>
      </c>
      <c r="AC21" s="69">
        <v>0</v>
      </c>
      <c r="AD21" s="69">
        <v>24.769293975830116</v>
      </c>
      <c r="AE21" s="68">
        <v>16.501567172457047</v>
      </c>
      <c r="AF21" s="68">
        <v>7.9999359466717612</v>
      </c>
      <c r="AG21" s="68">
        <v>0.67349203402847335</v>
      </c>
      <c r="AH21" s="69">
        <v>316.74901601473488</v>
      </c>
      <c r="AI21" s="69">
        <v>938.2170988082886</v>
      </c>
      <c r="AJ21" s="69">
        <v>3413.826816431681</v>
      </c>
      <c r="AK21" s="69">
        <v>622.82015285491946</v>
      </c>
      <c r="AL21" s="69">
        <v>6395.5051946004232</v>
      </c>
      <c r="AM21" s="69">
        <v>3179.6091284433996</v>
      </c>
      <c r="AN21" s="69">
        <v>689.45833981831868</v>
      </c>
      <c r="AO21" s="69">
        <v>2980.5344098409018</v>
      </c>
      <c r="AP21" s="69">
        <v>497.9325807253519</v>
      </c>
      <c r="AQ21" s="69">
        <v>980.14050728480026</v>
      </c>
    </row>
    <row r="22" spans="1:43" x14ac:dyDescent="0.25">
      <c r="A22" s="11">
        <v>41440</v>
      </c>
      <c r="B22" s="59"/>
      <c r="C22" s="60">
        <v>216.41027936935237</v>
      </c>
      <c r="D22" s="60">
        <v>2337.7509651184114</v>
      </c>
      <c r="E22" s="60">
        <v>27.538657909631716</v>
      </c>
      <c r="F22" s="60">
        <v>0</v>
      </c>
      <c r="G22" s="60">
        <v>6836.7995605469141</v>
      </c>
      <c r="H22" s="61">
        <v>81.607592538992421</v>
      </c>
      <c r="I22" s="59">
        <v>510.19097817738873</v>
      </c>
      <c r="J22" s="60">
        <v>1277.8224936803183</v>
      </c>
      <c r="K22" s="60">
        <v>28.372007461388797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459.93840588451712</v>
      </c>
      <c r="V22" s="62">
        <v>222.99116395326186</v>
      </c>
      <c r="W22" s="62">
        <v>39.37544270988198</v>
      </c>
      <c r="X22" s="62">
        <v>19.090329680483713</v>
      </c>
      <c r="Y22" s="66">
        <v>174.31977559335192</v>
      </c>
      <c r="Z22" s="66">
        <v>84.515163687793901</v>
      </c>
      <c r="AA22" s="67">
        <v>0</v>
      </c>
      <c r="AB22" s="68">
        <v>227.82146027882547</v>
      </c>
      <c r="AC22" s="69">
        <v>0</v>
      </c>
      <c r="AD22" s="69">
        <v>24.769816335042339</v>
      </c>
      <c r="AE22" s="68">
        <v>16.500741845137309</v>
      </c>
      <c r="AF22" s="68">
        <v>8.0000269233079209</v>
      </c>
      <c r="AG22" s="68">
        <v>0.6734785345343437</v>
      </c>
      <c r="AH22" s="69">
        <v>251.4715323607127</v>
      </c>
      <c r="AI22" s="69">
        <v>847.20755720138561</v>
      </c>
      <c r="AJ22" s="69">
        <v>3387.8289417266847</v>
      </c>
      <c r="AK22" s="69">
        <v>620.36985537211092</v>
      </c>
      <c r="AL22" s="69">
        <v>6002.9211832682295</v>
      </c>
      <c r="AM22" s="69">
        <v>3123.1596104939786</v>
      </c>
      <c r="AN22" s="69">
        <v>604.62253732681268</v>
      </c>
      <c r="AO22" s="69">
        <v>3021.0683879852295</v>
      </c>
      <c r="AP22" s="69">
        <v>472.53249424298605</v>
      </c>
      <c r="AQ22" s="69">
        <v>885.36398070653297</v>
      </c>
    </row>
    <row r="23" spans="1:43" x14ac:dyDescent="0.25">
      <c r="A23" s="11">
        <v>41441</v>
      </c>
      <c r="B23" s="59"/>
      <c r="C23" s="60">
        <v>215.33012348810661</v>
      </c>
      <c r="D23" s="60">
        <v>2238.20900993347</v>
      </c>
      <c r="E23" s="60">
        <v>27.505326855182631</v>
      </c>
      <c r="F23" s="60">
        <v>0</v>
      </c>
      <c r="G23" s="60">
        <v>6589.036745707177</v>
      </c>
      <c r="H23" s="61">
        <v>81.312503770987007</v>
      </c>
      <c r="I23" s="59">
        <v>518.77253859837845</v>
      </c>
      <c r="J23" s="60">
        <v>1297.8347780227643</v>
      </c>
      <c r="K23" s="60">
        <v>28.391720995306958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450.24930623196212</v>
      </c>
      <c r="V23" s="62">
        <v>218.67756345712439</v>
      </c>
      <c r="W23" s="62">
        <v>38.625744856324701</v>
      </c>
      <c r="X23" s="62">
        <v>18.759792974663863</v>
      </c>
      <c r="Y23" s="66">
        <v>178.38401827053451</v>
      </c>
      <c r="Z23" s="66">
        <v>86.637740325567492</v>
      </c>
      <c r="AA23" s="67">
        <v>0</v>
      </c>
      <c r="AB23" s="68">
        <v>227.82391287485592</v>
      </c>
      <c r="AC23" s="69">
        <v>0</v>
      </c>
      <c r="AD23" s="69">
        <v>24.625573443041905</v>
      </c>
      <c r="AE23" s="68">
        <v>16.363352448944084</v>
      </c>
      <c r="AF23" s="68">
        <v>7.9473704767504394</v>
      </c>
      <c r="AG23" s="68">
        <v>0.67309197258174946</v>
      </c>
      <c r="AH23" s="69">
        <v>204.87004354000092</v>
      </c>
      <c r="AI23" s="69">
        <v>791.74316622416188</v>
      </c>
      <c r="AJ23" s="69">
        <v>3368.5952743530274</v>
      </c>
      <c r="AK23" s="69">
        <v>618.90204683939623</v>
      </c>
      <c r="AL23" s="69">
        <v>5635.785928344726</v>
      </c>
      <c r="AM23" s="69">
        <v>3151.7317137400314</v>
      </c>
      <c r="AN23" s="69">
        <v>641.26909561157231</v>
      </c>
      <c r="AO23" s="69">
        <v>3094.5361125946047</v>
      </c>
      <c r="AP23" s="69">
        <v>494.78230861028032</v>
      </c>
      <c r="AQ23" s="69">
        <v>901.40590454737344</v>
      </c>
    </row>
    <row r="24" spans="1:43" x14ac:dyDescent="0.25">
      <c r="A24" s="11">
        <v>41442</v>
      </c>
      <c r="B24" s="59"/>
      <c r="C24" s="60">
        <v>215.32948075930074</v>
      </c>
      <c r="D24" s="60">
        <v>2226.8599478403703</v>
      </c>
      <c r="E24" s="60">
        <v>27.480826232830676</v>
      </c>
      <c r="F24" s="60">
        <v>0</v>
      </c>
      <c r="G24" s="60">
        <v>6454.7428487142097</v>
      </c>
      <c r="H24" s="61">
        <v>81.392638627688058</v>
      </c>
      <c r="I24" s="59">
        <v>503.15395832061802</v>
      </c>
      <c r="J24" s="60">
        <v>1259.8782487869294</v>
      </c>
      <c r="K24" s="60">
        <v>28.327973053852809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424.31210249301785</v>
      </c>
      <c r="V24" s="62">
        <v>209.26377456946568</v>
      </c>
      <c r="W24" s="62">
        <v>36.522617424375191</v>
      </c>
      <c r="X24" s="62">
        <v>18.012356316202542</v>
      </c>
      <c r="Y24" s="66">
        <v>171.45126644398272</v>
      </c>
      <c r="Z24" s="66">
        <v>84.556954562410553</v>
      </c>
      <c r="AA24" s="67">
        <v>0</v>
      </c>
      <c r="AB24" s="68">
        <v>227.91833086013673</v>
      </c>
      <c r="AC24" s="69">
        <v>0</v>
      </c>
      <c r="AD24" s="69">
        <v>23.720414909389273</v>
      </c>
      <c r="AE24" s="68">
        <v>15.585523754541658</v>
      </c>
      <c r="AF24" s="68">
        <v>7.6865248725049691</v>
      </c>
      <c r="AG24" s="68">
        <v>0.66971000294440186</v>
      </c>
      <c r="AH24" s="69">
        <v>273.97361415227255</v>
      </c>
      <c r="AI24" s="69">
        <v>840.26468896865856</v>
      </c>
      <c r="AJ24" s="69">
        <v>3375.8970968882245</v>
      </c>
      <c r="AK24" s="69">
        <v>621.01397590637202</v>
      </c>
      <c r="AL24" s="69">
        <v>5803.3021113077803</v>
      </c>
      <c r="AM24" s="69">
        <v>2979.1528238932292</v>
      </c>
      <c r="AN24" s="69">
        <v>640.05630448659258</v>
      </c>
      <c r="AO24" s="69">
        <v>3187.8309012095133</v>
      </c>
      <c r="AP24" s="69">
        <v>415.95009687741594</v>
      </c>
      <c r="AQ24" s="69">
        <v>910.57211147944133</v>
      </c>
    </row>
    <row r="25" spans="1:43" x14ac:dyDescent="0.25">
      <c r="A25" s="11">
        <v>41443</v>
      </c>
      <c r="B25" s="59"/>
      <c r="C25" s="60">
        <v>215.02934390703683</v>
      </c>
      <c r="D25" s="60">
        <v>2221.6332283019992</v>
      </c>
      <c r="E25" s="60">
        <v>27.481532396872808</v>
      </c>
      <c r="F25" s="60">
        <v>0</v>
      </c>
      <c r="G25" s="60">
        <v>6488.127160644548</v>
      </c>
      <c r="H25" s="61">
        <v>81.219063425064149</v>
      </c>
      <c r="I25" s="59">
        <v>490.39143336613944</v>
      </c>
      <c r="J25" s="60">
        <v>1211.1635608673114</v>
      </c>
      <c r="K25" s="60">
        <v>30.243638273080151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418.92589981750842</v>
      </c>
      <c r="V25" s="62">
        <v>216.14325623582062</v>
      </c>
      <c r="W25" s="62">
        <v>35.583097363349843</v>
      </c>
      <c r="X25" s="62">
        <v>18.358966429196748</v>
      </c>
      <c r="Y25" s="66">
        <v>170.15227519444346</v>
      </c>
      <c r="Z25" s="66">
        <v>87.789432051065091</v>
      </c>
      <c r="AA25" s="67">
        <v>0</v>
      </c>
      <c r="AB25" s="68">
        <v>227.95020438299926</v>
      </c>
      <c r="AC25" s="69">
        <v>0</v>
      </c>
      <c r="AD25" s="69">
        <v>23.887392189767592</v>
      </c>
      <c r="AE25" s="68">
        <v>15.502703278550273</v>
      </c>
      <c r="AF25" s="68">
        <v>7.9985619617771508</v>
      </c>
      <c r="AG25" s="68">
        <v>0.65965398543513853</v>
      </c>
      <c r="AH25" s="69">
        <v>237.08399901390075</v>
      </c>
      <c r="AI25" s="69">
        <v>801.47671883900966</v>
      </c>
      <c r="AJ25" s="69">
        <v>3392.6543145497644</v>
      </c>
      <c r="AK25" s="69">
        <v>625.48829708099379</v>
      </c>
      <c r="AL25" s="69">
        <v>6013.4424270629879</v>
      </c>
      <c r="AM25" s="69">
        <v>3006.3512646993004</v>
      </c>
      <c r="AN25" s="69">
        <v>660.65933602650955</v>
      </c>
      <c r="AO25" s="69">
        <v>2884.4344024658203</v>
      </c>
      <c r="AP25" s="69">
        <v>406.53964265187585</v>
      </c>
      <c r="AQ25" s="69">
        <v>910.57759777704871</v>
      </c>
    </row>
    <row r="26" spans="1:43" x14ac:dyDescent="0.25">
      <c r="A26" s="11">
        <v>41444</v>
      </c>
      <c r="B26" s="59"/>
      <c r="C26" s="60">
        <v>214.65540630022511</v>
      </c>
      <c r="D26" s="60">
        <v>2203.0076493581109</v>
      </c>
      <c r="E26" s="60">
        <v>27.517419314384444</v>
      </c>
      <c r="F26" s="60">
        <v>0</v>
      </c>
      <c r="G26" s="60">
        <v>6438.8355534871516</v>
      </c>
      <c r="H26" s="61">
        <v>81.11996857722589</v>
      </c>
      <c r="I26" s="59">
        <v>531.19227943420344</v>
      </c>
      <c r="J26" s="60">
        <v>1241.740114084879</v>
      </c>
      <c r="K26" s="60">
        <v>31.545227309068135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441.38204710915443</v>
      </c>
      <c r="V26" s="62">
        <v>220.26505240697043</v>
      </c>
      <c r="W26" s="62">
        <v>37.235716922830143</v>
      </c>
      <c r="X26" s="62">
        <v>18.581922833372509</v>
      </c>
      <c r="Y26" s="66">
        <v>174.65249846758311</v>
      </c>
      <c r="Z26" s="66">
        <v>87.157694745243845</v>
      </c>
      <c r="AA26" s="67">
        <v>0</v>
      </c>
      <c r="AB26" s="68">
        <v>227.94550852246033</v>
      </c>
      <c r="AC26" s="69">
        <v>0</v>
      </c>
      <c r="AD26" s="69">
        <v>24.221153778500032</v>
      </c>
      <c r="AE26" s="68">
        <v>15.889239235752697</v>
      </c>
      <c r="AF26" s="68">
        <v>7.9292851530602491</v>
      </c>
      <c r="AG26" s="68">
        <v>0.66709586943242938</v>
      </c>
      <c r="AH26" s="69">
        <v>281.09379605452216</v>
      </c>
      <c r="AI26" s="69">
        <v>835.43518075942984</v>
      </c>
      <c r="AJ26" s="69">
        <v>3408.3415524800612</v>
      </c>
      <c r="AK26" s="69">
        <v>620.36894569396975</v>
      </c>
      <c r="AL26" s="69">
        <v>5686.3142206827788</v>
      </c>
      <c r="AM26" s="69">
        <v>3092.3221950531006</v>
      </c>
      <c r="AN26" s="69">
        <v>672.48913504282632</v>
      </c>
      <c r="AO26" s="69">
        <v>2844.9537887573247</v>
      </c>
      <c r="AP26" s="69">
        <v>405.74678983688369</v>
      </c>
      <c r="AQ26" s="69">
        <v>930.57193813323966</v>
      </c>
    </row>
    <row r="27" spans="1:43" x14ac:dyDescent="0.25">
      <c r="A27" s="11">
        <v>41445</v>
      </c>
      <c r="B27" s="59"/>
      <c r="C27" s="60">
        <v>209.38767704963516</v>
      </c>
      <c r="D27" s="60">
        <v>2165.3188704172794</v>
      </c>
      <c r="E27" s="60">
        <v>27.048259210586608</v>
      </c>
      <c r="F27" s="60">
        <v>0</v>
      </c>
      <c r="G27" s="60">
        <v>6432.9055806478018</v>
      </c>
      <c r="H27" s="61">
        <v>79.086592654387061</v>
      </c>
      <c r="I27" s="59">
        <v>552.60930636723947</v>
      </c>
      <c r="J27" s="60">
        <v>1275.5414379755655</v>
      </c>
      <c r="K27" s="60">
        <v>32.359207314252849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445.42658345342863</v>
      </c>
      <c r="V27" s="62">
        <v>215.86581434235589</v>
      </c>
      <c r="W27" s="62">
        <v>37.9503089180849</v>
      </c>
      <c r="X27" s="62">
        <v>18.391749939197098</v>
      </c>
      <c r="Y27" s="62">
        <v>175.23923671907602</v>
      </c>
      <c r="Z27" s="62">
        <v>84.925691335733504</v>
      </c>
      <c r="AA27" s="72">
        <v>0</v>
      </c>
      <c r="AB27" s="69">
        <v>227.83754950629486</v>
      </c>
      <c r="AC27" s="69">
        <v>0</v>
      </c>
      <c r="AD27" s="69">
        <v>24.081708599461439</v>
      </c>
      <c r="AE27" s="69">
        <v>15.989797906863981</v>
      </c>
      <c r="AF27" s="69">
        <v>7.7490901409025961</v>
      </c>
      <c r="AG27" s="69">
        <v>0.67356979293595631</v>
      </c>
      <c r="AH27" s="69">
        <v>263.751158285141</v>
      </c>
      <c r="AI27" s="69">
        <v>806.74110053380332</v>
      </c>
      <c r="AJ27" s="69">
        <v>3276.277661514282</v>
      </c>
      <c r="AK27" s="69">
        <v>620.6161559104919</v>
      </c>
      <c r="AL27" s="69">
        <v>5496.7758809407542</v>
      </c>
      <c r="AM27" s="69">
        <v>2982.7540350596105</v>
      </c>
      <c r="AN27" s="69">
        <v>720.81494763692217</v>
      </c>
      <c r="AO27" s="69">
        <v>2855.0771249135337</v>
      </c>
      <c r="AP27" s="69">
        <v>402.49575435320531</v>
      </c>
      <c r="AQ27" s="69">
        <v>995.71901744206718</v>
      </c>
    </row>
    <row r="28" spans="1:43" x14ac:dyDescent="0.25">
      <c r="A28" s="11">
        <v>41446</v>
      </c>
      <c r="B28" s="59"/>
      <c r="C28" s="60">
        <v>209.22341162363469</v>
      </c>
      <c r="D28" s="60">
        <v>2163.9201638539662</v>
      </c>
      <c r="E28" s="60">
        <v>27.090104883909284</v>
      </c>
      <c r="F28" s="60">
        <v>0</v>
      </c>
      <c r="G28" s="60">
        <v>6478.6966196695967</v>
      </c>
      <c r="H28" s="61">
        <v>78.984608769416681</v>
      </c>
      <c r="I28" s="59">
        <v>602.77826112111404</v>
      </c>
      <c r="J28" s="60">
        <v>1345.1778470357249</v>
      </c>
      <c r="K28" s="60">
        <v>34.217948718865756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469.14891995929423</v>
      </c>
      <c r="V28" s="62">
        <v>214.01463361770365</v>
      </c>
      <c r="W28" s="62">
        <v>39.905752124445343</v>
      </c>
      <c r="X28" s="62">
        <v>18.204059642497057</v>
      </c>
      <c r="Y28" s="66">
        <v>188.95705938794134</v>
      </c>
      <c r="Z28" s="66">
        <v>86.197738317073572</v>
      </c>
      <c r="AA28" s="67">
        <v>0</v>
      </c>
      <c r="AB28" s="68">
        <v>227.85443364249406</v>
      </c>
      <c r="AC28" s="69">
        <v>0</v>
      </c>
      <c r="AD28" s="69">
        <v>24.993535302744981</v>
      </c>
      <c r="AE28" s="68">
        <v>16.987188595356759</v>
      </c>
      <c r="AF28" s="68">
        <v>7.7491533898139364</v>
      </c>
      <c r="AG28" s="68">
        <v>0.68673001875299466</v>
      </c>
      <c r="AH28" s="69">
        <v>305.42851267655686</v>
      </c>
      <c r="AI28" s="69">
        <v>839.70839815139766</v>
      </c>
      <c r="AJ28" s="69">
        <v>3210.4636959075929</v>
      </c>
      <c r="AK28" s="69">
        <v>622.01228799819944</v>
      </c>
      <c r="AL28" s="69">
        <v>5399.8601585388187</v>
      </c>
      <c r="AM28" s="69">
        <v>2981.5062698364263</v>
      </c>
      <c r="AN28" s="69">
        <v>723.99049380620318</v>
      </c>
      <c r="AO28" s="69">
        <v>3042.1821285247806</v>
      </c>
      <c r="AP28" s="69">
        <v>410.62467247645054</v>
      </c>
      <c r="AQ28" s="69">
        <v>952.55290737152109</v>
      </c>
    </row>
    <row r="29" spans="1:43" x14ac:dyDescent="0.25">
      <c r="A29" s="11">
        <v>41447</v>
      </c>
      <c r="B29" s="59"/>
      <c r="C29" s="60">
        <v>209.9257050037366</v>
      </c>
      <c r="D29" s="60">
        <v>2169.5455427805614</v>
      </c>
      <c r="E29" s="60">
        <v>27.10164803067849</v>
      </c>
      <c r="F29" s="60">
        <v>0</v>
      </c>
      <c r="G29" s="60">
        <v>6595.3694900512301</v>
      </c>
      <c r="H29" s="61">
        <v>79.207178489367266</v>
      </c>
      <c r="I29" s="59">
        <v>601.71236248016191</v>
      </c>
      <c r="J29" s="60">
        <v>1333.3431327184055</v>
      </c>
      <c r="K29" s="60">
        <v>33.818390210469637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472.30482709398171</v>
      </c>
      <c r="V29" s="62">
        <v>214.18108450846282</v>
      </c>
      <c r="W29" s="62">
        <v>40.231146993716237</v>
      </c>
      <c r="X29" s="62">
        <v>18.244045370340711</v>
      </c>
      <c r="Y29" s="66">
        <v>214.64842237541367</v>
      </c>
      <c r="Z29" s="66">
        <v>97.338899064964707</v>
      </c>
      <c r="AA29" s="67">
        <v>0</v>
      </c>
      <c r="AB29" s="68">
        <v>227.89462415907201</v>
      </c>
      <c r="AC29" s="69">
        <v>0</v>
      </c>
      <c r="AD29" s="69">
        <v>25.269527606169312</v>
      </c>
      <c r="AE29" s="68">
        <v>17.198833442711269</v>
      </c>
      <c r="AF29" s="68">
        <v>7.7993376051338235</v>
      </c>
      <c r="AG29" s="68">
        <v>0.68800367074029822</v>
      </c>
      <c r="AH29" s="69">
        <v>288.41349234580991</v>
      </c>
      <c r="AI29" s="69">
        <v>840.74922602971378</v>
      </c>
      <c r="AJ29" s="69">
        <v>3424.3124056498209</v>
      </c>
      <c r="AK29" s="69">
        <v>621.7810618400573</v>
      </c>
      <c r="AL29" s="69">
        <v>5258.5295644124353</v>
      </c>
      <c r="AM29" s="69">
        <v>2952.6743817647293</v>
      </c>
      <c r="AN29" s="69">
        <v>702.45731690724699</v>
      </c>
      <c r="AO29" s="69">
        <v>3067.1380393981931</v>
      </c>
      <c r="AP29" s="69">
        <v>413.82151083946223</v>
      </c>
      <c r="AQ29" s="69">
        <v>907.74309431711845</v>
      </c>
    </row>
    <row r="30" spans="1:43" x14ac:dyDescent="0.25">
      <c r="A30" s="11">
        <v>41448</v>
      </c>
      <c r="B30" s="59"/>
      <c r="C30" s="60">
        <v>209.50656923452857</v>
      </c>
      <c r="D30" s="60">
        <v>2165.6436702728265</v>
      </c>
      <c r="E30" s="60">
        <v>27.116856529315346</v>
      </c>
      <c r="F30" s="60">
        <v>0</v>
      </c>
      <c r="G30" s="60">
        <v>6727.7063730875579</v>
      </c>
      <c r="H30" s="61">
        <v>79.088572466373407</v>
      </c>
      <c r="I30" s="59">
        <v>593.84273681640457</v>
      </c>
      <c r="J30" s="60">
        <v>1318.9301184336355</v>
      </c>
      <c r="K30" s="60">
        <v>33.514547469218599</v>
      </c>
      <c r="L30" s="60">
        <v>6.9709873199461439E-2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457.74150727271814</v>
      </c>
      <c r="V30" s="62">
        <v>207.73606218020103</v>
      </c>
      <c r="W30" s="62">
        <v>39.395803428080583</v>
      </c>
      <c r="X30" s="62">
        <v>17.878931537879559</v>
      </c>
      <c r="Y30" s="66">
        <v>210.04788291122838</v>
      </c>
      <c r="Z30" s="66">
        <v>95.325679170426383</v>
      </c>
      <c r="AA30" s="67">
        <v>0</v>
      </c>
      <c r="AB30" s="68">
        <v>228.05270788404823</v>
      </c>
      <c r="AC30" s="69">
        <v>0</v>
      </c>
      <c r="AD30" s="69">
        <v>24.52642595900431</v>
      </c>
      <c r="AE30" s="68">
        <v>16.662809247411193</v>
      </c>
      <c r="AF30" s="68">
        <v>7.5620548342685705</v>
      </c>
      <c r="AG30" s="68">
        <v>0.68783912228480026</v>
      </c>
      <c r="AH30" s="69">
        <v>220.04789671897888</v>
      </c>
      <c r="AI30" s="69">
        <v>751.58384116490686</v>
      </c>
      <c r="AJ30" s="69">
        <v>3432.7422533671065</v>
      </c>
      <c r="AK30" s="69">
        <v>618.94688466389971</v>
      </c>
      <c r="AL30" s="69">
        <v>5135.4450386047356</v>
      </c>
      <c r="AM30" s="69">
        <v>3015.0365951538088</v>
      </c>
      <c r="AN30" s="69">
        <v>677.54723726908344</v>
      </c>
      <c r="AO30" s="69">
        <v>2858.1938476562505</v>
      </c>
      <c r="AP30" s="69">
        <v>423.18088733355211</v>
      </c>
      <c r="AQ30" s="69">
        <v>858.47029943466202</v>
      </c>
    </row>
    <row r="31" spans="1:43" x14ac:dyDescent="0.25">
      <c r="A31" s="11">
        <v>41449</v>
      </c>
      <c r="B31" s="59"/>
      <c r="C31" s="60">
        <v>196.03439009189603</v>
      </c>
      <c r="D31" s="60">
        <v>2028.3188274383556</v>
      </c>
      <c r="E31" s="60">
        <v>25.24908685386184</v>
      </c>
      <c r="F31" s="60">
        <v>0</v>
      </c>
      <c r="G31" s="60">
        <v>6361.3178820291887</v>
      </c>
      <c r="H31" s="61">
        <v>74.145934700965782</v>
      </c>
      <c r="I31" s="59">
        <v>466.28251005808568</v>
      </c>
      <c r="J31" s="60">
        <v>1049.6191091855367</v>
      </c>
      <c r="K31" s="60">
        <v>25.840869883696346</v>
      </c>
      <c r="L31" s="60">
        <v>7.3193478584287847E-2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358.71531744621507</v>
      </c>
      <c r="V31" s="62">
        <v>201.51107402818559</v>
      </c>
      <c r="W31" s="62">
        <v>30.682498077538291</v>
      </c>
      <c r="X31" s="62">
        <v>17.236128040168019</v>
      </c>
      <c r="Y31" s="66">
        <v>161.65560370046634</v>
      </c>
      <c r="Z31" s="66">
        <v>90.811272170556194</v>
      </c>
      <c r="AA31" s="67">
        <v>0</v>
      </c>
      <c r="AB31" s="68">
        <v>228.04602974785885</v>
      </c>
      <c r="AC31" s="69">
        <v>0</v>
      </c>
      <c r="AD31" s="69">
        <v>20.320456741915773</v>
      </c>
      <c r="AE31" s="68">
        <v>12.760914018432395</v>
      </c>
      <c r="AF31" s="68">
        <v>7.1685410808285353</v>
      </c>
      <c r="AG31" s="68">
        <v>0.64030421077120292</v>
      </c>
      <c r="AH31" s="69">
        <v>281.44138792355858</v>
      </c>
      <c r="AI31" s="69">
        <v>826.6168149948121</v>
      </c>
      <c r="AJ31" s="69">
        <v>3416.9250287373857</v>
      </c>
      <c r="AK31" s="69">
        <v>596.91423765818274</v>
      </c>
      <c r="AL31" s="69">
        <v>5257.8805440266933</v>
      </c>
      <c r="AM31" s="69">
        <v>3166.0473078409832</v>
      </c>
      <c r="AN31" s="69">
        <v>673.1804421106973</v>
      </c>
      <c r="AO31" s="69">
        <v>2557.7804430643714</v>
      </c>
      <c r="AP31" s="69">
        <v>401.7654489994049</v>
      </c>
      <c r="AQ31" s="69">
        <v>890.14716002146383</v>
      </c>
    </row>
    <row r="32" spans="1:43" x14ac:dyDescent="0.25">
      <c r="A32" s="11">
        <v>41450</v>
      </c>
      <c r="B32" s="59"/>
      <c r="C32" s="60">
        <v>187.55134518941119</v>
      </c>
      <c r="D32" s="60">
        <v>1940.3016518910727</v>
      </c>
      <c r="E32" s="60">
        <v>23.777585403124533</v>
      </c>
      <c r="F32" s="60">
        <v>0</v>
      </c>
      <c r="G32" s="60">
        <v>5904.7885482787997</v>
      </c>
      <c r="H32" s="61">
        <v>70.831521419683924</v>
      </c>
      <c r="I32" s="59">
        <v>536.38486256599401</v>
      </c>
      <c r="J32" s="60">
        <v>1087.6824282646178</v>
      </c>
      <c r="K32" s="60">
        <v>26.81825924416383</v>
      </c>
      <c r="L32" s="60">
        <v>6.613211631774793E-2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369.63804057800138</v>
      </c>
      <c r="V32" s="62">
        <v>199.46413331200728</v>
      </c>
      <c r="W32" s="62">
        <v>31.539446724452798</v>
      </c>
      <c r="X32" s="62">
        <v>17.019320836665006</v>
      </c>
      <c r="Y32" s="66">
        <v>163.86793719214998</v>
      </c>
      <c r="Z32" s="66">
        <v>88.426440142762445</v>
      </c>
      <c r="AA32" s="67">
        <v>0</v>
      </c>
      <c r="AB32" s="68">
        <v>227.88850060568626</v>
      </c>
      <c r="AC32" s="69">
        <v>0</v>
      </c>
      <c r="AD32" s="69">
        <v>20.30605643788973</v>
      </c>
      <c r="AE32" s="68">
        <v>12.936550026844941</v>
      </c>
      <c r="AF32" s="68">
        <v>6.9808230103079358</v>
      </c>
      <c r="AG32" s="68">
        <v>0.64951085681398568</v>
      </c>
      <c r="AH32" s="69">
        <v>244.16239967346192</v>
      </c>
      <c r="AI32" s="69">
        <v>789.68778266906747</v>
      </c>
      <c r="AJ32" s="69">
        <v>3407.5221257527674</v>
      </c>
      <c r="AK32" s="69">
        <v>609.13906399408984</v>
      </c>
      <c r="AL32" s="69">
        <v>5223.1103113810223</v>
      </c>
      <c r="AM32" s="69">
        <v>3119.1269850413005</v>
      </c>
      <c r="AN32" s="69">
        <v>719.29653555552147</v>
      </c>
      <c r="AO32" s="69">
        <v>2490.8901550292962</v>
      </c>
      <c r="AP32" s="69">
        <v>421.77396359443662</v>
      </c>
      <c r="AQ32" s="69">
        <v>964.26670249303197</v>
      </c>
    </row>
    <row r="33" spans="1:43" x14ac:dyDescent="0.25">
      <c r="A33" s="11">
        <v>41451</v>
      </c>
      <c r="B33" s="59"/>
      <c r="C33" s="60">
        <v>210.35418492952778</v>
      </c>
      <c r="D33" s="60">
        <v>2106.7867093404211</v>
      </c>
      <c r="E33" s="60">
        <v>26.60168205102287</v>
      </c>
      <c r="F33" s="60">
        <v>0</v>
      </c>
      <c r="G33" s="60">
        <v>6868.5554046630778</v>
      </c>
      <c r="H33" s="61">
        <v>79.332544668515595</v>
      </c>
      <c r="I33" s="59">
        <v>692.41398807366738</v>
      </c>
      <c r="J33" s="60">
        <v>1396.9511834462453</v>
      </c>
      <c r="K33" s="60">
        <v>33.761244996388797</v>
      </c>
      <c r="L33" s="60">
        <v>4.0117979049683485E-2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479.94252239810578</v>
      </c>
      <c r="V33" s="62">
        <v>199.27309380689883</v>
      </c>
      <c r="W33" s="62">
        <v>40.845477586942224</v>
      </c>
      <c r="X33" s="62">
        <v>16.959123867792645</v>
      </c>
      <c r="Y33" s="66">
        <v>215.96982246511885</v>
      </c>
      <c r="Z33" s="66">
        <v>89.671101607146895</v>
      </c>
      <c r="AA33" s="67">
        <v>0</v>
      </c>
      <c r="AB33" s="68">
        <v>227.41484292348153</v>
      </c>
      <c r="AC33" s="69">
        <v>0</v>
      </c>
      <c r="AD33" s="69">
        <v>24.448373073339461</v>
      </c>
      <c r="AE33" s="68">
        <v>16.964812559138267</v>
      </c>
      <c r="AF33" s="68">
        <v>7.0438240554760192</v>
      </c>
      <c r="AG33" s="68">
        <v>0.70661290899007667</v>
      </c>
      <c r="AH33" s="69">
        <v>310.17267926534021</v>
      </c>
      <c r="AI33" s="69">
        <v>855.82029759089153</v>
      </c>
      <c r="AJ33" s="69">
        <v>3502.8643487294516</v>
      </c>
      <c r="AK33" s="69">
        <v>625.16964461008718</v>
      </c>
      <c r="AL33" s="69">
        <v>6304.6315053304043</v>
      </c>
      <c r="AM33" s="69">
        <v>3042.5005125681564</v>
      </c>
      <c r="AN33" s="69">
        <v>745.23395738601687</v>
      </c>
      <c r="AO33" s="69">
        <v>3277.5888518015549</v>
      </c>
      <c r="AP33" s="69">
        <v>462.14672778447471</v>
      </c>
      <c r="AQ33" s="69">
        <v>1024.4240988413492</v>
      </c>
    </row>
    <row r="34" spans="1:43" x14ac:dyDescent="0.25">
      <c r="A34" s="11">
        <v>41452</v>
      </c>
      <c r="B34" s="59"/>
      <c r="C34" s="60">
        <v>210.1074489434545</v>
      </c>
      <c r="D34" s="60">
        <v>2052.3414779663094</v>
      </c>
      <c r="E34" s="60">
        <v>26.836787192523477</v>
      </c>
      <c r="F34" s="60">
        <v>0</v>
      </c>
      <c r="G34" s="60">
        <v>6897.1310471852639</v>
      </c>
      <c r="H34" s="61">
        <v>78.238049038251191</v>
      </c>
      <c r="I34" s="59">
        <v>762.39738737742039</v>
      </c>
      <c r="J34" s="60">
        <v>1480.4428956985464</v>
      </c>
      <c r="K34" s="60">
        <v>36.149301721652314</v>
      </c>
      <c r="L34" s="60">
        <v>4.5512938499451004E-2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499.53521324189734</v>
      </c>
      <c r="V34" s="62">
        <v>156.38870179462032</v>
      </c>
      <c r="W34" s="62">
        <v>42.558140592540099</v>
      </c>
      <c r="X34" s="62">
        <v>13.323609991108542</v>
      </c>
      <c r="Y34" s="66">
        <v>226.03953036409794</v>
      </c>
      <c r="Z34" s="66">
        <v>70.76583946603354</v>
      </c>
      <c r="AA34" s="67">
        <v>0</v>
      </c>
      <c r="AB34" s="68">
        <v>227.74370732836914</v>
      </c>
      <c r="AC34" s="69">
        <v>0</v>
      </c>
      <c r="AD34" s="69">
        <v>23.752634411387948</v>
      </c>
      <c r="AE34" s="68">
        <v>17.77143456506256</v>
      </c>
      <c r="AF34" s="68">
        <v>5.5636750062549432</v>
      </c>
      <c r="AG34" s="68">
        <v>0.7615749354314767</v>
      </c>
      <c r="AH34" s="69">
        <v>263.89584126472471</v>
      </c>
      <c r="AI34" s="69">
        <v>834.30053421656282</v>
      </c>
      <c r="AJ34" s="69">
        <v>3410.4111872355138</v>
      </c>
      <c r="AK34" s="69">
        <v>637.28922939300537</v>
      </c>
      <c r="AL34" s="69">
        <v>6075.8406749725345</v>
      </c>
      <c r="AM34" s="69">
        <v>3109.7667872110997</v>
      </c>
      <c r="AN34" s="69">
        <v>765.93861055374146</v>
      </c>
      <c r="AO34" s="69">
        <v>3102.9342973073321</v>
      </c>
      <c r="AP34" s="69">
        <v>464.00668454170233</v>
      </c>
      <c r="AQ34" s="69">
        <v>1045.5989723523458</v>
      </c>
    </row>
    <row r="35" spans="1:43" x14ac:dyDescent="0.25">
      <c r="A35" s="11">
        <v>41453</v>
      </c>
      <c r="B35" s="59"/>
      <c r="C35" s="60">
        <v>251.94508686065473</v>
      </c>
      <c r="D35" s="60">
        <v>2115.5124317169248</v>
      </c>
      <c r="E35" s="60">
        <v>31.133868990341799</v>
      </c>
      <c r="F35" s="60">
        <v>0</v>
      </c>
      <c r="G35" s="60">
        <v>7585.2508539835981</v>
      </c>
      <c r="H35" s="61">
        <v>79.073037020365106</v>
      </c>
      <c r="I35" s="59">
        <v>736.82473491032943</v>
      </c>
      <c r="J35" s="60">
        <v>1512.7608102162706</v>
      </c>
      <c r="K35" s="60">
        <v>36.648027775685136</v>
      </c>
      <c r="L35" s="60">
        <v>3.1248855590821079E-2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515.09951459854028</v>
      </c>
      <c r="V35" s="62">
        <v>218.95382527487791</v>
      </c>
      <c r="W35" s="62">
        <v>44.063790083342703</v>
      </c>
      <c r="X35" s="62">
        <v>18.730235850399804</v>
      </c>
      <c r="Y35" s="66">
        <v>245.21544263759378</v>
      </c>
      <c r="Z35" s="66">
        <v>104.23395413955942</v>
      </c>
      <c r="AA35" s="67">
        <v>0</v>
      </c>
      <c r="AB35" s="68">
        <v>227.74849051369409</v>
      </c>
      <c r="AC35" s="69">
        <v>0</v>
      </c>
      <c r="AD35" s="69">
        <v>26.134034637610142</v>
      </c>
      <c r="AE35" s="68">
        <v>18.129920994132668</v>
      </c>
      <c r="AF35" s="68">
        <v>7.70650222159599</v>
      </c>
      <c r="AG35" s="68">
        <v>0.70171946181372213</v>
      </c>
      <c r="AH35" s="69">
        <v>304.94248334566754</v>
      </c>
      <c r="AI35" s="69">
        <v>900.36645530064902</v>
      </c>
      <c r="AJ35" s="69">
        <v>3486.3013710021978</v>
      </c>
      <c r="AK35" s="69">
        <v>638.88997739156071</v>
      </c>
      <c r="AL35" s="69">
        <v>5854.2278361002609</v>
      </c>
      <c r="AM35" s="69">
        <v>3106.6631815592445</v>
      </c>
      <c r="AN35" s="69">
        <v>772.45134954452521</v>
      </c>
      <c r="AO35" s="69">
        <v>3834.2493960062661</v>
      </c>
      <c r="AP35" s="69">
        <v>488.09850330352782</v>
      </c>
      <c r="AQ35" s="69">
        <v>995.02655506134033</v>
      </c>
    </row>
    <row r="36" spans="1:43" x14ac:dyDescent="0.25">
      <c r="A36" s="11">
        <v>41454</v>
      </c>
      <c r="B36" s="59"/>
      <c r="C36" s="60">
        <v>251.75563855170978</v>
      </c>
      <c r="D36" s="60">
        <v>2118.2860257466637</v>
      </c>
      <c r="E36" s="60">
        <v>31.097998225688883</v>
      </c>
      <c r="F36" s="60">
        <v>0</v>
      </c>
      <c r="G36" s="60">
        <v>7449.5821014404382</v>
      </c>
      <c r="H36" s="61">
        <v>78.971124982833729</v>
      </c>
      <c r="I36" s="59">
        <v>667.54659636815495</v>
      </c>
      <c r="J36" s="60">
        <v>1393.7484227498373</v>
      </c>
      <c r="K36" s="60">
        <v>33.552249970038787</v>
      </c>
      <c r="L36" s="60">
        <v>5.9249615669249911E-2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480.97297407476219</v>
      </c>
      <c r="V36" s="62">
        <v>218.1184283605414</v>
      </c>
      <c r="W36" s="62">
        <v>41.679659075915247</v>
      </c>
      <c r="X36" s="62">
        <v>18.901481418431409</v>
      </c>
      <c r="Y36" s="66">
        <v>290.46862255535808</v>
      </c>
      <c r="Z36" s="66">
        <v>131.72582006650939</v>
      </c>
      <c r="AA36" s="67">
        <v>0</v>
      </c>
      <c r="AB36" s="68">
        <v>228.0786579873843</v>
      </c>
      <c r="AC36" s="69">
        <v>0</v>
      </c>
      <c r="AD36" s="69">
        <v>25.288348012500304</v>
      </c>
      <c r="AE36" s="68">
        <v>17.199393031045787</v>
      </c>
      <c r="AF36" s="68">
        <v>7.7998240626797095</v>
      </c>
      <c r="AG36" s="68">
        <v>0.6879972667369102</v>
      </c>
      <c r="AH36" s="69">
        <v>252.61195282936097</v>
      </c>
      <c r="AI36" s="69">
        <v>819.85610704421993</v>
      </c>
      <c r="AJ36" s="69">
        <v>3417.4412408192948</v>
      </c>
      <c r="AK36" s="69">
        <v>620.77458737691245</v>
      </c>
      <c r="AL36" s="69">
        <v>5609.6586675008139</v>
      </c>
      <c r="AM36" s="69">
        <v>3075.1555920918781</v>
      </c>
      <c r="AN36" s="69">
        <v>740.21217142740898</v>
      </c>
      <c r="AO36" s="69">
        <v>3330.0042287190759</v>
      </c>
      <c r="AP36" s="69">
        <v>507.93011105855305</v>
      </c>
      <c r="AQ36" s="69">
        <v>882.72224744160974</v>
      </c>
    </row>
    <row r="37" spans="1:43" x14ac:dyDescent="0.25">
      <c r="A37" s="11">
        <v>41455</v>
      </c>
      <c r="B37" s="59"/>
      <c r="C37" s="60">
        <v>252.06768811543563</v>
      </c>
      <c r="D37" s="60">
        <v>2121.2365517934149</v>
      </c>
      <c r="E37" s="60">
        <v>31.076790025830253</v>
      </c>
      <c r="F37" s="60">
        <v>0</v>
      </c>
      <c r="G37" s="60">
        <v>7278.4986684163359</v>
      </c>
      <c r="H37" s="61">
        <v>79.376741143067576</v>
      </c>
      <c r="I37" s="59">
        <v>596.32668828964313</v>
      </c>
      <c r="J37" s="60">
        <v>1244.7760853449493</v>
      </c>
      <c r="K37" s="60">
        <v>30.153096170226764</v>
      </c>
      <c r="L37" s="60">
        <v>6.8250524997709769E-2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427.4306670636409</v>
      </c>
      <c r="V37" s="62">
        <v>217.32607397266617</v>
      </c>
      <c r="W37" s="62">
        <v>37.605328546145799</v>
      </c>
      <c r="X37" s="62">
        <v>19.120337035080503</v>
      </c>
      <c r="Y37" s="66">
        <v>304.63790518895405</v>
      </c>
      <c r="Z37" s="66">
        <v>154.89239546800044</v>
      </c>
      <c r="AA37" s="67">
        <v>0</v>
      </c>
      <c r="AB37" s="68">
        <v>228.09576390584567</v>
      </c>
      <c r="AC37" s="69">
        <v>0</v>
      </c>
      <c r="AD37" s="69">
        <v>23.417314652601856</v>
      </c>
      <c r="AE37" s="68">
        <v>15.341149992506921</v>
      </c>
      <c r="AF37" s="68">
        <v>7.8001700743688502</v>
      </c>
      <c r="AG37" s="68">
        <v>0.66293322715267544</v>
      </c>
      <c r="AH37" s="69">
        <v>218.05150772730511</v>
      </c>
      <c r="AI37" s="69">
        <v>777.84873631795256</v>
      </c>
      <c r="AJ37" s="69">
        <v>3378.8288017272948</v>
      </c>
      <c r="AK37" s="69">
        <v>612.4916303316752</v>
      </c>
      <c r="AL37" s="69">
        <v>5597.8423230489097</v>
      </c>
      <c r="AM37" s="69">
        <v>2960.8894241333005</v>
      </c>
      <c r="AN37" s="69">
        <v>696.51752945582064</v>
      </c>
      <c r="AO37" s="69">
        <v>2985.4516141255694</v>
      </c>
      <c r="AP37" s="69">
        <v>502.47496627171847</v>
      </c>
      <c r="AQ37" s="69">
        <v>872.18847872416166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5719.7477356234813</v>
      </c>
      <c r="D39" s="30">
        <f t="shared" si="0"/>
        <v>63545.57293961844</v>
      </c>
      <c r="E39" s="30">
        <f t="shared" si="0"/>
        <v>778.62529879460737</v>
      </c>
      <c r="F39" s="30">
        <f t="shared" si="0"/>
        <v>0</v>
      </c>
      <c r="G39" s="30">
        <f t="shared" si="0"/>
        <v>192625.88128471377</v>
      </c>
      <c r="H39" s="31">
        <f t="shared" si="0"/>
        <v>2464.9545916358588</v>
      </c>
      <c r="I39" s="29">
        <f t="shared" si="0"/>
        <v>15731.311963025726</v>
      </c>
      <c r="J39" s="30">
        <f t="shared" si="0"/>
        <v>35166.59400100707</v>
      </c>
      <c r="K39" s="30">
        <f t="shared" si="0"/>
        <v>893.2698979407545</v>
      </c>
      <c r="L39" s="30">
        <f t="shared" si="0"/>
        <v>0.45341538190841246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13230.649594411558</v>
      </c>
      <c r="V39" s="255">
        <f t="shared" si="0"/>
        <v>6108.1117260204264</v>
      </c>
      <c r="W39" s="255">
        <f t="shared" si="0"/>
        <v>1128.0210288619505</v>
      </c>
      <c r="X39" s="255">
        <f t="shared" si="0"/>
        <v>521.04589667960931</v>
      </c>
      <c r="Y39" s="255">
        <f t="shared" si="0"/>
        <v>5623.5251997539381</v>
      </c>
      <c r="Z39" s="255">
        <f t="shared" si="0"/>
        <v>2590.7001745155444</v>
      </c>
      <c r="AA39" s="263">
        <f t="shared" si="0"/>
        <v>0</v>
      </c>
      <c r="AB39" s="266">
        <f t="shared" si="0"/>
        <v>6833.8097153239605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Q39" si="1">SUM(AH8:AH38)</f>
        <v>7732.4056704441718</v>
      </c>
      <c r="AI39" s="266">
        <f t="shared" si="1"/>
        <v>24487.142320855459</v>
      </c>
      <c r="AJ39" s="266">
        <f t="shared" si="1"/>
        <v>100111.80534528097</v>
      </c>
      <c r="AK39" s="266">
        <f t="shared" si="1"/>
        <v>18609.492599296565</v>
      </c>
      <c r="AL39" s="266">
        <f t="shared" si="1"/>
        <v>162316.17337176006</v>
      </c>
      <c r="AM39" s="266">
        <f t="shared" si="1"/>
        <v>91495.23634007771</v>
      </c>
      <c r="AN39" s="266">
        <f t="shared" si="1"/>
        <v>20370.117262585954</v>
      </c>
      <c r="AO39" s="266">
        <f t="shared" si="1"/>
        <v>88280.982789103218</v>
      </c>
      <c r="AP39" s="266">
        <f t="shared" si="1"/>
        <v>13453.657996352513</v>
      </c>
      <c r="AQ39" s="266">
        <f t="shared" si="1"/>
        <v>27403.869101206463</v>
      </c>
    </row>
    <row r="40" spans="1:43" ht="15.75" thickBot="1" x14ac:dyDescent="0.3">
      <c r="A40" s="47" t="s">
        <v>172</v>
      </c>
      <c r="B40" s="32">
        <f>Projection!$AB$30</f>
        <v>0.91139353199999984</v>
      </c>
      <c r="C40" s="33">
        <f>Projection!$AB$28</f>
        <v>1.4375491199999999</v>
      </c>
      <c r="D40" s="33">
        <f>Projection!$AB$31</f>
        <v>2.0999286000000001</v>
      </c>
      <c r="E40" s="33">
        <f>Projection!$AB$26</f>
        <v>3.8734129199999998</v>
      </c>
      <c r="F40" s="33">
        <f>Projection!$AB$23</f>
        <v>5.8379999999999994E-2</v>
      </c>
      <c r="G40" s="33">
        <f>Projection!$AB$24</f>
        <v>5.2999999999999999E-2</v>
      </c>
      <c r="H40" s="34">
        <f>Projection!$AB$29</f>
        <v>3.6371774160000006</v>
      </c>
      <c r="I40" s="32">
        <f>Projection!$AB$30</f>
        <v>0.91139353199999984</v>
      </c>
      <c r="J40" s="33">
        <f>Projection!$AB$28</f>
        <v>1.4375491199999999</v>
      </c>
      <c r="K40" s="33">
        <f>Projection!$AB$26</f>
        <v>3.8734129199999998</v>
      </c>
      <c r="L40" s="33">
        <f>Projection!$AB$25</f>
        <v>0.37613399999999997</v>
      </c>
      <c r="M40" s="33">
        <f>Projection!$AB$23</f>
        <v>5.8379999999999994E-2</v>
      </c>
      <c r="N40" s="34">
        <f>Projection!$AB$23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1.4375491199999999</v>
      </c>
      <c r="T40" s="38">
        <f>Projection!$AB$28</f>
        <v>1.4375491199999999</v>
      </c>
      <c r="U40" s="26">
        <f>Projection!$AB$27</f>
        <v>0.26250000000000001</v>
      </c>
      <c r="V40" s="27">
        <f>Projection!$AB$27</f>
        <v>0.26250000000000001</v>
      </c>
      <c r="W40" s="27">
        <f>Projection!$AB$22</f>
        <v>1.2186999999999999</v>
      </c>
      <c r="X40" s="27">
        <f>Projection!$AB$22</f>
        <v>1.2186999999999999</v>
      </c>
      <c r="Y40" s="27">
        <f>Projection!$AB$31</f>
        <v>2.0999286000000001</v>
      </c>
      <c r="Z40" s="27">
        <f>Projection!$AB$31</f>
        <v>2.0999286000000001</v>
      </c>
      <c r="AA40" s="28">
        <v>0</v>
      </c>
      <c r="AB40" s="41">
        <f>Projection!$AB$27</f>
        <v>0.26250000000000001</v>
      </c>
      <c r="AC40" s="41">
        <f>Projection!$AB$30</f>
        <v>0.91139353199999984</v>
      </c>
      <c r="AD40" s="270">
        <f>SUM(AD8:AD38)</f>
        <v>709.5801821894114</v>
      </c>
      <c r="AE40" s="270">
        <f>SUM(AE8:AE38)</f>
        <v>478.53530189255054</v>
      </c>
      <c r="AF40" s="270">
        <f>SUM(AF8:AF38)</f>
        <v>220.96566392851318</v>
      </c>
      <c r="AG40" s="270">
        <f>IF(SUM(AE40:AF40)&gt;0, AE40/(AE40+AF40), "")</f>
        <v>0.68410956563991732</v>
      </c>
      <c r="AH40" s="306">
        <v>7.0999999999999994E-2</v>
      </c>
      <c r="AI40" s="306">
        <f t="shared" ref="AI40:AQ40" si="2">$AH$40</f>
        <v>7.0999999999999994E-2</v>
      </c>
      <c r="AJ40" s="306">
        <f t="shared" si="2"/>
        <v>7.0999999999999994E-2</v>
      </c>
      <c r="AK40" s="306">
        <f t="shared" si="2"/>
        <v>7.0999999999999994E-2</v>
      </c>
      <c r="AL40" s="306">
        <f t="shared" si="2"/>
        <v>7.0999999999999994E-2</v>
      </c>
      <c r="AM40" s="306">
        <f t="shared" si="2"/>
        <v>7.0999999999999994E-2</v>
      </c>
      <c r="AN40" s="306">
        <f t="shared" si="2"/>
        <v>7.0999999999999994E-2</v>
      </c>
      <c r="AO40" s="306">
        <f t="shared" si="2"/>
        <v>7.0999999999999994E-2</v>
      </c>
      <c r="AP40" s="306">
        <f t="shared" si="2"/>
        <v>7.0999999999999994E-2</v>
      </c>
      <c r="AQ40" s="306">
        <f t="shared" si="2"/>
        <v>7.0999999999999994E-2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8222.4183239675276</v>
      </c>
      <c r="D41" s="36">
        <f t="shared" si="3"/>
        <v>133441.16601929083</v>
      </c>
      <c r="E41" s="36">
        <f t="shared" si="3"/>
        <v>3015.9372921898926</v>
      </c>
      <c r="F41" s="36">
        <f t="shared" si="3"/>
        <v>0</v>
      </c>
      <c r="G41" s="36">
        <f t="shared" si="3"/>
        <v>10209.171708089831</v>
      </c>
      <c r="H41" s="37">
        <f t="shared" si="3"/>
        <v>8965.4771721634497</v>
      </c>
      <c r="I41" s="35">
        <f t="shared" si="3"/>
        <v>14337.415972975867</v>
      </c>
      <c r="J41" s="36">
        <f t="shared" si="3"/>
        <v>50553.70625954499</v>
      </c>
      <c r="K41" s="36">
        <f t="shared" si="3"/>
        <v>3460.0031637307998</v>
      </c>
      <c r="L41" s="36">
        <f t="shared" si="3"/>
        <v>0.17054494125873879</v>
      </c>
      <c r="M41" s="36">
        <f t="shared" si="3"/>
        <v>0</v>
      </c>
      <c r="N41" s="37">
        <f t="shared" si="3"/>
        <v>0</v>
      </c>
      <c r="O41" s="260">
        <f t="shared" si="3"/>
        <v>0</v>
      </c>
      <c r="P41" s="261">
        <f t="shared" si="3"/>
        <v>0</v>
      </c>
      <c r="Q41" s="261">
        <f t="shared" si="3"/>
        <v>0</v>
      </c>
      <c r="R41" s="261">
        <f t="shared" si="3"/>
        <v>0</v>
      </c>
      <c r="S41" s="261">
        <f t="shared" si="3"/>
        <v>0</v>
      </c>
      <c r="T41" s="262">
        <f t="shared" si="3"/>
        <v>0</v>
      </c>
      <c r="U41" s="260">
        <f t="shared" si="3"/>
        <v>3473.0455185330338</v>
      </c>
      <c r="V41" s="261">
        <f t="shared" si="3"/>
        <v>1603.379328080362</v>
      </c>
      <c r="W41" s="261">
        <f t="shared" si="3"/>
        <v>1374.719227874059</v>
      </c>
      <c r="X41" s="261">
        <f t="shared" si="3"/>
        <v>634.99863428343986</v>
      </c>
      <c r="Y41" s="261">
        <f t="shared" si="3"/>
        <v>11809.001399784009</v>
      </c>
      <c r="Z41" s="261">
        <f t="shared" si="3"/>
        <v>5440.2853904901831</v>
      </c>
      <c r="AA41" s="265">
        <f t="shared" si="3"/>
        <v>0</v>
      </c>
      <c r="AB41" s="268">
        <f t="shared" si="3"/>
        <v>1793.8750502725397</v>
      </c>
      <c r="AC41" s="268">
        <f t="shared" si="3"/>
        <v>0</v>
      </c>
      <c r="AH41" s="271">
        <f t="shared" ref="AH41:AQ41" si="4">AH40*AH39</f>
        <v>549.00080260153618</v>
      </c>
      <c r="AI41" s="271">
        <f t="shared" si="4"/>
        <v>1738.5871047807375</v>
      </c>
      <c r="AJ41" s="271">
        <f t="shared" si="4"/>
        <v>7107.9381795149484</v>
      </c>
      <c r="AK41" s="271">
        <f t="shared" si="4"/>
        <v>1321.273974550056</v>
      </c>
      <c r="AL41" s="271">
        <f t="shared" si="4"/>
        <v>11524.448309394964</v>
      </c>
      <c r="AM41" s="271">
        <f t="shared" si="4"/>
        <v>6496.1617801455168</v>
      </c>
      <c r="AN41" s="271">
        <f t="shared" si="4"/>
        <v>1446.2783256436026</v>
      </c>
      <c r="AO41" s="271">
        <f t="shared" si="4"/>
        <v>6267.9497780263282</v>
      </c>
      <c r="AP41" s="271">
        <f t="shared" si="4"/>
        <v>955.20971774102827</v>
      </c>
      <c r="AQ41" s="271">
        <f t="shared" si="4"/>
        <v>1945.6747061856586</v>
      </c>
    </row>
    <row r="42" spans="1:43" ht="49.5" customHeight="1" thickTop="1" thickBot="1" x14ac:dyDescent="0.3">
      <c r="A42" s="562" t="s">
        <v>213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225.24</v>
      </c>
      <c r="AI42" s="271" t="s">
        <v>197</v>
      </c>
      <c r="AJ42" s="271">
        <v>445.74</v>
      </c>
      <c r="AK42" s="271">
        <v>137.54</v>
      </c>
      <c r="AL42" s="271">
        <v>362.46</v>
      </c>
      <c r="AM42" s="271">
        <v>2384.1999999999998</v>
      </c>
      <c r="AN42" s="271">
        <v>274.64999999999998</v>
      </c>
      <c r="AO42" s="271" t="s">
        <v>197</v>
      </c>
      <c r="AP42" s="271">
        <v>33.299999999999997</v>
      </c>
      <c r="AQ42" s="271">
        <v>168.7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24.75" thickTop="1" thickBot="1" x14ac:dyDescent="0.3">
      <c r="A44" s="275" t="s">
        <v>135</v>
      </c>
      <c r="B44" s="276">
        <f>SUM(B41:AC41)</f>
        <v>258334.77100621208</v>
      </c>
      <c r="C44" s="12"/>
      <c r="D44" s="275" t="s">
        <v>135</v>
      </c>
      <c r="E44" s="276">
        <f>SUM(B41:H41)+P41+R41+T41+V41+X41+Z41</f>
        <v>171532.83386855549</v>
      </c>
      <c r="F44" s="12"/>
      <c r="G44" s="275" t="s">
        <v>135</v>
      </c>
      <c r="H44" s="276">
        <f>SUM(I41:N41)+O41+Q41+S41+U41+W41+Y41</f>
        <v>85008.062087384023</v>
      </c>
      <c r="I44" s="12"/>
      <c r="J44" s="275" t="s">
        <v>198</v>
      </c>
      <c r="K44" s="276">
        <v>88656.57</v>
      </c>
      <c r="L44" s="12"/>
      <c r="M44" s="12"/>
      <c r="N44" s="12"/>
      <c r="O44" s="12"/>
      <c r="P44" s="12"/>
      <c r="Q44" s="12"/>
      <c r="R44" s="313" t="s">
        <v>135</v>
      </c>
      <c r="S44" s="314"/>
      <c r="T44" s="307" t="s">
        <v>167</v>
      </c>
      <c r="U44" s="248" t="s">
        <v>168</v>
      </c>
    </row>
    <row r="45" spans="1:43" ht="24" thickBot="1" x14ac:dyDescent="0.4">
      <c r="A45" s="277" t="s">
        <v>183</v>
      </c>
      <c r="B45" s="278">
        <f>SUM(AH41:AQ41)</f>
        <v>39352.522678584377</v>
      </c>
      <c r="C45" s="12"/>
      <c r="D45" s="277" t="s">
        <v>183</v>
      </c>
      <c r="E45" s="278">
        <f>AH41*(1-$AG$40)+AI41+AJ41*0.5+AL41+AM41*(1-$AG$40)+AN41*(1-$AG$40)+AO41*(1-$AG$40)+AP41*0.5+AQ41*0.5</f>
        <v>22929.797050718942</v>
      </c>
      <c r="F45" s="24"/>
      <c r="G45" s="277" t="s">
        <v>183</v>
      </c>
      <c r="H45" s="278">
        <f>AH41*AG40+AJ41*0.5+AK41+AM41*AG40+AN41*AG40+AO41*AG40+AP41*0.5+AQ41*0.5</f>
        <v>16422.725627865439</v>
      </c>
      <c r="I45" s="12"/>
      <c r="J45" s="12"/>
      <c r="K45" s="281"/>
      <c r="L45" s="12"/>
      <c r="M45" s="12"/>
      <c r="N45" s="12"/>
      <c r="O45" s="12"/>
      <c r="P45" s="12"/>
      <c r="Q45" s="12"/>
      <c r="R45" s="311" t="s">
        <v>141</v>
      </c>
      <c r="S45" s="312"/>
      <c r="T45" s="247">
        <f>$W$39+$X$39</f>
        <v>1649.0669255415598</v>
      </c>
      <c r="U45" s="249">
        <f>(T45*8.34*0.895)/27000</f>
        <v>0.45589371304888388</v>
      </c>
    </row>
    <row r="46" spans="1:43" ht="32.25" thickBot="1" x14ac:dyDescent="0.3">
      <c r="A46" s="279" t="s">
        <v>184</v>
      </c>
      <c r="B46" s="280">
        <f>SUM(AH42:AQ42)</f>
        <v>4031.83</v>
      </c>
      <c r="C46" s="12"/>
      <c r="D46" s="279" t="s">
        <v>184</v>
      </c>
      <c r="E46" s="280">
        <f>AH42*(1-$AG$40)+AJ42*0.5+AL42+AM42*(1-$AG$40)+AN42*(1-$AG$40)+AP42*0.5+AQ42*0.5</f>
        <v>1597.3864428335708</v>
      </c>
      <c r="F46" s="23"/>
      <c r="G46" s="279" t="s">
        <v>184</v>
      </c>
      <c r="H46" s="280">
        <f>AH42*AG40+AJ42*0.5+AK42+AM42*AG40+AN42*AG40+AP42*0.5+AQ42*0.5</f>
        <v>2434.4435571664289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311" t="s">
        <v>145</v>
      </c>
      <c r="S46" s="312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88656.57</v>
      </c>
      <c r="C47" s="12"/>
      <c r="D47" s="279" t="s">
        <v>187</v>
      </c>
      <c r="E47" s="280">
        <f>K44*0.5</f>
        <v>44328.285000000003</v>
      </c>
      <c r="F47" s="24"/>
      <c r="G47" s="279" t="s">
        <v>185</v>
      </c>
      <c r="H47" s="280">
        <f>K44*0.5</f>
        <v>44328.285000000003</v>
      </c>
      <c r="I47" s="12"/>
      <c r="J47" s="275" t="s">
        <v>198</v>
      </c>
      <c r="K47" s="276">
        <v>20724.89</v>
      </c>
      <c r="L47" s="12"/>
      <c r="M47" s="12"/>
      <c r="N47" s="12"/>
      <c r="O47" s="12"/>
      <c r="P47" s="12"/>
      <c r="Q47" s="12"/>
      <c r="R47" s="311" t="s">
        <v>148</v>
      </c>
      <c r="S47" s="312"/>
      <c r="T47" s="247">
        <f>$G$39</f>
        <v>192625.88128471377</v>
      </c>
      <c r="U47" s="249">
        <f>T47/40000</f>
        <v>4.8156470321178446</v>
      </c>
    </row>
    <row r="48" spans="1:43" ht="24" thickBot="1" x14ac:dyDescent="0.3">
      <c r="A48" s="279" t="s">
        <v>186</v>
      </c>
      <c r="B48" s="280">
        <f>K47</f>
        <v>20724.89</v>
      </c>
      <c r="C48" s="12"/>
      <c r="D48" s="279" t="s">
        <v>186</v>
      </c>
      <c r="E48" s="280">
        <f>K47*0.5</f>
        <v>10362.445</v>
      </c>
      <c r="F48" s="23"/>
      <c r="G48" s="279" t="s">
        <v>186</v>
      </c>
      <c r="H48" s="280">
        <f>K47*0.5</f>
        <v>10362.445</v>
      </c>
      <c r="I48" s="12"/>
      <c r="J48" s="12"/>
      <c r="K48" s="86"/>
      <c r="L48" s="12"/>
      <c r="M48" s="12"/>
      <c r="N48" s="12"/>
      <c r="O48" s="12"/>
      <c r="P48" s="12"/>
      <c r="Q48" s="12"/>
      <c r="R48" s="311" t="s">
        <v>150</v>
      </c>
      <c r="S48" s="312"/>
      <c r="T48" s="247">
        <f>$L$39</f>
        <v>0.45341538190841246</v>
      </c>
      <c r="U48" s="249">
        <f>T48*9.34*0.107</f>
        <v>0.45313426437162918</v>
      </c>
    </row>
    <row r="49" spans="1:25" ht="48" thickTop="1" thickBot="1" x14ac:dyDescent="0.3">
      <c r="A49" s="284" t="s">
        <v>194</v>
      </c>
      <c r="B49" s="285">
        <f>AD40</f>
        <v>709.5801821894114</v>
      </c>
      <c r="C49" s="12"/>
      <c r="D49" s="284" t="s">
        <v>195</v>
      </c>
      <c r="E49" s="285">
        <f>AF40</f>
        <v>220.96566392851318</v>
      </c>
      <c r="F49" s="23"/>
      <c r="G49" s="284" t="s">
        <v>196</v>
      </c>
      <c r="H49" s="285">
        <f>AE40</f>
        <v>478.53530189255054</v>
      </c>
      <c r="I49" s="12"/>
      <c r="J49" s="12"/>
      <c r="K49" s="86"/>
      <c r="L49" s="12"/>
      <c r="M49" s="12"/>
      <c r="N49" s="12"/>
      <c r="O49" s="12"/>
      <c r="P49" s="12"/>
      <c r="Q49" s="12"/>
      <c r="R49" s="311" t="s">
        <v>152</v>
      </c>
      <c r="S49" s="312"/>
      <c r="T49" s="247">
        <f>$E$39+$K$39</f>
        <v>1671.8951967353619</v>
      </c>
      <c r="U49" s="249">
        <f>(T49*8.34*1.04)/45000</f>
        <v>0.32225222618675187</v>
      </c>
    </row>
    <row r="50" spans="1:25" ht="48" thickTop="1" thickBot="1" x14ac:dyDescent="0.3">
      <c r="A50" s="284" t="s">
        <v>190</v>
      </c>
      <c r="B50" s="286">
        <f>(SUM(B44:B48)/AD40)</f>
        <v>579.35747643958234</v>
      </c>
      <c r="C50" s="12"/>
      <c r="D50" s="284" t="s">
        <v>188</v>
      </c>
      <c r="E50" s="286">
        <f>SUM(E44:E48)/AF40</f>
        <v>1134.795075868579</v>
      </c>
      <c r="F50" s="23"/>
      <c r="G50" s="284" t="s">
        <v>189</v>
      </c>
      <c r="H50" s="286">
        <f>SUM(H44:H48)/AE40</f>
        <v>331.33597593604031</v>
      </c>
      <c r="I50" s="12"/>
      <c r="J50" s="12"/>
      <c r="K50" s="86"/>
      <c r="L50" s="12"/>
      <c r="M50" s="12"/>
      <c r="N50" s="12"/>
      <c r="O50" s="12"/>
      <c r="P50" s="12"/>
      <c r="Q50" s="12"/>
      <c r="R50" s="311" t="s">
        <v>153</v>
      </c>
      <c r="S50" s="312"/>
      <c r="T50" s="247">
        <f>$U$39+$V$39+$AB$39</f>
        <v>26172.571035755947</v>
      </c>
      <c r="U50" s="249">
        <f>T50/2000/8</f>
        <v>1.6357856897347467</v>
      </c>
    </row>
    <row r="51" spans="1:25" ht="47.25" customHeight="1" thickTop="1" thickBot="1" x14ac:dyDescent="0.3">
      <c r="A51" s="274" t="s">
        <v>191</v>
      </c>
      <c r="B51" s="287">
        <f>B50/1000</f>
        <v>0.57935747643958235</v>
      </c>
      <c r="C51" s="12"/>
      <c r="D51" s="274" t="s">
        <v>192</v>
      </c>
      <c r="E51" s="287">
        <f>E50/1000</f>
        <v>1.134795075868579</v>
      </c>
      <c r="F51" s="12"/>
      <c r="G51" s="274" t="s">
        <v>193</v>
      </c>
      <c r="H51" s="287">
        <f>H50/1000</f>
        <v>0.33133597593604031</v>
      </c>
      <c r="I51" s="12"/>
      <c r="J51" s="12"/>
      <c r="K51" s="86"/>
      <c r="L51" s="12"/>
      <c r="M51" s="12"/>
      <c r="N51" s="12"/>
      <c r="O51" s="12"/>
      <c r="P51" s="12"/>
      <c r="Q51" s="12"/>
      <c r="R51" s="311" t="s">
        <v>154</v>
      </c>
      <c r="S51" s="312"/>
      <c r="T51" s="247">
        <f>$C$39+$J$39+$S$39+$T$39</f>
        <v>40886.341736630551</v>
      </c>
      <c r="U51" s="249">
        <f>(T51*8.34*1.4)/45000</f>
        <v>10.608642802597741</v>
      </c>
    </row>
    <row r="52" spans="1:25" ht="16.5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1" t="s">
        <v>155</v>
      </c>
      <c r="S52" s="312"/>
      <c r="T52" s="247">
        <f>$H$39</f>
        <v>2464.9545916358588</v>
      </c>
      <c r="U52" s="249">
        <f>(T52*8.34*1.135)/45000</f>
        <v>0.51851141486590835</v>
      </c>
    </row>
    <row r="53" spans="1:25" ht="48" customHeight="1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378">
        <f>E44/E49</f>
        <v>776.28727838932389</v>
      </c>
      <c r="J53" s="12"/>
      <c r="K53" s="86"/>
      <c r="L53" s="12"/>
      <c r="M53" s="12"/>
      <c r="N53" s="12"/>
      <c r="O53" s="12"/>
      <c r="P53" s="12"/>
      <c r="Q53" s="12"/>
      <c r="R53" s="311" t="s">
        <v>156</v>
      </c>
      <c r="S53" s="312"/>
      <c r="T53" s="247">
        <f>$B$39+$I$39+$AC$39</f>
        <v>15731.311963025726</v>
      </c>
      <c r="U53" s="249">
        <f>(T53*8.34*1.029*0.03)/3300</f>
        <v>1.2273083353001084</v>
      </c>
    </row>
    <row r="54" spans="1:25" ht="54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54"/>
      <c r="T54" s="251">
        <f>$D$39+$Y$39+$Z$39</f>
        <v>71759.798313887921</v>
      </c>
      <c r="U54" s="252">
        <f>(T54*1.54*8.34)/45000</f>
        <v>20.481203236094466</v>
      </c>
    </row>
    <row r="55" spans="1:25" ht="24" thickTop="1" x14ac:dyDescent="0.25">
      <c r="A55" s="589"/>
      <c r="B55" s="59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1"/>
      <c r="B56" s="59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7"/>
      <c r="B57" s="58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8"/>
      <c r="B58" s="58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7"/>
      <c r="B59" s="58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8"/>
      <c r="B60" s="588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</sheetData>
  <sheetProtection password="A25B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topLeftCell="A43" zoomScale="75" zoomScaleNormal="75" workbookViewId="0">
      <selection activeCell="I53" sqref="I53"/>
    </sheetView>
  </sheetViews>
  <sheetFormatPr defaultRowHeight="15" x14ac:dyDescent="0.2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  <c r="AT4" t="s">
        <v>169</v>
      </c>
      <c r="AU4" s="331" t="s">
        <v>207</v>
      </c>
    </row>
    <row r="5" spans="1:47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0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47" x14ac:dyDescent="0.25">
      <c r="A8" s="11">
        <v>41456</v>
      </c>
      <c r="B8" s="49"/>
      <c r="C8" s="50">
        <v>252.25906343459869</v>
      </c>
      <c r="D8" s="50">
        <v>2116.0114814122553</v>
      </c>
      <c r="E8" s="50">
        <v>31.387442299226937</v>
      </c>
      <c r="F8" s="50">
        <v>0</v>
      </c>
      <c r="G8" s="50">
        <v>6972.1123860676807</v>
      </c>
      <c r="H8" s="51">
        <v>79.443963019053029</v>
      </c>
      <c r="I8" s="49">
        <v>478.08538525899223</v>
      </c>
      <c r="J8" s="50">
        <v>992.06859480540106</v>
      </c>
      <c r="K8" s="50">
        <v>24.331592835982669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339.48986214995597</v>
      </c>
      <c r="V8" s="54">
        <v>217.05062764022324</v>
      </c>
      <c r="W8" s="54">
        <v>30.101485268204211</v>
      </c>
      <c r="X8" s="54">
        <v>19.245188144913524</v>
      </c>
      <c r="Y8" s="54">
        <v>241.69319407945048</v>
      </c>
      <c r="Z8" s="54">
        <v>154.52496619219536</v>
      </c>
      <c r="AA8" s="55">
        <v>0</v>
      </c>
      <c r="AB8" s="56">
        <v>228.09807935291275</v>
      </c>
      <c r="AC8" s="57">
        <v>0</v>
      </c>
      <c r="AD8" s="57">
        <v>20.242132535245673</v>
      </c>
      <c r="AE8" s="58">
        <v>12.199995452123968</v>
      </c>
      <c r="AF8" s="58">
        <v>7.799987467436428</v>
      </c>
      <c r="AG8" s="58">
        <v>0.61000029355985708</v>
      </c>
      <c r="AH8" s="57">
        <v>284.76673119862875</v>
      </c>
      <c r="AI8" s="57">
        <v>844.83665307362867</v>
      </c>
      <c r="AJ8" s="57">
        <v>3378.2662207285557</v>
      </c>
      <c r="AK8" s="57">
        <v>604.538609155019</v>
      </c>
      <c r="AL8" s="57">
        <v>5725.7415130615236</v>
      </c>
      <c r="AM8" s="57">
        <v>3020.3269123077393</v>
      </c>
      <c r="AN8" s="57">
        <v>657.36066726048784</v>
      </c>
      <c r="AO8" s="57">
        <v>2305.8169152577721</v>
      </c>
      <c r="AP8" s="57">
        <v>445.65707174936932</v>
      </c>
      <c r="AQ8" s="57">
        <v>866.94334395726514</v>
      </c>
    </row>
    <row r="9" spans="1:47" x14ac:dyDescent="0.25">
      <c r="A9" s="11">
        <v>41457</v>
      </c>
      <c r="B9" s="59"/>
      <c r="C9" s="60">
        <v>253.12390928268186</v>
      </c>
      <c r="D9" s="60">
        <v>2128.8937825520843</v>
      </c>
      <c r="E9" s="60">
        <v>31.373614438374869</v>
      </c>
      <c r="F9" s="60">
        <v>0</v>
      </c>
      <c r="G9" s="60">
        <v>6814.1568219502624</v>
      </c>
      <c r="H9" s="61">
        <v>79.599845564365211</v>
      </c>
      <c r="I9" s="59">
        <v>634.53045330047769</v>
      </c>
      <c r="J9" s="60">
        <v>1302.2117853800437</v>
      </c>
      <c r="K9" s="60">
        <v>31.752613725265007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433.405928187732</v>
      </c>
      <c r="V9" s="62">
        <v>216.03090949605405</v>
      </c>
      <c r="W9" s="62">
        <v>37.667375039738566</v>
      </c>
      <c r="X9" s="62">
        <v>18.77527915270916</v>
      </c>
      <c r="Y9" s="66">
        <v>309.900250798966</v>
      </c>
      <c r="Z9" s="66">
        <v>154.4695830836836</v>
      </c>
      <c r="AA9" s="67">
        <v>0</v>
      </c>
      <c r="AB9" s="68">
        <v>228.09769161012898</v>
      </c>
      <c r="AC9" s="69">
        <v>0</v>
      </c>
      <c r="AD9" s="69">
        <v>23.655627723534884</v>
      </c>
      <c r="AE9" s="68">
        <v>15.541590764195933</v>
      </c>
      <c r="AF9" s="68">
        <v>7.7466960404621359</v>
      </c>
      <c r="AG9" s="68">
        <v>0.66735655115202974</v>
      </c>
      <c r="AH9" s="69">
        <v>238.7506897131602</v>
      </c>
      <c r="AI9" s="69">
        <v>808.37312564849856</v>
      </c>
      <c r="AJ9" s="69">
        <v>3354.042612330119</v>
      </c>
      <c r="AK9" s="69">
        <v>615.88145535786953</v>
      </c>
      <c r="AL9" s="69">
        <v>5721.3101720174163</v>
      </c>
      <c r="AM9" s="69">
        <v>3034.7147092183432</v>
      </c>
      <c r="AN9" s="69">
        <v>661.54093319575009</v>
      </c>
      <c r="AO9" s="69">
        <v>2775.2909341176351</v>
      </c>
      <c r="AP9" s="69">
        <v>406.17693055470795</v>
      </c>
      <c r="AQ9" s="69">
        <v>913.10469271341947</v>
      </c>
    </row>
    <row r="10" spans="1:47" x14ac:dyDescent="0.25">
      <c r="A10" s="11">
        <v>41458</v>
      </c>
      <c r="B10" s="59"/>
      <c r="C10" s="60">
        <v>275.84563543001718</v>
      </c>
      <c r="D10" s="60">
        <v>2320.9931696573876</v>
      </c>
      <c r="E10" s="60">
        <v>34.046938126285902</v>
      </c>
      <c r="F10" s="60">
        <v>0</v>
      </c>
      <c r="G10" s="60">
        <v>7669.8775669097895</v>
      </c>
      <c r="H10" s="61">
        <v>87.229335486888573</v>
      </c>
      <c r="I10" s="59">
        <v>656.98435204823988</v>
      </c>
      <c r="J10" s="60">
        <v>1348.5272403081271</v>
      </c>
      <c r="K10" s="60">
        <v>32.973138594627386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455.78164436176309</v>
      </c>
      <c r="V10" s="62">
        <v>230.46185997173458</v>
      </c>
      <c r="W10" s="62">
        <v>39.423197761221381</v>
      </c>
      <c r="X10" s="62">
        <v>19.933982850071125</v>
      </c>
      <c r="Y10" s="66">
        <v>327.05331146134574</v>
      </c>
      <c r="Z10" s="66">
        <v>165.37154447025392</v>
      </c>
      <c r="AA10" s="67">
        <v>0</v>
      </c>
      <c r="AB10" s="68">
        <v>228.0923931757643</v>
      </c>
      <c r="AC10" s="69">
        <v>0</v>
      </c>
      <c r="AD10" s="69">
        <v>25.079372861650246</v>
      </c>
      <c r="AE10" s="68">
        <v>16.360642152739548</v>
      </c>
      <c r="AF10" s="68">
        <v>8.2726105087715958</v>
      </c>
      <c r="AG10" s="68">
        <v>0.66416897425416543</v>
      </c>
      <c r="AH10" s="69">
        <v>283.29532875219985</v>
      </c>
      <c r="AI10" s="69">
        <v>870.98584060668952</v>
      </c>
      <c r="AJ10" s="69">
        <v>3380.1927275339758</v>
      </c>
      <c r="AK10" s="69">
        <v>618.13947572708128</v>
      </c>
      <c r="AL10" s="69">
        <v>4821.5212626139319</v>
      </c>
      <c r="AM10" s="69">
        <v>3113.7799214680986</v>
      </c>
      <c r="AN10" s="69">
        <v>681.20192623138416</v>
      </c>
      <c r="AO10" s="69">
        <v>3106.3777421315508</v>
      </c>
      <c r="AP10" s="69">
        <v>466.08864655494693</v>
      </c>
      <c r="AQ10" s="69">
        <v>945.28543240229305</v>
      </c>
    </row>
    <row r="11" spans="1:47" x14ac:dyDescent="0.25">
      <c r="A11" s="11">
        <v>41459</v>
      </c>
      <c r="B11" s="59"/>
      <c r="C11" s="60">
        <v>316.95576181411877</v>
      </c>
      <c r="D11" s="60">
        <v>2474.2194483439139</v>
      </c>
      <c r="E11" s="60">
        <v>36.350008865197609</v>
      </c>
      <c r="F11" s="60">
        <v>0</v>
      </c>
      <c r="G11" s="60">
        <v>7958.7274383545064</v>
      </c>
      <c r="H11" s="61">
        <v>93.334671278794275</v>
      </c>
      <c r="I11" s="59">
        <v>655.41151250203677</v>
      </c>
      <c r="J11" s="60">
        <v>1336.6007872899365</v>
      </c>
      <c r="K11" s="60">
        <v>31.993466794490821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444.27982059750741</v>
      </c>
      <c r="V11" s="62">
        <v>249.38387166493544</v>
      </c>
      <c r="W11" s="62">
        <v>38.156914878296462</v>
      </c>
      <c r="X11" s="62">
        <v>21.418301534247846</v>
      </c>
      <c r="Y11" s="66">
        <v>318.15799718445152</v>
      </c>
      <c r="Z11" s="66">
        <v>178.58896456812269</v>
      </c>
      <c r="AA11" s="67">
        <v>0</v>
      </c>
      <c r="AB11" s="68">
        <v>228.09034877353392</v>
      </c>
      <c r="AC11" s="69">
        <v>0</v>
      </c>
      <c r="AD11" s="69">
        <v>25.304962966177197</v>
      </c>
      <c r="AE11" s="68">
        <v>15.938348871750861</v>
      </c>
      <c r="AF11" s="68">
        <v>8.9465399176538387</v>
      </c>
      <c r="AG11" s="68">
        <v>0.64048302592925277</v>
      </c>
      <c r="AH11" s="69">
        <v>255.3661877155304</v>
      </c>
      <c r="AI11" s="69">
        <v>850.86624670028687</v>
      </c>
      <c r="AJ11" s="69">
        <v>3443.1725231170649</v>
      </c>
      <c r="AK11" s="69">
        <v>619.14799623489387</v>
      </c>
      <c r="AL11" s="69">
        <v>5428.9229644775387</v>
      </c>
      <c r="AM11" s="69">
        <v>3098.5750320434572</v>
      </c>
      <c r="AN11" s="69">
        <v>722.61555334726961</v>
      </c>
      <c r="AO11" s="69">
        <v>3229.7044245402021</v>
      </c>
      <c r="AP11" s="69">
        <v>495.56380402247112</v>
      </c>
      <c r="AQ11" s="69">
        <v>890.32152042388907</v>
      </c>
    </row>
    <row r="12" spans="1:47" x14ac:dyDescent="0.25">
      <c r="A12" s="11">
        <v>41460</v>
      </c>
      <c r="B12" s="59"/>
      <c r="C12" s="60">
        <v>327.53391160965032</v>
      </c>
      <c r="D12" s="60">
        <v>2448.6255043029755</v>
      </c>
      <c r="E12" s="60">
        <v>36.23516590694588</v>
      </c>
      <c r="F12" s="60">
        <v>0</v>
      </c>
      <c r="G12" s="60">
        <v>7910.7665079752624</v>
      </c>
      <c r="H12" s="61">
        <v>92.829069451490753</v>
      </c>
      <c r="I12" s="59">
        <v>648.12382828394732</v>
      </c>
      <c r="J12" s="60">
        <v>1308.5033559799203</v>
      </c>
      <c r="K12" s="60">
        <v>31.604111363490397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445.93672379736461</v>
      </c>
      <c r="V12" s="62">
        <v>250.25938703400482</v>
      </c>
      <c r="W12" s="62">
        <v>38.406867267601676</v>
      </c>
      <c r="X12" s="62">
        <v>21.553907869345974</v>
      </c>
      <c r="Y12" s="66">
        <v>319.47411926238266</v>
      </c>
      <c r="Z12" s="66">
        <v>179.28865911514987</v>
      </c>
      <c r="AA12" s="67">
        <v>0</v>
      </c>
      <c r="AB12" s="68">
        <v>228.09071476194831</v>
      </c>
      <c r="AC12" s="69">
        <v>0</v>
      </c>
      <c r="AD12" s="69">
        <v>25.424145649539092</v>
      </c>
      <c r="AE12" s="68">
        <v>16.000184474657047</v>
      </c>
      <c r="AF12" s="68">
        <v>8.9792926784791884</v>
      </c>
      <c r="AG12" s="68">
        <v>0.64053320157856797</v>
      </c>
      <c r="AH12" s="69">
        <v>294.0553304513295</v>
      </c>
      <c r="AI12" s="69">
        <v>901.69441397984815</v>
      </c>
      <c r="AJ12" s="69">
        <v>3342.6361815134687</v>
      </c>
      <c r="AK12" s="69">
        <v>619.7417099316915</v>
      </c>
      <c r="AL12" s="69">
        <v>5741.8474316914871</v>
      </c>
      <c r="AM12" s="69">
        <v>3131.2620811462393</v>
      </c>
      <c r="AN12" s="69">
        <v>730.39336318969731</v>
      </c>
      <c r="AO12" s="69">
        <v>3102.209921518961</v>
      </c>
      <c r="AP12" s="69">
        <v>442.90396374066671</v>
      </c>
      <c r="AQ12" s="69">
        <v>923.39615300496428</v>
      </c>
    </row>
    <row r="13" spans="1:47" x14ac:dyDescent="0.25">
      <c r="A13" s="11">
        <v>41461</v>
      </c>
      <c r="B13" s="59"/>
      <c r="C13" s="60">
        <v>324.1812230587019</v>
      </c>
      <c r="D13" s="60">
        <v>2513.9366352081265</v>
      </c>
      <c r="E13" s="60">
        <v>36.233496564626769</v>
      </c>
      <c r="F13" s="60">
        <v>0</v>
      </c>
      <c r="G13" s="60">
        <v>8433.2366236368835</v>
      </c>
      <c r="H13" s="61">
        <v>92.290792433420719</v>
      </c>
      <c r="I13" s="59">
        <v>648.11702073415347</v>
      </c>
      <c r="J13" s="60">
        <v>1308.4407309850062</v>
      </c>
      <c r="K13" s="60">
        <v>31.839624297618823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443.31663066311762</v>
      </c>
      <c r="V13" s="62">
        <v>236.21642885972787</v>
      </c>
      <c r="W13" s="62">
        <v>38.020999471532164</v>
      </c>
      <c r="X13" s="62">
        <v>20.259074655982968</v>
      </c>
      <c r="Y13" s="66">
        <v>299.13286570950044</v>
      </c>
      <c r="Z13" s="66">
        <v>159.38968314087526</v>
      </c>
      <c r="AA13" s="67">
        <v>0</v>
      </c>
      <c r="AB13" s="68">
        <v>228.09323300256051</v>
      </c>
      <c r="AC13" s="69">
        <v>0</v>
      </c>
      <c r="AD13" s="69">
        <v>24.778968611028439</v>
      </c>
      <c r="AE13" s="68">
        <v>15.89508738021045</v>
      </c>
      <c r="AF13" s="68">
        <v>8.469523851948324</v>
      </c>
      <c r="AG13" s="68">
        <v>0.65238419890035326</v>
      </c>
      <c r="AH13" s="69">
        <v>240.57796521186827</v>
      </c>
      <c r="AI13" s="69">
        <v>844.07275940577165</v>
      </c>
      <c r="AJ13" s="69">
        <v>3416.9307916005459</v>
      </c>
      <c r="AK13" s="69">
        <v>617.69745680491121</v>
      </c>
      <c r="AL13" s="69">
        <v>5520.5494837443039</v>
      </c>
      <c r="AM13" s="69">
        <v>3066.9522010803221</v>
      </c>
      <c r="AN13" s="69">
        <v>727.85306507746373</v>
      </c>
      <c r="AO13" s="69">
        <v>3027.5418268839521</v>
      </c>
      <c r="AP13" s="69">
        <v>547.94342533747363</v>
      </c>
      <c r="AQ13" s="69">
        <v>941.74163942337043</v>
      </c>
    </row>
    <row r="14" spans="1:47" x14ac:dyDescent="0.25">
      <c r="A14" s="11">
        <v>41462</v>
      </c>
      <c r="B14" s="59"/>
      <c r="C14" s="60">
        <v>324.78367141087915</v>
      </c>
      <c r="D14" s="60">
        <v>2517.5268903096498</v>
      </c>
      <c r="E14" s="60">
        <v>36.224996107816764</v>
      </c>
      <c r="F14" s="60">
        <v>0</v>
      </c>
      <c r="G14" s="60">
        <v>8438.3472941080818</v>
      </c>
      <c r="H14" s="61">
        <v>92.514753508567509</v>
      </c>
      <c r="I14" s="59">
        <v>629.91920941670617</v>
      </c>
      <c r="J14" s="60">
        <v>1239.3084733963017</v>
      </c>
      <c r="K14" s="60">
        <v>30.147377940018963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413.19382270261769</v>
      </c>
      <c r="V14" s="62">
        <v>249.16634950553808</v>
      </c>
      <c r="W14" s="62">
        <v>35.466145981913193</v>
      </c>
      <c r="X14" s="62">
        <v>21.386985089813237</v>
      </c>
      <c r="Y14" s="66">
        <v>275.15879852952037</v>
      </c>
      <c r="Z14" s="66">
        <v>165.92773075718119</v>
      </c>
      <c r="AA14" s="67">
        <v>0</v>
      </c>
      <c r="AB14" s="68">
        <v>228.09476680756052</v>
      </c>
      <c r="AC14" s="69">
        <v>0</v>
      </c>
      <c r="AD14" s="69">
        <v>24.093602697716811</v>
      </c>
      <c r="AE14" s="68">
        <v>14.828351404548069</v>
      </c>
      <c r="AF14" s="68">
        <v>8.9418717939443049</v>
      </c>
      <c r="AG14" s="68">
        <v>0.62382045304011102</v>
      </c>
      <c r="AH14" s="69">
        <v>216.80925494829813</v>
      </c>
      <c r="AI14" s="69">
        <v>813.20969845453919</v>
      </c>
      <c r="AJ14" s="69">
        <v>3399.8951742808017</v>
      </c>
      <c r="AK14" s="69">
        <v>612.40900093714401</v>
      </c>
      <c r="AL14" s="69">
        <v>5496.6920049031587</v>
      </c>
      <c r="AM14" s="69">
        <v>3068.4498090108241</v>
      </c>
      <c r="AN14" s="69">
        <v>716.85205539067579</v>
      </c>
      <c r="AO14" s="69">
        <v>2888.9046886444094</v>
      </c>
      <c r="AP14" s="69">
        <v>569.60394296646109</v>
      </c>
      <c r="AQ14" s="69">
        <v>932.67721964518216</v>
      </c>
    </row>
    <row r="15" spans="1:47" x14ac:dyDescent="0.25">
      <c r="A15" s="11">
        <v>41463</v>
      </c>
      <c r="B15" s="59"/>
      <c r="C15" s="60">
        <v>325.22998944918356</v>
      </c>
      <c r="D15" s="60">
        <v>2494.3289863745426</v>
      </c>
      <c r="E15" s="60">
        <v>36.442459618051856</v>
      </c>
      <c r="F15" s="60">
        <v>0</v>
      </c>
      <c r="G15" s="60">
        <v>8058.1840461731026</v>
      </c>
      <c r="H15" s="61">
        <v>93.270570039748961</v>
      </c>
      <c r="I15" s="59">
        <v>591.66819219589183</v>
      </c>
      <c r="J15" s="60">
        <v>1095.1644491831455</v>
      </c>
      <c r="K15" s="60">
        <v>26.551894143223823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376.00251204792079</v>
      </c>
      <c r="V15" s="62">
        <v>250.69707511706525</v>
      </c>
      <c r="W15" s="62">
        <v>31.99233611577921</v>
      </c>
      <c r="X15" s="62">
        <v>21.330668900865525</v>
      </c>
      <c r="Y15" s="66">
        <v>249.13442867234224</v>
      </c>
      <c r="Z15" s="66">
        <v>166.10865772927937</v>
      </c>
      <c r="AA15" s="67">
        <v>0</v>
      </c>
      <c r="AB15" s="68">
        <v>228.09025953081013</v>
      </c>
      <c r="AC15" s="69">
        <v>0</v>
      </c>
      <c r="AD15" s="69">
        <v>22.744440444310545</v>
      </c>
      <c r="AE15" s="68">
        <v>13.49923174875153</v>
      </c>
      <c r="AF15" s="68">
        <v>9.0005194308598711</v>
      </c>
      <c r="AG15" s="68">
        <v>0.5999724904062107</v>
      </c>
      <c r="AH15" s="69">
        <v>288.94784650802615</v>
      </c>
      <c r="AI15" s="69">
        <v>903.55968971252446</v>
      </c>
      <c r="AJ15" s="69">
        <v>3463.2678972880049</v>
      </c>
      <c r="AK15" s="69">
        <v>620.23245970408118</v>
      </c>
      <c r="AL15" s="69">
        <v>6005.2429832458492</v>
      </c>
      <c r="AM15" s="69">
        <v>3271.9850446065261</v>
      </c>
      <c r="AN15" s="69">
        <v>740.38981103897095</v>
      </c>
      <c r="AO15" s="69">
        <v>2658.3270043690995</v>
      </c>
      <c r="AP15" s="69">
        <v>584.22323656082153</v>
      </c>
      <c r="AQ15" s="69">
        <v>995.77414182027212</v>
      </c>
    </row>
    <row r="16" spans="1:47" x14ac:dyDescent="0.25">
      <c r="A16" s="11">
        <v>41464</v>
      </c>
      <c r="B16" s="59"/>
      <c r="C16" s="60">
        <v>314.41669487953186</v>
      </c>
      <c r="D16" s="60">
        <v>2379.3368381500268</v>
      </c>
      <c r="E16" s="60">
        <v>35.293549872438128</v>
      </c>
      <c r="F16" s="60">
        <v>0</v>
      </c>
      <c r="G16" s="60">
        <v>7706.4000175476021</v>
      </c>
      <c r="H16" s="61">
        <v>89.58945836226124</v>
      </c>
      <c r="I16" s="59">
        <v>716.36791534423776</v>
      </c>
      <c r="J16" s="60">
        <v>1297.5167705535887</v>
      </c>
      <c r="K16" s="60">
        <v>31.593786462148064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433.20903393325926</v>
      </c>
      <c r="V16" s="62">
        <v>240.4815162562866</v>
      </c>
      <c r="W16" s="62">
        <v>36.881037508870293</v>
      </c>
      <c r="X16" s="62">
        <v>20.473275316332643</v>
      </c>
      <c r="Y16" s="66">
        <v>287.72516184504201</v>
      </c>
      <c r="Z16" s="66">
        <v>159.7210071021766</v>
      </c>
      <c r="AA16" s="67">
        <v>0</v>
      </c>
      <c r="AB16" s="68">
        <v>228.08822009828262</v>
      </c>
      <c r="AC16" s="69">
        <v>0</v>
      </c>
      <c r="AD16" s="69">
        <v>24.43882511721716</v>
      </c>
      <c r="AE16" s="68">
        <v>15.542032322398805</v>
      </c>
      <c r="AF16" s="68">
        <v>8.6276397901030251</v>
      </c>
      <c r="AG16" s="68">
        <v>0.64303860846997773</v>
      </c>
      <c r="AH16" s="69">
        <v>257.43625389734899</v>
      </c>
      <c r="AI16" s="69">
        <v>852.42247460683188</v>
      </c>
      <c r="AJ16" s="69">
        <v>3480.2985670725511</v>
      </c>
      <c r="AK16" s="69">
        <v>622.46433327992759</v>
      </c>
      <c r="AL16" s="69">
        <v>6432.0727399190273</v>
      </c>
      <c r="AM16" s="69">
        <v>3383.5135265350345</v>
      </c>
      <c r="AN16" s="69">
        <v>762.60664688746135</v>
      </c>
      <c r="AO16" s="69">
        <v>2948.5084047953287</v>
      </c>
      <c r="AP16" s="69">
        <v>601.58353427251177</v>
      </c>
      <c r="AQ16" s="69">
        <v>988.86722691853834</v>
      </c>
    </row>
    <row r="17" spans="1:43" x14ac:dyDescent="0.25">
      <c r="A17" s="11">
        <v>41465</v>
      </c>
      <c r="B17" s="49"/>
      <c r="C17" s="50">
        <v>306.7309695879627</v>
      </c>
      <c r="D17" s="50">
        <v>2240.9858848571757</v>
      </c>
      <c r="E17" s="50">
        <v>34.294731311003396</v>
      </c>
      <c r="F17" s="50">
        <v>0</v>
      </c>
      <c r="G17" s="50">
        <v>7174.2256484985401</v>
      </c>
      <c r="H17" s="51">
        <v>87.16446730693157</v>
      </c>
      <c r="I17" s="49">
        <v>769.41594498952247</v>
      </c>
      <c r="J17" s="50">
        <v>1393.4322059631352</v>
      </c>
      <c r="K17" s="50">
        <v>33.924801941712801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476.62289119529868</v>
      </c>
      <c r="V17" s="66">
        <v>229.91750375726207</v>
      </c>
      <c r="W17" s="62">
        <v>41.027585570487027</v>
      </c>
      <c r="X17" s="62">
        <v>19.791244260000592</v>
      </c>
      <c r="Y17" s="66">
        <v>316.80848112909581</v>
      </c>
      <c r="Z17" s="66">
        <v>152.82483593614242</v>
      </c>
      <c r="AA17" s="67">
        <v>0</v>
      </c>
      <c r="AB17" s="68">
        <v>228.08880381054354</v>
      </c>
      <c r="AC17" s="69">
        <v>0</v>
      </c>
      <c r="AD17" s="69">
        <v>25.641279968288163</v>
      </c>
      <c r="AE17" s="68">
        <v>17.086679020121533</v>
      </c>
      <c r="AF17" s="68">
        <v>8.2424211265971099</v>
      </c>
      <c r="AG17" s="68">
        <v>0.67458689496062085</v>
      </c>
      <c r="AH17" s="69">
        <v>290.95930871963498</v>
      </c>
      <c r="AI17" s="69">
        <v>874.93062251408912</v>
      </c>
      <c r="AJ17" s="69">
        <v>3439.0375325520836</v>
      </c>
      <c r="AK17" s="69">
        <v>628.70549357732125</v>
      </c>
      <c r="AL17" s="69">
        <v>7208.5519605000809</v>
      </c>
      <c r="AM17" s="69">
        <v>2997.9820363362628</v>
      </c>
      <c r="AN17" s="69">
        <v>770.22083241144799</v>
      </c>
      <c r="AO17" s="69">
        <v>3163.1697208404539</v>
      </c>
      <c r="AP17" s="69">
        <v>584.97399603525798</v>
      </c>
      <c r="AQ17" s="69">
        <v>1000.4839823722839</v>
      </c>
    </row>
    <row r="18" spans="1:43" x14ac:dyDescent="0.25">
      <c r="A18" s="11">
        <v>41466</v>
      </c>
      <c r="B18" s="59"/>
      <c r="C18" s="60">
        <v>305.80673260688849</v>
      </c>
      <c r="D18" s="60">
        <v>2130.6009579976435</v>
      </c>
      <c r="E18" s="60">
        <v>34.385744397342215</v>
      </c>
      <c r="F18" s="60">
        <v>0</v>
      </c>
      <c r="G18" s="60">
        <v>7369.1336296081718</v>
      </c>
      <c r="H18" s="61">
        <v>86.453614469369015</v>
      </c>
      <c r="I18" s="59">
        <v>817.75215085347554</v>
      </c>
      <c r="J18" s="60">
        <v>1480.9581508636475</v>
      </c>
      <c r="K18" s="60">
        <v>36.158522858222305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509.85433830725009</v>
      </c>
      <c r="V18" s="62">
        <v>237.05955613414224</v>
      </c>
      <c r="W18" s="62">
        <v>43.761336181107332</v>
      </c>
      <c r="X18" s="62">
        <v>20.347071999765241</v>
      </c>
      <c r="Y18" s="66">
        <v>344.96651780384684</v>
      </c>
      <c r="Z18" s="66">
        <v>160.39406443657546</v>
      </c>
      <c r="AA18" s="67">
        <v>0</v>
      </c>
      <c r="AB18" s="68">
        <v>228.08842696083764</v>
      </c>
      <c r="AC18" s="69">
        <v>0</v>
      </c>
      <c r="AD18" s="69">
        <v>27.097940160168555</v>
      </c>
      <c r="AE18" s="68">
        <v>18.280861704572867</v>
      </c>
      <c r="AF18" s="68">
        <v>8.4997863817805221</v>
      </c>
      <c r="AG18" s="68">
        <v>0.68261461207461382</v>
      </c>
      <c r="AH18" s="69">
        <v>239.72116746902469</v>
      </c>
      <c r="AI18" s="69">
        <v>839.96445512771618</v>
      </c>
      <c r="AJ18" s="69">
        <v>3463.4844375610346</v>
      </c>
      <c r="AK18" s="69">
        <v>611.66685768763227</v>
      </c>
      <c r="AL18" s="69">
        <v>6991.7258639017746</v>
      </c>
      <c r="AM18" s="69">
        <v>2992.2686210632319</v>
      </c>
      <c r="AN18" s="69">
        <v>741.47637723286948</v>
      </c>
      <c r="AO18" s="69">
        <v>3381.8613011678062</v>
      </c>
      <c r="AP18" s="69">
        <v>593.08804858525605</v>
      </c>
      <c r="AQ18" s="69">
        <v>1155.6514620145163</v>
      </c>
    </row>
    <row r="19" spans="1:43" x14ac:dyDescent="0.25">
      <c r="A19" s="11">
        <v>41467</v>
      </c>
      <c r="B19" s="59"/>
      <c r="C19" s="60">
        <v>302.69864123662342</v>
      </c>
      <c r="D19" s="60">
        <v>2107.8803885142038</v>
      </c>
      <c r="E19" s="60">
        <v>40.717744894325755</v>
      </c>
      <c r="F19" s="60">
        <v>0</v>
      </c>
      <c r="G19" s="60">
        <v>6953.4750503540326</v>
      </c>
      <c r="H19" s="61">
        <v>85.727797468503184</v>
      </c>
      <c r="I19" s="59">
        <v>852.14970442453978</v>
      </c>
      <c r="J19" s="60">
        <v>1557.1301157633443</v>
      </c>
      <c r="K19" s="60">
        <v>38.183822929859204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508.40303484606386</v>
      </c>
      <c r="V19" s="62">
        <v>131.6761885536265</v>
      </c>
      <c r="W19" s="62">
        <v>43.720773343323998</v>
      </c>
      <c r="X19" s="62">
        <v>11.323663314104762</v>
      </c>
      <c r="Y19" s="66">
        <v>390.33242495998741</v>
      </c>
      <c r="Z19" s="66">
        <v>101.09594645356098</v>
      </c>
      <c r="AA19" s="67">
        <v>0</v>
      </c>
      <c r="AB19" s="68">
        <v>228.08885944154596</v>
      </c>
      <c r="AC19" s="69">
        <v>0</v>
      </c>
      <c r="AD19" s="69">
        <v>23.459870951043261</v>
      </c>
      <c r="AE19" s="68">
        <v>18.256525695285351</v>
      </c>
      <c r="AF19" s="68">
        <v>4.7284330639654781</v>
      </c>
      <c r="AG19" s="68">
        <v>0.79428142058064777</v>
      </c>
      <c r="AH19" s="69">
        <v>302.72524046897888</v>
      </c>
      <c r="AI19" s="69">
        <v>889.13659722010311</v>
      </c>
      <c r="AJ19" s="69">
        <v>3425.3427411397297</v>
      </c>
      <c r="AK19" s="69">
        <v>596.65951992670705</v>
      </c>
      <c r="AL19" s="69">
        <v>7055.2687001546219</v>
      </c>
      <c r="AM19" s="69">
        <v>3036.4340009053549</v>
      </c>
      <c r="AN19" s="69">
        <v>763.86674299240121</v>
      </c>
      <c r="AO19" s="69">
        <v>2979.9640492757162</v>
      </c>
      <c r="AP19" s="69">
        <v>571.52370440165203</v>
      </c>
      <c r="AQ19" s="69">
        <v>1023.7719731648764</v>
      </c>
    </row>
    <row r="20" spans="1:43" x14ac:dyDescent="0.25">
      <c r="A20" s="11">
        <v>41468</v>
      </c>
      <c r="B20" s="59"/>
      <c r="C20" s="60">
        <v>254.72011861800939</v>
      </c>
      <c r="D20" s="60">
        <v>2169.1614078521729</v>
      </c>
      <c r="E20" s="60">
        <v>35.283847316602859</v>
      </c>
      <c r="F20" s="60">
        <v>0</v>
      </c>
      <c r="G20" s="60">
        <v>7030.6375554402657</v>
      </c>
      <c r="H20" s="61">
        <v>85.998647395769709</v>
      </c>
      <c r="I20" s="59">
        <v>745.77133022944099</v>
      </c>
      <c r="J20" s="60">
        <v>1377.0398370107016</v>
      </c>
      <c r="K20" s="60">
        <v>33.530186917384398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456.83765273687686</v>
      </c>
      <c r="V20" s="62">
        <v>223.09740348328569</v>
      </c>
      <c r="W20" s="62">
        <v>39.908497881332913</v>
      </c>
      <c r="X20" s="62">
        <v>19.489379215797012</v>
      </c>
      <c r="Y20" s="66">
        <v>364.71073158697442</v>
      </c>
      <c r="Z20" s="66">
        <v>178.10707316283239</v>
      </c>
      <c r="AA20" s="67">
        <v>0</v>
      </c>
      <c r="AB20" s="68">
        <v>228.1056831253897</v>
      </c>
      <c r="AC20" s="69">
        <v>0</v>
      </c>
      <c r="AD20" s="69">
        <v>25.202835837337705</v>
      </c>
      <c r="AE20" s="68">
        <v>16.631156788337705</v>
      </c>
      <c r="AF20" s="68">
        <v>8.1218522032346794</v>
      </c>
      <c r="AG20" s="68">
        <v>0.67188424623447141</v>
      </c>
      <c r="AH20" s="69">
        <v>244.94886296590167</v>
      </c>
      <c r="AI20" s="69">
        <v>799.24871590932196</v>
      </c>
      <c r="AJ20" s="69">
        <v>3395.2102325439455</v>
      </c>
      <c r="AK20" s="69">
        <v>584.63000872929899</v>
      </c>
      <c r="AL20" s="69">
        <v>5557.5906178792329</v>
      </c>
      <c r="AM20" s="69">
        <v>2972.3115047454839</v>
      </c>
      <c r="AN20" s="69">
        <v>750.28906790415442</v>
      </c>
      <c r="AO20" s="69">
        <v>3140.2205848693852</v>
      </c>
      <c r="AP20" s="69">
        <v>508.584608745575</v>
      </c>
      <c r="AQ20" s="69">
        <v>982.61319465637212</v>
      </c>
    </row>
    <row r="21" spans="1:43" x14ac:dyDescent="0.25">
      <c r="A21" s="11">
        <v>41469</v>
      </c>
      <c r="B21" s="59"/>
      <c r="C21" s="60">
        <v>231.85592455863764</v>
      </c>
      <c r="D21" s="60">
        <v>2088.3476519266783</v>
      </c>
      <c r="E21" s="60">
        <v>32.459349276125366</v>
      </c>
      <c r="F21" s="60">
        <v>0</v>
      </c>
      <c r="G21" s="60">
        <v>6541.5786271413108</v>
      </c>
      <c r="H21" s="61">
        <v>82.079466867446769</v>
      </c>
      <c r="I21" s="59">
        <v>557.2330470085144</v>
      </c>
      <c r="J21" s="60">
        <v>1031.6542454401651</v>
      </c>
      <c r="K21" s="60">
        <v>25.001301300525615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344.71875884115985</v>
      </c>
      <c r="V21" s="62">
        <v>222.77652352273248</v>
      </c>
      <c r="W21" s="62">
        <v>29.702211539947225</v>
      </c>
      <c r="X21" s="62">
        <v>19.195228742556484</v>
      </c>
      <c r="Y21" s="66">
        <v>263.15861876336248</v>
      </c>
      <c r="Z21" s="66">
        <v>170.06780373724771</v>
      </c>
      <c r="AA21" s="67">
        <v>0</v>
      </c>
      <c r="AB21" s="68">
        <v>228.43108777999606</v>
      </c>
      <c r="AC21" s="69">
        <v>0</v>
      </c>
      <c r="AD21" s="69">
        <v>21.066212705771122</v>
      </c>
      <c r="AE21" s="68">
        <v>12.57473285633521</v>
      </c>
      <c r="AF21" s="68">
        <v>8.1264949995142306</v>
      </c>
      <c r="AG21" s="68">
        <v>0.60743898593348566</v>
      </c>
      <c r="AH21" s="69">
        <v>207.59111344814301</v>
      </c>
      <c r="AI21" s="69">
        <v>747.33433780670168</v>
      </c>
      <c r="AJ21" s="69">
        <v>3268.7700467427571</v>
      </c>
      <c r="AK21" s="69">
        <v>564.18394266764324</v>
      </c>
      <c r="AL21" s="69">
        <v>4674.3671333312996</v>
      </c>
      <c r="AM21" s="69">
        <v>2918.0655761718754</v>
      </c>
      <c r="AN21" s="69">
        <v>698.96895341873187</v>
      </c>
      <c r="AO21" s="69">
        <v>2637.4865014394127</v>
      </c>
      <c r="AP21" s="69">
        <v>482.73797671000153</v>
      </c>
      <c r="AQ21" s="69">
        <v>942.35073035558059</v>
      </c>
    </row>
    <row r="22" spans="1:43" x14ac:dyDescent="0.25">
      <c r="A22" s="11">
        <v>41470</v>
      </c>
      <c r="B22" s="59"/>
      <c r="C22" s="60">
        <v>206.1037646611513</v>
      </c>
      <c r="D22" s="60">
        <v>1856.3752740224195</v>
      </c>
      <c r="E22" s="60">
        <v>28.876940848429896</v>
      </c>
      <c r="F22" s="60">
        <v>0</v>
      </c>
      <c r="G22" s="60">
        <v>5811.7962568918938</v>
      </c>
      <c r="H22" s="61">
        <v>73.026451571782474</v>
      </c>
      <c r="I22" s="59">
        <v>508.25925858815566</v>
      </c>
      <c r="J22" s="60">
        <v>895.48193016052153</v>
      </c>
      <c r="K22" s="60">
        <v>21.733818354209276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298.50320586087997</v>
      </c>
      <c r="V22" s="62">
        <v>198.58306002097726</v>
      </c>
      <c r="W22" s="62">
        <v>25.741455422559355</v>
      </c>
      <c r="X22" s="62">
        <v>17.124831113498395</v>
      </c>
      <c r="Y22" s="66">
        <v>210.52634489719196</v>
      </c>
      <c r="Z22" s="66">
        <v>140.05533261910938</v>
      </c>
      <c r="AA22" s="67">
        <v>0</v>
      </c>
      <c r="AB22" s="68">
        <v>228.42896297242979</v>
      </c>
      <c r="AC22" s="69">
        <v>0</v>
      </c>
      <c r="AD22" s="69">
        <v>18.478100748856853</v>
      </c>
      <c r="AE22" s="68">
        <v>10.898829845627784</v>
      </c>
      <c r="AF22" s="68">
        <v>7.2505853836672749</v>
      </c>
      <c r="AG22" s="68">
        <v>0.60050584043258481</v>
      </c>
      <c r="AH22" s="69">
        <v>268.70098766485847</v>
      </c>
      <c r="AI22" s="69">
        <v>807.67377204895013</v>
      </c>
      <c r="AJ22" s="69">
        <v>3053.8665259043378</v>
      </c>
      <c r="AK22" s="69">
        <v>558.33481772740686</v>
      </c>
      <c r="AL22" s="69">
        <v>3793.9479807535818</v>
      </c>
      <c r="AM22" s="69">
        <v>2922.8874425252279</v>
      </c>
      <c r="AN22" s="69">
        <v>664.89626893997206</v>
      </c>
      <c r="AO22" s="69">
        <v>2097.0296427408857</v>
      </c>
      <c r="AP22" s="69">
        <v>464.36760786374413</v>
      </c>
      <c r="AQ22" s="69">
        <v>972.04642858505258</v>
      </c>
    </row>
    <row r="23" spans="1:43" x14ac:dyDescent="0.25">
      <c r="A23" s="11">
        <v>41471</v>
      </c>
      <c r="B23" s="59"/>
      <c r="C23" s="60">
        <v>217.86515960693134</v>
      </c>
      <c r="D23" s="60">
        <v>1962.0055601755816</v>
      </c>
      <c r="E23" s="60">
        <v>30.39286512732507</v>
      </c>
      <c r="F23" s="60">
        <v>0</v>
      </c>
      <c r="G23" s="60">
        <v>6106.3681825002031</v>
      </c>
      <c r="H23" s="61">
        <v>76.987599484125624</v>
      </c>
      <c r="I23" s="59">
        <v>615.51775487264013</v>
      </c>
      <c r="J23" s="60">
        <v>970.06436971028631</v>
      </c>
      <c r="K23" s="60">
        <v>23.581453380982101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328.73650187594279</v>
      </c>
      <c r="V23" s="62">
        <v>213.08510757874052</v>
      </c>
      <c r="W23" s="62">
        <v>27.949759382565613</v>
      </c>
      <c r="X23" s="62">
        <v>18.116873090903166</v>
      </c>
      <c r="Y23" s="66">
        <v>211.87637771305296</v>
      </c>
      <c r="Z23" s="66">
        <v>137.33704800271133</v>
      </c>
      <c r="AA23" s="67">
        <v>0</v>
      </c>
      <c r="AB23" s="68">
        <v>228.4625082121978</v>
      </c>
      <c r="AC23" s="69">
        <v>0</v>
      </c>
      <c r="AD23" s="69">
        <v>19.825564430819647</v>
      </c>
      <c r="AE23" s="68">
        <v>11.819738631539558</v>
      </c>
      <c r="AF23" s="68">
        <v>7.661486520303316</v>
      </c>
      <c r="AG23" s="68">
        <v>0.60672460481375012</v>
      </c>
      <c r="AH23" s="69">
        <v>224.18940407435099</v>
      </c>
      <c r="AI23" s="69">
        <v>764.58029963175443</v>
      </c>
      <c r="AJ23" s="69">
        <v>3191.4800607045495</v>
      </c>
      <c r="AK23" s="69">
        <v>561.13949476877849</v>
      </c>
      <c r="AL23" s="69">
        <v>4374.356060536702</v>
      </c>
      <c r="AM23" s="69">
        <v>3001.1960905710862</v>
      </c>
      <c r="AN23" s="69">
        <v>639.74272127151482</v>
      </c>
      <c r="AO23" s="69">
        <v>2289.9815834045407</v>
      </c>
      <c r="AP23" s="69">
        <v>399.45277921358746</v>
      </c>
      <c r="AQ23" s="69">
        <v>977.74680732091258</v>
      </c>
    </row>
    <row r="24" spans="1:43" x14ac:dyDescent="0.25">
      <c r="A24" s="11">
        <v>41472</v>
      </c>
      <c r="B24" s="59"/>
      <c r="C24" s="60">
        <v>240.36889664331898</v>
      </c>
      <c r="D24" s="60">
        <v>2056.3727979024252</v>
      </c>
      <c r="E24" s="60">
        <v>31.559706280132151</v>
      </c>
      <c r="F24" s="60">
        <v>0</v>
      </c>
      <c r="G24" s="60">
        <v>6701.5425046284963</v>
      </c>
      <c r="H24" s="61">
        <v>80.095160327354961</v>
      </c>
      <c r="I24" s="59">
        <v>693.37811599175018</v>
      </c>
      <c r="J24" s="60">
        <v>1209.5485270818042</v>
      </c>
      <c r="K24" s="60">
        <v>28.535669998824588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375.9676247123208</v>
      </c>
      <c r="V24" s="62">
        <v>225.74734585516879</v>
      </c>
      <c r="W24" s="62">
        <v>32.142218095555265</v>
      </c>
      <c r="X24" s="62">
        <v>19.299588443344476</v>
      </c>
      <c r="Y24" s="66">
        <v>236.85460104875739</v>
      </c>
      <c r="Z24" s="66">
        <v>142.21782415774487</v>
      </c>
      <c r="AA24" s="67">
        <v>0</v>
      </c>
      <c r="AB24" s="68">
        <v>228.42588988409958</v>
      </c>
      <c r="AC24" s="69">
        <v>0</v>
      </c>
      <c r="AD24" s="69">
        <v>21.613648338450346</v>
      </c>
      <c r="AE24" s="68">
        <v>13.32063461401302</v>
      </c>
      <c r="AF24" s="68">
        <v>7.9982895110207179</v>
      </c>
      <c r="AG24" s="68">
        <v>0.62482677530482267</v>
      </c>
      <c r="AH24" s="69">
        <v>265.59698556264237</v>
      </c>
      <c r="AI24" s="69">
        <v>820.5405810674032</v>
      </c>
      <c r="AJ24" s="69">
        <v>3316.3096041361487</v>
      </c>
      <c r="AK24" s="69">
        <v>572.56002127329509</v>
      </c>
      <c r="AL24" s="69">
        <v>4429.2794654846175</v>
      </c>
      <c r="AM24" s="69">
        <v>3136.1405540466303</v>
      </c>
      <c r="AN24" s="69">
        <v>679.11330963770536</v>
      </c>
      <c r="AO24" s="69">
        <v>2602.0624641418458</v>
      </c>
      <c r="AP24" s="69">
        <v>401.92456059455861</v>
      </c>
      <c r="AQ24" s="69">
        <v>998.30560731887829</v>
      </c>
    </row>
    <row r="25" spans="1:43" x14ac:dyDescent="0.25">
      <c r="A25" s="11">
        <v>41473</v>
      </c>
      <c r="B25" s="59"/>
      <c r="C25" s="60">
        <v>228.30472616354413</v>
      </c>
      <c r="D25" s="60">
        <v>2053.6810052235928</v>
      </c>
      <c r="E25" s="60">
        <v>31.945174126823737</v>
      </c>
      <c r="F25" s="60">
        <v>0</v>
      </c>
      <c r="G25" s="60">
        <v>6437.1534694671536</v>
      </c>
      <c r="H25" s="61">
        <v>80.596745419502128</v>
      </c>
      <c r="I25" s="59">
        <v>647.38667793273908</v>
      </c>
      <c r="J25" s="60">
        <v>1474.2358793894405</v>
      </c>
      <c r="K25" s="60">
        <v>32.520843801895744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445.37705576328364</v>
      </c>
      <c r="V25" s="62">
        <v>221.33033767102592</v>
      </c>
      <c r="W25" s="62">
        <v>38.203303913045467</v>
      </c>
      <c r="X25" s="62">
        <v>18.985149876506604</v>
      </c>
      <c r="Y25" s="66">
        <v>291.54361212388153</v>
      </c>
      <c r="Z25" s="66">
        <v>144.88273538613856</v>
      </c>
      <c r="AA25" s="67">
        <v>0</v>
      </c>
      <c r="AB25" s="68">
        <v>228.42033831278474</v>
      </c>
      <c r="AC25" s="69">
        <v>0</v>
      </c>
      <c r="AD25" s="69">
        <v>24.068672501378636</v>
      </c>
      <c r="AE25" s="68">
        <v>15.890370860601374</v>
      </c>
      <c r="AF25" s="68">
        <v>7.8967272848559498</v>
      </c>
      <c r="AG25" s="68">
        <v>0.66802477391030535</v>
      </c>
      <c r="AH25" s="69">
        <v>247.70997406641644</v>
      </c>
      <c r="AI25" s="69">
        <v>792.51039409637451</v>
      </c>
      <c r="AJ25" s="69">
        <v>3348.2321481068925</v>
      </c>
      <c r="AK25" s="69">
        <v>573.67011922200516</v>
      </c>
      <c r="AL25" s="69">
        <v>4688.4950248718269</v>
      </c>
      <c r="AM25" s="69">
        <v>3281.6857421875002</v>
      </c>
      <c r="AN25" s="69">
        <v>757.4305840810141</v>
      </c>
      <c r="AO25" s="69">
        <v>3148.8919611612955</v>
      </c>
      <c r="AP25" s="69">
        <v>410.25023447672515</v>
      </c>
      <c r="AQ25" s="69">
        <v>1026.1836318651835</v>
      </c>
    </row>
    <row r="26" spans="1:43" x14ac:dyDescent="0.25">
      <c r="A26" s="11">
        <v>41474</v>
      </c>
      <c r="B26" s="59"/>
      <c r="C26" s="60">
        <v>227.94102408090981</v>
      </c>
      <c r="D26" s="60">
        <v>2053.6615224202496</v>
      </c>
      <c r="E26" s="60">
        <v>31.910892290870375</v>
      </c>
      <c r="F26" s="60">
        <v>0</v>
      </c>
      <c r="G26" s="60">
        <v>6359.4981472015443</v>
      </c>
      <c r="H26" s="61">
        <v>80.836847519874496</v>
      </c>
      <c r="I26" s="59">
        <v>539.94844388961815</v>
      </c>
      <c r="J26" s="60">
        <v>1214.5545998255413</v>
      </c>
      <c r="K26" s="60">
        <v>26.541283838947596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371.30582833758126</v>
      </c>
      <c r="V26" s="62">
        <v>215.88487342260476</v>
      </c>
      <c r="W26" s="62">
        <v>31.878168158376521</v>
      </c>
      <c r="X26" s="62">
        <v>18.534625024950277</v>
      </c>
      <c r="Y26" s="66">
        <v>247.32989991307787</v>
      </c>
      <c r="Z26" s="66">
        <v>143.80270941455629</v>
      </c>
      <c r="AA26" s="67">
        <v>0</v>
      </c>
      <c r="AB26" s="68">
        <v>228.42240214877722</v>
      </c>
      <c r="AC26" s="69">
        <v>0</v>
      </c>
      <c r="AD26" s="69">
        <v>21.356705192062574</v>
      </c>
      <c r="AE26" s="68">
        <v>13.337422867012673</v>
      </c>
      <c r="AF26" s="68">
        <v>7.7546529778976705</v>
      </c>
      <c r="AG26" s="68">
        <v>0.63234282699732858</v>
      </c>
      <c r="AH26" s="69">
        <v>287.221800661087</v>
      </c>
      <c r="AI26" s="69">
        <v>833.12538693745933</v>
      </c>
      <c r="AJ26" s="69">
        <v>3298.3386267344163</v>
      </c>
      <c r="AK26" s="69">
        <v>561.97694927851353</v>
      </c>
      <c r="AL26" s="69">
        <v>5243.9806873321531</v>
      </c>
      <c r="AM26" s="69">
        <v>3394.2732721964512</v>
      </c>
      <c r="AN26" s="69">
        <v>703.20519866943357</v>
      </c>
      <c r="AO26" s="69">
        <v>2650.7123683929444</v>
      </c>
      <c r="AP26" s="69">
        <v>405.91425666809079</v>
      </c>
      <c r="AQ26" s="69">
        <v>967.89625314076739</v>
      </c>
    </row>
    <row r="27" spans="1:43" x14ac:dyDescent="0.25">
      <c r="A27" s="11">
        <v>41475</v>
      </c>
      <c r="B27" s="59"/>
      <c r="C27" s="60">
        <v>228.58988165855175</v>
      </c>
      <c r="D27" s="60">
        <v>2057.2877339681027</v>
      </c>
      <c r="E27" s="60">
        <v>32.089452659587046</v>
      </c>
      <c r="F27" s="60">
        <v>0</v>
      </c>
      <c r="G27" s="60">
        <v>6435.9437795003096</v>
      </c>
      <c r="H27" s="61">
        <v>81.017378556728218</v>
      </c>
      <c r="I27" s="59">
        <v>593.0589343070975</v>
      </c>
      <c r="J27" s="60">
        <v>1232.4645065943391</v>
      </c>
      <c r="K27" s="60">
        <v>27.016929098963615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383.23908510443471</v>
      </c>
      <c r="V27" s="62">
        <v>219.30639303819916</v>
      </c>
      <c r="W27" s="62">
        <v>32.760046037302892</v>
      </c>
      <c r="X27" s="62">
        <v>18.746750557157906</v>
      </c>
      <c r="Y27" s="62">
        <v>252.12435659127416</v>
      </c>
      <c r="Z27" s="62">
        <v>144.27673322005128</v>
      </c>
      <c r="AA27" s="72">
        <v>0</v>
      </c>
      <c r="AB27" s="69">
        <v>228.55585696962345</v>
      </c>
      <c r="AC27" s="69">
        <v>0</v>
      </c>
      <c r="AD27" s="69">
        <v>21.63232155839599</v>
      </c>
      <c r="AE27" s="69">
        <v>13.594644476951784</v>
      </c>
      <c r="AF27" s="69">
        <v>7.7794582044379039</v>
      </c>
      <c r="AG27" s="69">
        <v>0.63603345972453684</v>
      </c>
      <c r="AH27" s="69">
        <v>230.17215363979341</v>
      </c>
      <c r="AI27" s="69">
        <v>793.60896307627365</v>
      </c>
      <c r="AJ27" s="69">
        <v>3333.8721249898267</v>
      </c>
      <c r="AK27" s="69">
        <v>553.10506305694571</v>
      </c>
      <c r="AL27" s="69">
        <v>5093.4865964253731</v>
      </c>
      <c r="AM27" s="69">
        <v>3349.2846841176352</v>
      </c>
      <c r="AN27" s="69">
        <v>724.21618426640828</v>
      </c>
      <c r="AO27" s="69">
        <v>2640.8884441375735</v>
      </c>
      <c r="AP27" s="69">
        <v>410.43560679753602</v>
      </c>
      <c r="AQ27" s="69">
        <v>1015.9298233350117</v>
      </c>
    </row>
    <row r="28" spans="1:43" x14ac:dyDescent="0.25">
      <c r="A28" s="11">
        <v>41476</v>
      </c>
      <c r="B28" s="59"/>
      <c r="C28" s="60">
        <v>228.62537438074492</v>
      </c>
      <c r="D28" s="60">
        <v>2057.2748519897473</v>
      </c>
      <c r="E28" s="60">
        <v>31.943460022906482</v>
      </c>
      <c r="F28" s="60">
        <v>0</v>
      </c>
      <c r="G28" s="60">
        <v>6600.0946965535804</v>
      </c>
      <c r="H28" s="61">
        <v>80.748418521880936</v>
      </c>
      <c r="I28" s="59">
        <v>622.14332965215067</v>
      </c>
      <c r="J28" s="60">
        <v>1268.8435672760006</v>
      </c>
      <c r="K28" s="60">
        <v>27.785391042629765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395.85388351829516</v>
      </c>
      <c r="V28" s="62">
        <v>226.24627686853131</v>
      </c>
      <c r="W28" s="62">
        <v>34.208323774897828</v>
      </c>
      <c r="X28" s="62">
        <v>19.551420901056286</v>
      </c>
      <c r="Y28" s="66">
        <v>259.45377460927693</v>
      </c>
      <c r="Z28" s="66">
        <v>148.28817644307142</v>
      </c>
      <c r="AA28" s="67">
        <v>0</v>
      </c>
      <c r="AB28" s="68">
        <v>228.57599476708162</v>
      </c>
      <c r="AC28" s="69">
        <v>0</v>
      </c>
      <c r="AD28" s="69">
        <v>22.270547751585624</v>
      </c>
      <c r="AE28" s="68">
        <v>13.997575503649962</v>
      </c>
      <c r="AF28" s="68">
        <v>8.0001724746009639</v>
      </c>
      <c r="AG28" s="68">
        <v>0.636318568495707</v>
      </c>
      <c r="AH28" s="69">
        <v>212.70169676939648</v>
      </c>
      <c r="AI28" s="69">
        <v>761.67810554504388</v>
      </c>
      <c r="AJ28" s="69">
        <v>3356.881967926025</v>
      </c>
      <c r="AK28" s="69">
        <v>589.90475686391187</v>
      </c>
      <c r="AL28" s="69">
        <v>5832.6242925008137</v>
      </c>
      <c r="AM28" s="69">
        <v>3349.3711700439449</v>
      </c>
      <c r="AN28" s="69">
        <v>737.65857814153048</v>
      </c>
      <c r="AO28" s="69">
        <v>2716.8748696645102</v>
      </c>
      <c r="AP28" s="69">
        <v>423.36377623875944</v>
      </c>
      <c r="AQ28" s="69">
        <v>1031.758304373423</v>
      </c>
    </row>
    <row r="29" spans="1:43" x14ac:dyDescent="0.25">
      <c r="A29" s="11">
        <v>41477</v>
      </c>
      <c r="B29" s="59"/>
      <c r="C29" s="60">
        <v>228.7552164077733</v>
      </c>
      <c r="D29" s="60">
        <v>2059.4286394755072</v>
      </c>
      <c r="E29" s="60">
        <v>31.796250844995171</v>
      </c>
      <c r="F29" s="60">
        <v>0</v>
      </c>
      <c r="G29" s="60">
        <v>6607.7904642740968</v>
      </c>
      <c r="H29" s="61">
        <v>80.790599898497078</v>
      </c>
      <c r="I29" s="59">
        <v>466.22724968592274</v>
      </c>
      <c r="J29" s="60">
        <v>1334.7297677993795</v>
      </c>
      <c r="K29" s="60">
        <v>29.354622157414791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393.40767119568835</v>
      </c>
      <c r="V29" s="62">
        <v>220.04406529689533</v>
      </c>
      <c r="W29" s="62">
        <v>34.052453637047797</v>
      </c>
      <c r="X29" s="62">
        <v>19.046502852515218</v>
      </c>
      <c r="Y29" s="66">
        <v>281.29659486240894</v>
      </c>
      <c r="Z29" s="66">
        <v>157.33716147316602</v>
      </c>
      <c r="AA29" s="67">
        <v>0</v>
      </c>
      <c r="AB29" s="68">
        <v>228.41242439481417</v>
      </c>
      <c r="AC29" s="69">
        <v>0</v>
      </c>
      <c r="AD29" s="69">
        <v>21.952133197916869</v>
      </c>
      <c r="AE29" s="68">
        <v>13.912018452944789</v>
      </c>
      <c r="AF29" s="68">
        <v>7.7813863862066626</v>
      </c>
      <c r="AG29" s="68">
        <v>0.6413017484390876</v>
      </c>
      <c r="AH29" s="69">
        <v>295.5842051664988</v>
      </c>
      <c r="AI29" s="69">
        <v>860.8375646909077</v>
      </c>
      <c r="AJ29" s="69">
        <v>3372.4750357309977</v>
      </c>
      <c r="AK29" s="69">
        <v>552.78799991607673</v>
      </c>
      <c r="AL29" s="69">
        <v>6232.2203496297197</v>
      </c>
      <c r="AM29" s="69">
        <v>3261.7110795338949</v>
      </c>
      <c r="AN29" s="69">
        <v>751.22619838714581</v>
      </c>
      <c r="AO29" s="69">
        <v>2756.2373935699461</v>
      </c>
      <c r="AP29" s="69">
        <v>489.53724366823826</v>
      </c>
      <c r="AQ29" s="69">
        <v>1107.5819013277689</v>
      </c>
    </row>
    <row r="30" spans="1:43" x14ac:dyDescent="0.25">
      <c r="A30" s="11">
        <v>41478</v>
      </c>
      <c r="B30" s="59"/>
      <c r="C30" s="60">
        <v>229.03594779968034</v>
      </c>
      <c r="D30" s="60">
        <v>2062.6447867075576</v>
      </c>
      <c r="E30" s="60">
        <v>31.814512704809477</v>
      </c>
      <c r="F30" s="60">
        <v>0</v>
      </c>
      <c r="G30" s="60">
        <v>6700.2421193440423</v>
      </c>
      <c r="H30" s="61">
        <v>80.824612053235214</v>
      </c>
      <c r="I30" s="59">
        <v>729.34857419331911</v>
      </c>
      <c r="J30" s="60">
        <v>1474.7832777659107</v>
      </c>
      <c r="K30" s="60">
        <v>32.383551398913106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445.63021076382063</v>
      </c>
      <c r="V30" s="62">
        <v>213.3477507552125</v>
      </c>
      <c r="W30" s="62">
        <v>38.526505734450005</v>
      </c>
      <c r="X30" s="62">
        <v>18.444762371056967</v>
      </c>
      <c r="Y30" s="66">
        <v>331.22651895006339</v>
      </c>
      <c r="Z30" s="66">
        <v>158.57639608264188</v>
      </c>
      <c r="AA30" s="67">
        <v>0</v>
      </c>
      <c r="AB30" s="68">
        <v>228.41138865152439</v>
      </c>
      <c r="AC30" s="69">
        <v>0</v>
      </c>
      <c r="AD30" s="69">
        <v>23.413599306344945</v>
      </c>
      <c r="AE30" s="68">
        <v>15.558270735943164</v>
      </c>
      <c r="AF30" s="68">
        <v>7.448601973068036</v>
      </c>
      <c r="AG30" s="68">
        <v>0.67624448279967186</v>
      </c>
      <c r="AH30" s="69">
        <v>255.69584242502847</v>
      </c>
      <c r="AI30" s="69">
        <v>846.86004861195897</v>
      </c>
      <c r="AJ30" s="69">
        <v>3336.8045973459884</v>
      </c>
      <c r="AK30" s="69">
        <v>575.75957530339554</v>
      </c>
      <c r="AL30" s="69">
        <v>6158.0969202677397</v>
      </c>
      <c r="AM30" s="69">
        <v>3055.4410420735676</v>
      </c>
      <c r="AN30" s="69">
        <v>649.93715248107901</v>
      </c>
      <c r="AO30" s="69">
        <v>3135.1310724894206</v>
      </c>
      <c r="AP30" s="69">
        <v>510.18920844395961</v>
      </c>
      <c r="AQ30" s="69">
        <v>1061.4487087567647</v>
      </c>
    </row>
    <row r="31" spans="1:43" x14ac:dyDescent="0.25">
      <c r="A31" s="11">
        <v>41479</v>
      </c>
      <c r="B31" s="59"/>
      <c r="C31" s="60">
        <v>228.16079392432917</v>
      </c>
      <c r="D31" s="60">
        <v>2054.8925910949733</v>
      </c>
      <c r="E31" s="60">
        <v>31.753577523926882</v>
      </c>
      <c r="F31" s="60">
        <v>0</v>
      </c>
      <c r="G31" s="60">
        <v>6721.8646240234339</v>
      </c>
      <c r="H31" s="61">
        <v>80.260830847422284</v>
      </c>
      <c r="I31" s="59">
        <v>774.98016462326086</v>
      </c>
      <c r="J31" s="60">
        <v>1565.5565111160295</v>
      </c>
      <c r="K31" s="60">
        <v>34.010451920827251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477.63197104519418</v>
      </c>
      <c r="V31" s="62">
        <v>225.30734150821127</v>
      </c>
      <c r="W31" s="62">
        <v>41.191283448063594</v>
      </c>
      <c r="X31" s="62">
        <v>19.430647715406476</v>
      </c>
      <c r="Y31" s="66">
        <v>359.29585105442573</v>
      </c>
      <c r="Z31" s="66">
        <v>169.48612723486031</v>
      </c>
      <c r="AA31" s="67">
        <v>0</v>
      </c>
      <c r="AB31" s="68">
        <v>228.438801670077</v>
      </c>
      <c r="AC31" s="69">
        <v>0</v>
      </c>
      <c r="AD31" s="69">
        <v>25.285271958510048</v>
      </c>
      <c r="AE31" s="68">
        <v>16.851875583519426</v>
      </c>
      <c r="AF31" s="68">
        <v>7.9493239927832127</v>
      </c>
      <c r="AG31" s="68">
        <v>0.67947824586764216</v>
      </c>
      <c r="AH31" s="69">
        <v>295.26965648333231</v>
      </c>
      <c r="AI31" s="69">
        <v>867.88337418238325</v>
      </c>
      <c r="AJ31" s="69">
        <v>3322.9884326934821</v>
      </c>
      <c r="AK31" s="69">
        <v>559.97824494043994</v>
      </c>
      <c r="AL31" s="69">
        <v>5745.4740681966159</v>
      </c>
      <c r="AM31" s="69">
        <v>3134.5962875366217</v>
      </c>
      <c r="AN31" s="69">
        <v>740.22667655944815</v>
      </c>
      <c r="AO31" s="69">
        <v>3239.1417985280359</v>
      </c>
      <c r="AP31" s="69">
        <v>508.86327387491866</v>
      </c>
      <c r="AQ31" s="69">
        <v>1085.0679057757059</v>
      </c>
    </row>
    <row r="32" spans="1:43" x14ac:dyDescent="0.25">
      <c r="A32" s="11">
        <v>41480</v>
      </c>
      <c r="B32" s="59"/>
      <c r="C32" s="60">
        <v>228.38434322674834</v>
      </c>
      <c r="D32" s="60">
        <v>2054.9237499237061</v>
      </c>
      <c r="E32" s="60">
        <v>31.982222034037068</v>
      </c>
      <c r="F32" s="60">
        <v>0</v>
      </c>
      <c r="G32" s="60">
        <v>6721.278693135544</v>
      </c>
      <c r="H32" s="61">
        <v>80.859819606939837</v>
      </c>
      <c r="I32" s="59">
        <v>760.24453357060713</v>
      </c>
      <c r="J32" s="60">
        <v>1541.5491192499801</v>
      </c>
      <c r="K32" s="60">
        <v>33.498418664932316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481.33914990038983</v>
      </c>
      <c r="V32" s="62">
        <v>220.98713243128796</v>
      </c>
      <c r="W32" s="62">
        <v>40.69050188544216</v>
      </c>
      <c r="X32" s="62">
        <v>18.68137534774521</v>
      </c>
      <c r="Y32" s="66">
        <v>357.4395128953991</v>
      </c>
      <c r="Z32" s="66">
        <v>164.10369484538504</v>
      </c>
      <c r="AA32" s="67">
        <v>0</v>
      </c>
      <c r="AB32" s="68">
        <v>228.75777796639619</v>
      </c>
      <c r="AC32" s="69">
        <v>0</v>
      </c>
      <c r="AD32" s="69">
        <v>24.906489454375393</v>
      </c>
      <c r="AE32" s="68">
        <v>16.760349838214463</v>
      </c>
      <c r="AF32" s="68">
        <v>7.6948273375616738</v>
      </c>
      <c r="AG32" s="68">
        <v>0.68534976122832114</v>
      </c>
      <c r="AH32" s="69">
        <v>239.98963295618691</v>
      </c>
      <c r="AI32" s="69">
        <v>776.28765074412036</v>
      </c>
      <c r="AJ32" s="69">
        <v>3275.2374986012787</v>
      </c>
      <c r="AK32" s="69">
        <v>551.85836350123077</v>
      </c>
      <c r="AL32" s="69">
        <v>5635.1416285196938</v>
      </c>
      <c r="AM32" s="69">
        <v>3316.5555831909178</v>
      </c>
      <c r="AN32" s="69">
        <v>675.904759311676</v>
      </c>
      <c r="AO32" s="69">
        <v>3279.9037419637048</v>
      </c>
      <c r="AP32" s="69">
        <v>467.07820458412175</v>
      </c>
      <c r="AQ32" s="69">
        <v>953.57678677240995</v>
      </c>
    </row>
    <row r="33" spans="1:43" x14ac:dyDescent="0.25">
      <c r="A33" s="11">
        <v>41481</v>
      </c>
      <c r="B33" s="59"/>
      <c r="C33" s="60">
        <v>228.33615171114391</v>
      </c>
      <c r="D33" s="60">
        <v>2053.8639315287292</v>
      </c>
      <c r="E33" s="60">
        <v>32.114918310940276</v>
      </c>
      <c r="F33" s="60">
        <v>0</v>
      </c>
      <c r="G33" s="60">
        <v>6720.8063588459854</v>
      </c>
      <c r="H33" s="61">
        <v>80.981279277801448</v>
      </c>
      <c r="I33" s="59">
        <v>707.96553045908536</v>
      </c>
      <c r="J33" s="60">
        <v>1541.8244470596305</v>
      </c>
      <c r="K33" s="60">
        <v>33.715621674060905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483.25984429198678</v>
      </c>
      <c r="V33" s="62">
        <v>227.43185501153783</v>
      </c>
      <c r="W33" s="62">
        <v>41.756389456986398</v>
      </c>
      <c r="X33" s="62">
        <v>19.65140125950272</v>
      </c>
      <c r="Y33" s="66">
        <v>362.30101126310802</v>
      </c>
      <c r="Z33" s="66">
        <v>170.50618220689401</v>
      </c>
      <c r="AA33" s="67">
        <v>0</v>
      </c>
      <c r="AB33" s="68">
        <v>228.75690787633295</v>
      </c>
      <c r="AC33" s="69">
        <v>0</v>
      </c>
      <c r="AD33" s="69">
        <v>25.453328290250518</v>
      </c>
      <c r="AE33" s="68">
        <v>16.998467366073193</v>
      </c>
      <c r="AF33" s="68">
        <v>7.9998224786979684</v>
      </c>
      <c r="AG33" s="68">
        <v>0.67998520985341426</v>
      </c>
      <c r="AH33" s="69">
        <v>279.9082826137543</v>
      </c>
      <c r="AI33" s="69">
        <v>842.51218687693279</v>
      </c>
      <c r="AJ33" s="69">
        <v>3320.3194976806644</v>
      </c>
      <c r="AK33" s="69">
        <v>559.7294655799866</v>
      </c>
      <c r="AL33" s="69">
        <v>5445.2683319091802</v>
      </c>
      <c r="AM33" s="69">
        <v>3339.4655724843351</v>
      </c>
      <c r="AN33" s="69">
        <v>676.84437370300293</v>
      </c>
      <c r="AO33" s="69">
        <v>3250.3510768890378</v>
      </c>
      <c r="AP33" s="69">
        <v>485.59639790852862</v>
      </c>
      <c r="AQ33" s="69">
        <v>981.73436857859292</v>
      </c>
    </row>
    <row r="34" spans="1:43" x14ac:dyDescent="0.25">
      <c r="A34" s="11">
        <v>41482</v>
      </c>
      <c r="B34" s="59"/>
      <c r="C34" s="60">
        <v>228.14402793248232</v>
      </c>
      <c r="D34" s="60">
        <v>2053.7515748341889</v>
      </c>
      <c r="E34" s="60">
        <v>32.02167250365018</v>
      </c>
      <c r="F34" s="60">
        <v>0</v>
      </c>
      <c r="G34" s="60">
        <v>6720.9969233194879</v>
      </c>
      <c r="H34" s="61">
        <v>80.901393942038084</v>
      </c>
      <c r="I34" s="59">
        <v>698.32381130854492</v>
      </c>
      <c r="J34" s="60">
        <v>1494.3216166814161</v>
      </c>
      <c r="K34" s="60">
        <v>32.811051414410272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460.20113975885147</v>
      </c>
      <c r="V34" s="62">
        <v>226.40725986544214</v>
      </c>
      <c r="W34" s="62">
        <v>39.629185913286172</v>
      </c>
      <c r="X34" s="62">
        <v>19.496551873006805</v>
      </c>
      <c r="Y34" s="66">
        <v>346.44813935737898</v>
      </c>
      <c r="Z34" s="66">
        <v>170.4436759076417</v>
      </c>
      <c r="AA34" s="67">
        <v>0</v>
      </c>
      <c r="AB34" s="68">
        <v>228.75873294406759</v>
      </c>
      <c r="AC34" s="69">
        <v>0</v>
      </c>
      <c r="AD34" s="69">
        <v>24.699411568376757</v>
      </c>
      <c r="AE34" s="68">
        <v>16.258144715789157</v>
      </c>
      <c r="AF34" s="68">
        <v>7.9985938268785901</v>
      </c>
      <c r="AG34" s="68">
        <v>0.67025270883762811</v>
      </c>
      <c r="AH34" s="69">
        <v>235.68683830897012</v>
      </c>
      <c r="AI34" s="69">
        <v>797.19838298161824</v>
      </c>
      <c r="AJ34" s="69">
        <v>3329.4474796295167</v>
      </c>
      <c r="AK34" s="69">
        <v>562.83488012949624</v>
      </c>
      <c r="AL34" s="69">
        <v>5651.9902399698885</v>
      </c>
      <c r="AM34" s="69">
        <v>3304.3111007690432</v>
      </c>
      <c r="AN34" s="69">
        <v>701.82130117416364</v>
      </c>
      <c r="AO34" s="69">
        <v>3120.9800542195635</v>
      </c>
      <c r="AP34" s="69">
        <v>498.93151319821681</v>
      </c>
      <c r="AQ34" s="69">
        <v>966.79123579661064</v>
      </c>
    </row>
    <row r="35" spans="1:43" x14ac:dyDescent="0.25">
      <c r="A35" s="11">
        <v>41483</v>
      </c>
      <c r="B35" s="59"/>
      <c r="C35" s="60">
        <v>223.9716171264626</v>
      </c>
      <c r="D35" s="60">
        <v>2016.2792587280271</v>
      </c>
      <c r="E35" s="60">
        <v>31.315989571809734</v>
      </c>
      <c r="F35" s="60">
        <v>0</v>
      </c>
      <c r="G35" s="60">
        <v>6637.7635482787891</v>
      </c>
      <c r="H35" s="61">
        <v>79.339892657597829</v>
      </c>
      <c r="I35" s="59">
        <v>571.79279597600282</v>
      </c>
      <c r="J35" s="60">
        <v>1096.5925217946376</v>
      </c>
      <c r="K35" s="60">
        <v>23.997713325421085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342.23224174377782</v>
      </c>
      <c r="V35" s="62">
        <v>220.46224271260149</v>
      </c>
      <c r="W35" s="62">
        <v>29.324085995497629</v>
      </c>
      <c r="X35" s="62">
        <v>18.890253387945545</v>
      </c>
      <c r="Y35" s="66">
        <v>256.19865174116109</v>
      </c>
      <c r="Z35" s="66">
        <v>165.04035112240572</v>
      </c>
      <c r="AA35" s="67">
        <v>0</v>
      </c>
      <c r="AB35" s="68">
        <v>228.8385958883544</v>
      </c>
      <c r="AC35" s="69">
        <v>0</v>
      </c>
      <c r="AD35" s="69">
        <v>20.105135662025877</v>
      </c>
      <c r="AE35" s="68">
        <v>12.082905216770135</v>
      </c>
      <c r="AF35" s="68">
        <v>7.7836745275662444</v>
      </c>
      <c r="AG35" s="68">
        <v>0.60820258807834116</v>
      </c>
      <c r="AH35" s="69">
        <v>191.83456745942433</v>
      </c>
      <c r="AI35" s="69">
        <v>766.35025326410926</v>
      </c>
      <c r="AJ35" s="69">
        <v>3330.8505027770998</v>
      </c>
      <c r="AK35" s="69">
        <v>539.63958978652965</v>
      </c>
      <c r="AL35" s="69">
        <v>5912.647821807861</v>
      </c>
      <c r="AM35" s="69">
        <v>3062.247647730509</v>
      </c>
      <c r="AN35" s="69">
        <v>649.87565422058105</v>
      </c>
      <c r="AO35" s="69">
        <v>2355.4863810221354</v>
      </c>
      <c r="AP35" s="69">
        <v>455.48466264406846</v>
      </c>
      <c r="AQ35" s="69">
        <v>903.1130628267922</v>
      </c>
    </row>
    <row r="36" spans="1:43" x14ac:dyDescent="0.25">
      <c r="A36" s="11">
        <v>41484</v>
      </c>
      <c r="B36" s="59"/>
      <c r="C36" s="60">
        <v>227.00258938471291</v>
      </c>
      <c r="D36" s="60">
        <v>2043.7997275034627</v>
      </c>
      <c r="E36" s="60">
        <v>31.543746016422912</v>
      </c>
      <c r="F36" s="60">
        <v>0</v>
      </c>
      <c r="G36" s="60">
        <v>6488.2848236083855</v>
      </c>
      <c r="H36" s="61">
        <v>80.014236946900553</v>
      </c>
      <c r="I36" s="59">
        <v>604.72174514134588</v>
      </c>
      <c r="J36" s="60">
        <v>1150.6889460881548</v>
      </c>
      <c r="K36" s="60">
        <v>25.012143561244006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361.05129273583054</v>
      </c>
      <c r="V36" s="62">
        <v>224.80591119280018</v>
      </c>
      <c r="W36" s="62">
        <v>31.106776616177061</v>
      </c>
      <c r="X36" s="62">
        <v>19.368403886555573</v>
      </c>
      <c r="Y36" s="66">
        <v>270.87010325709542</v>
      </c>
      <c r="Z36" s="66">
        <v>168.65526201606144</v>
      </c>
      <c r="AA36" s="67">
        <v>0</v>
      </c>
      <c r="AB36" s="68">
        <v>229.09205948512093</v>
      </c>
      <c r="AC36" s="69">
        <v>0</v>
      </c>
      <c r="AD36" s="69">
        <v>20.981227013799884</v>
      </c>
      <c r="AE36" s="68">
        <v>12.787895734854981</v>
      </c>
      <c r="AF36" s="68">
        <v>7.962288491280904</v>
      </c>
      <c r="AG36" s="68">
        <v>0.61627866025150713</v>
      </c>
      <c r="AH36" s="69">
        <v>272.82806735038758</v>
      </c>
      <c r="AI36" s="69">
        <v>834.03761145273836</v>
      </c>
      <c r="AJ36" s="69">
        <v>3309.6667905171712</v>
      </c>
      <c r="AK36" s="69">
        <v>540.40076456069949</v>
      </c>
      <c r="AL36" s="69">
        <v>5504.3964403788241</v>
      </c>
      <c r="AM36" s="69">
        <v>3076.518547058105</v>
      </c>
      <c r="AN36" s="69">
        <v>620.59428297678619</v>
      </c>
      <c r="AO36" s="69">
        <v>2437.8801392873129</v>
      </c>
      <c r="AP36" s="69">
        <v>458.9224667867025</v>
      </c>
      <c r="AQ36" s="69">
        <v>955.50763025283823</v>
      </c>
    </row>
    <row r="37" spans="1:43" x14ac:dyDescent="0.25">
      <c r="A37" s="11">
        <v>41485</v>
      </c>
      <c r="B37" s="65"/>
      <c r="C37" s="372">
        <v>228.03362609545132</v>
      </c>
      <c r="D37" s="372">
        <v>2053.3756767272939</v>
      </c>
      <c r="E37" s="372">
        <v>31.675306291878194</v>
      </c>
      <c r="F37" s="372">
        <v>0</v>
      </c>
      <c r="G37" s="372">
        <v>6488.7875447591414</v>
      </c>
      <c r="H37" s="373">
        <v>80.395685684681013</v>
      </c>
      <c r="I37" s="371">
        <v>581.72588952382534</v>
      </c>
      <c r="J37" s="372">
        <v>1232.4982800165819</v>
      </c>
      <c r="K37" s="372">
        <v>26.958819276094417</v>
      </c>
      <c r="L37" s="372">
        <v>0</v>
      </c>
      <c r="M37" s="372">
        <v>0</v>
      </c>
      <c r="N37" s="373">
        <v>0</v>
      </c>
      <c r="O37" s="371">
        <v>0</v>
      </c>
      <c r="P37" s="372">
        <v>0</v>
      </c>
      <c r="Q37" s="372">
        <v>0</v>
      </c>
      <c r="R37" s="374">
        <v>0</v>
      </c>
      <c r="S37" s="372">
        <v>0</v>
      </c>
      <c r="T37" s="375">
        <v>0</v>
      </c>
      <c r="U37" s="376">
        <v>383.50126924374683</v>
      </c>
      <c r="V37" s="81">
        <v>223.94470574200818</v>
      </c>
      <c r="W37" s="81">
        <v>33.208557473669281</v>
      </c>
      <c r="X37" s="81">
        <v>19.392062629213044</v>
      </c>
      <c r="Y37" s="80">
        <v>290.14098832866057</v>
      </c>
      <c r="Z37" s="80">
        <v>169.42717916706547</v>
      </c>
      <c r="AA37" s="82">
        <v>0</v>
      </c>
      <c r="AB37" s="377">
        <v>228.97754273944633</v>
      </c>
      <c r="AC37" s="85">
        <v>0</v>
      </c>
      <c r="AD37" s="85">
        <v>21.939886024263206</v>
      </c>
      <c r="AE37" s="377">
        <v>13.698517819649121</v>
      </c>
      <c r="AF37" s="377">
        <v>7.9992187464526818</v>
      </c>
      <c r="AG37" s="377">
        <v>0.63133395402404335</v>
      </c>
      <c r="AH37" s="85">
        <v>249.11499676704409</v>
      </c>
      <c r="AI37" s="85">
        <v>817.09739783604971</v>
      </c>
      <c r="AJ37" s="85">
        <v>3322.8759045918782</v>
      </c>
      <c r="AK37" s="85">
        <v>554.33210166295351</v>
      </c>
      <c r="AL37" s="85">
        <v>5404.6402081807464</v>
      </c>
      <c r="AM37" s="85">
        <v>3050.077404912312</v>
      </c>
      <c r="AN37" s="85">
        <v>664.42914613087987</v>
      </c>
      <c r="AO37" s="85">
        <v>2593.0822481791174</v>
      </c>
      <c r="AP37" s="85">
        <v>486.40628393491113</v>
      </c>
      <c r="AQ37" s="85">
        <v>982.90594371159864</v>
      </c>
    </row>
    <row r="38" spans="1:43" ht="15.75" thickBot="1" x14ac:dyDescent="0.3">
      <c r="A38" s="11">
        <v>41486</v>
      </c>
      <c r="B38" s="73"/>
      <c r="C38" s="74">
        <v>228.79527494112403</v>
      </c>
      <c r="D38" s="74">
        <v>2056.3730985005732</v>
      </c>
      <c r="E38" s="74">
        <v>31.839641236762191</v>
      </c>
      <c r="F38" s="74">
        <v>0</v>
      </c>
      <c r="G38" s="74">
        <v>4332.4216613769777</v>
      </c>
      <c r="H38" s="75">
        <v>80.473073669274598</v>
      </c>
      <c r="I38" s="76">
        <v>606.88623994191369</v>
      </c>
      <c r="J38" s="74">
        <v>1328.563057200116</v>
      </c>
      <c r="K38" s="74">
        <v>29.132064926624224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412.35583306513047</v>
      </c>
      <c r="V38" s="80">
        <v>214.18154935742038</v>
      </c>
      <c r="W38" s="81">
        <v>34.798156415207828</v>
      </c>
      <c r="X38" s="81">
        <v>18.07449406108891</v>
      </c>
      <c r="Y38" s="80">
        <v>310.05722918887267</v>
      </c>
      <c r="Z38" s="80">
        <v>161.04667962015341</v>
      </c>
      <c r="AA38" s="82">
        <v>0</v>
      </c>
      <c r="AB38" s="83">
        <v>228.93243916829221</v>
      </c>
      <c r="AC38" s="84">
        <v>0</v>
      </c>
      <c r="AD38" s="85">
        <v>22.550609372721766</v>
      </c>
      <c r="AE38" s="83">
        <v>14.677793522749727</v>
      </c>
      <c r="AF38" s="83">
        <v>7.6237858319668907</v>
      </c>
      <c r="AG38" s="83">
        <v>0.65815040671751723</v>
      </c>
      <c r="AH38" s="84">
        <v>291.92986704508462</v>
      </c>
      <c r="AI38" s="84">
        <v>864.73885008494051</v>
      </c>
      <c r="AJ38" s="84">
        <v>3255.839345550537</v>
      </c>
      <c r="AK38" s="84">
        <v>562.67245524724319</v>
      </c>
      <c r="AL38" s="84">
        <v>5718.8834632873522</v>
      </c>
      <c r="AM38" s="84">
        <v>3083.803639348348</v>
      </c>
      <c r="AN38" s="84">
        <v>692.738793150584</v>
      </c>
      <c r="AO38" s="84">
        <v>2710.7405382792153</v>
      </c>
      <c r="AP38" s="84">
        <v>498.88419988950085</v>
      </c>
      <c r="AQ38" s="84">
        <v>1091.2806447982789</v>
      </c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7972.560662722547</v>
      </c>
      <c r="D39" s="30">
        <f t="shared" si="0"/>
        <v>66736.840808184978</v>
      </c>
      <c r="E39" s="30">
        <f t="shared" si="0"/>
        <v>1027.305417389671</v>
      </c>
      <c r="F39" s="30">
        <f t="shared" si="0"/>
        <v>0</v>
      </c>
      <c r="G39" s="30">
        <f t="shared" si="0"/>
        <v>213623.49301147455</v>
      </c>
      <c r="H39" s="31">
        <f t="shared" si="0"/>
        <v>2585.6764786382473</v>
      </c>
      <c r="I39" s="29">
        <f t="shared" si="0"/>
        <v>20123.439096248156</v>
      </c>
      <c r="J39" s="30">
        <f t="shared" si="0"/>
        <v>40094.857667732234</v>
      </c>
      <c r="K39" s="30">
        <f t="shared" si="0"/>
        <v>928.17608994096531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12920.64646328504</v>
      </c>
      <c r="V39" s="255">
        <f t="shared" si="0"/>
        <v>6921.3784093252852</v>
      </c>
      <c r="W39" s="255">
        <f t="shared" si="0"/>
        <v>1111.4039351694867</v>
      </c>
      <c r="X39" s="255">
        <f t="shared" si="0"/>
        <v>595.35894543795962</v>
      </c>
      <c r="Y39" s="255">
        <f t="shared" si="0"/>
        <v>9182.3904695813526</v>
      </c>
      <c r="Z39" s="255">
        <f t="shared" si="0"/>
        <v>4901.3637888049352</v>
      </c>
      <c r="AA39" s="263">
        <f t="shared" si="0"/>
        <v>0</v>
      </c>
      <c r="AB39" s="266">
        <f t="shared" si="0"/>
        <v>7080.3071922832351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Q39" si="1">SUM(AH8:AH38)</f>
        <v>7990.0862404823329</v>
      </c>
      <c r="AI39" s="266">
        <f t="shared" si="1"/>
        <v>25688.156453895575</v>
      </c>
      <c r="AJ39" s="266">
        <f t="shared" si="1"/>
        <v>103726.03382962545</v>
      </c>
      <c r="AK39" s="266">
        <f t="shared" si="1"/>
        <v>18066.782982540128</v>
      </c>
      <c r="AL39" s="266">
        <f t="shared" si="1"/>
        <v>173246.33441149394</v>
      </c>
      <c r="AM39" s="266">
        <f t="shared" si="1"/>
        <v>97226.18783696492</v>
      </c>
      <c r="AN39" s="266">
        <f t="shared" si="1"/>
        <v>21855.49717868169</v>
      </c>
      <c r="AO39" s="266">
        <f t="shared" si="1"/>
        <v>88370.759797922758</v>
      </c>
      <c r="AP39" s="266">
        <f t="shared" si="1"/>
        <v>15076.255167023342</v>
      </c>
      <c r="AQ39" s="266">
        <f t="shared" si="1"/>
        <v>30581.857757409412</v>
      </c>
    </row>
    <row r="40" spans="1:43" ht="15.75" thickBot="1" x14ac:dyDescent="0.3">
      <c r="A40" s="47" t="s">
        <v>172</v>
      </c>
      <c r="B40" s="32">
        <f>Projection!$AC$30</f>
        <v>0.91139353199999984</v>
      </c>
      <c r="C40" s="33">
        <f>Projection!$AC$28</f>
        <v>1.4375491199999999</v>
      </c>
      <c r="D40" s="33">
        <f>Projection!$AC$31</f>
        <v>2.0999286000000001</v>
      </c>
      <c r="E40" s="33">
        <f>Projection!$AC$26</f>
        <v>3.8734129199999998</v>
      </c>
      <c r="F40" s="33">
        <f>Projection!$AC$23</f>
        <v>5.8379999999999994E-2</v>
      </c>
      <c r="G40" s="33">
        <f>Projection!$AC$24</f>
        <v>5.3200000000000004E-2</v>
      </c>
      <c r="H40" s="34">
        <f>Projection!$AC$29</f>
        <v>3.6371774160000006</v>
      </c>
      <c r="I40" s="32">
        <f>Projection!$AC$30</f>
        <v>0.91139353199999984</v>
      </c>
      <c r="J40" s="33">
        <f>Projection!$AC$28</f>
        <v>1.4375491199999999</v>
      </c>
      <c r="K40" s="33">
        <f>Projection!$AC$26</f>
        <v>3.8734129199999998</v>
      </c>
      <c r="L40" s="33">
        <f>Projection!$AC$25</f>
        <v>0.37613399999999997</v>
      </c>
      <c r="M40" s="33">
        <f>Projection!$AC$23</f>
        <v>5.8379999999999994E-2</v>
      </c>
      <c r="N40" s="34">
        <f>Projection!$AC$23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1.4375491199999999</v>
      </c>
      <c r="T40" s="38">
        <f>Projection!$AC$28</f>
        <v>1.4375491199999999</v>
      </c>
      <c r="U40" s="26">
        <f>Projection!$AC$27</f>
        <v>0.26250000000000001</v>
      </c>
      <c r="V40" s="27">
        <f>Projection!$AC$27</f>
        <v>0.26250000000000001</v>
      </c>
      <c r="W40" s="27">
        <f>Projection!$AC$22</f>
        <v>1.2186999999999999</v>
      </c>
      <c r="X40" s="27">
        <f>Projection!$AC$22</f>
        <v>1.2186999999999999</v>
      </c>
      <c r="Y40" s="27">
        <f>Projection!$AC$31</f>
        <v>2.0999286000000001</v>
      </c>
      <c r="Z40" s="27">
        <f>Projection!$AC$31</f>
        <v>2.0999286000000001</v>
      </c>
      <c r="AA40" s="28">
        <v>0</v>
      </c>
      <c r="AB40" s="41">
        <f>Projection!$AC$27</f>
        <v>0.26250000000000001</v>
      </c>
      <c r="AC40" s="41">
        <f>Projection!$AC$30</f>
        <v>0.91139353199999984</v>
      </c>
      <c r="AD40" s="270">
        <f>SUM(AD8:AD38)</f>
        <v>718.76287059916376</v>
      </c>
      <c r="AE40" s="270">
        <f>SUM(AE8:AE38)</f>
        <v>461.08087642193311</v>
      </c>
      <c r="AF40" s="270">
        <f>SUM(AF8:AF38)</f>
        <v>247.08656520399737</v>
      </c>
      <c r="AG40" s="270">
        <f>IF(SUM(AE40:AF40)&gt;0, AE40/(AE40+AF40), "")</f>
        <v>0.65109019325049133</v>
      </c>
      <c r="AH40" s="306">
        <v>7.0999999999999994E-2</v>
      </c>
      <c r="AI40" s="306">
        <f t="shared" ref="AI40:AQ40" si="2">$AH$40</f>
        <v>7.0999999999999994E-2</v>
      </c>
      <c r="AJ40" s="306">
        <f t="shared" si="2"/>
        <v>7.0999999999999994E-2</v>
      </c>
      <c r="AK40" s="306">
        <f t="shared" si="2"/>
        <v>7.0999999999999994E-2</v>
      </c>
      <c r="AL40" s="306">
        <f t="shared" si="2"/>
        <v>7.0999999999999994E-2</v>
      </c>
      <c r="AM40" s="306">
        <f t="shared" si="2"/>
        <v>7.0999999999999994E-2</v>
      </c>
      <c r="AN40" s="306">
        <f t="shared" si="2"/>
        <v>7.0999999999999994E-2</v>
      </c>
      <c r="AO40" s="306">
        <f t="shared" si="2"/>
        <v>7.0999999999999994E-2</v>
      </c>
      <c r="AP40" s="306">
        <f t="shared" si="2"/>
        <v>7.0999999999999994E-2</v>
      </c>
      <c r="AQ40" s="306">
        <f t="shared" si="2"/>
        <v>7.0999999999999994E-2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11460.947564843413</v>
      </c>
      <c r="D41" s="36">
        <f t="shared" si="3"/>
        <v>140142.60068675477</v>
      </c>
      <c r="E41" s="36">
        <f t="shared" si="3"/>
        <v>3979.178076503144</v>
      </c>
      <c r="F41" s="36">
        <f t="shared" si="3"/>
        <v>0</v>
      </c>
      <c r="G41" s="36">
        <f t="shared" si="3"/>
        <v>11364.769828210447</v>
      </c>
      <c r="H41" s="37">
        <f t="shared" si="3"/>
        <v>9404.5640931854414</v>
      </c>
      <c r="I41" s="35">
        <f t="shared" si="3"/>
        <v>18340.372233916492</v>
      </c>
      <c r="J41" s="36">
        <f t="shared" si="3"/>
        <v>57638.32735677372</v>
      </c>
      <c r="K41" s="36">
        <f t="shared" si="3"/>
        <v>3595.2092588124169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0">
        <f t="shared" si="3"/>
        <v>0</v>
      </c>
      <c r="P41" s="261">
        <f t="shared" si="3"/>
        <v>0</v>
      </c>
      <c r="Q41" s="261">
        <f t="shared" si="3"/>
        <v>0</v>
      </c>
      <c r="R41" s="261">
        <f t="shared" si="3"/>
        <v>0</v>
      </c>
      <c r="S41" s="261">
        <f t="shared" si="3"/>
        <v>0</v>
      </c>
      <c r="T41" s="262">
        <f t="shared" si="3"/>
        <v>0</v>
      </c>
      <c r="U41" s="260">
        <f t="shared" si="3"/>
        <v>3391.6696966123232</v>
      </c>
      <c r="V41" s="261">
        <f t="shared" si="3"/>
        <v>1816.8618324478875</v>
      </c>
      <c r="W41" s="261">
        <f t="shared" si="3"/>
        <v>1354.4679757910533</v>
      </c>
      <c r="X41" s="261">
        <f t="shared" si="3"/>
        <v>725.56394680524136</v>
      </c>
      <c r="Y41" s="261">
        <f t="shared" si="3"/>
        <v>19282.364363441313</v>
      </c>
      <c r="Z41" s="261">
        <f t="shared" si="3"/>
        <v>10292.513999115845</v>
      </c>
      <c r="AA41" s="265">
        <f t="shared" si="3"/>
        <v>0</v>
      </c>
      <c r="AB41" s="268">
        <f t="shared" si="3"/>
        <v>1858.5806379743492</v>
      </c>
      <c r="AC41" s="268">
        <f t="shared" si="3"/>
        <v>0</v>
      </c>
      <c r="AH41" s="271">
        <f t="shared" ref="AH41:AQ41" si="4">AH40*AH39</f>
        <v>567.29612307424554</v>
      </c>
      <c r="AI41" s="271">
        <f t="shared" si="4"/>
        <v>1823.8591082265857</v>
      </c>
      <c r="AJ41" s="271">
        <f t="shared" si="4"/>
        <v>7364.5484019034066</v>
      </c>
      <c r="AK41" s="271">
        <f t="shared" si="4"/>
        <v>1282.7415917603489</v>
      </c>
      <c r="AL41" s="271">
        <f t="shared" si="4"/>
        <v>12300.489743216069</v>
      </c>
      <c r="AM41" s="271">
        <f t="shared" si="4"/>
        <v>6903.0593364245087</v>
      </c>
      <c r="AN41" s="271">
        <f t="shared" si="4"/>
        <v>1551.7402996863998</v>
      </c>
      <c r="AO41" s="271">
        <f t="shared" si="4"/>
        <v>6274.3239456525152</v>
      </c>
      <c r="AP41" s="271">
        <f t="shared" si="4"/>
        <v>1070.4141168586573</v>
      </c>
      <c r="AQ41" s="271">
        <f t="shared" si="4"/>
        <v>2171.3119007760679</v>
      </c>
    </row>
    <row r="42" spans="1:43" ht="49.5" customHeight="1" thickTop="1" thickBot="1" x14ac:dyDescent="0.3">
      <c r="A42" s="562" t="s">
        <v>212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99.44</v>
      </c>
      <c r="AI42" s="271" t="s">
        <v>197</v>
      </c>
      <c r="AJ42" s="271">
        <v>207.9</v>
      </c>
      <c r="AK42" s="271">
        <v>32.72</v>
      </c>
      <c r="AL42" s="271">
        <v>2177.12</v>
      </c>
      <c r="AM42" s="271">
        <v>298.76</v>
      </c>
      <c r="AN42" s="271">
        <v>58.67</v>
      </c>
      <c r="AO42" s="271" t="s">
        <v>197</v>
      </c>
      <c r="AP42" s="271">
        <v>32.72</v>
      </c>
      <c r="AQ42" s="271">
        <v>158.34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24.75" thickTop="1" thickBot="1" x14ac:dyDescent="0.3">
      <c r="A44" s="275" t="s">
        <v>135</v>
      </c>
      <c r="B44" s="276">
        <f>SUM(B41:AC41)</f>
        <v>294647.99155118788</v>
      </c>
      <c r="C44" s="12"/>
      <c r="D44" s="275" t="s">
        <v>135</v>
      </c>
      <c r="E44" s="276">
        <f>SUM(B41:H41)+P41+R41+T41+V41+X41+Z41</f>
        <v>189187.00002786619</v>
      </c>
      <c r="F44" s="12"/>
      <c r="G44" s="275" t="s">
        <v>135</v>
      </c>
      <c r="H44" s="276">
        <f>SUM(I41:N41)+O41+Q41+S41+U41+W41+Y41</f>
        <v>103602.41088534733</v>
      </c>
      <c r="I44" s="12"/>
      <c r="J44" s="275" t="s">
        <v>198</v>
      </c>
      <c r="K44" s="276">
        <v>95977.27</v>
      </c>
      <c r="L44" s="12"/>
      <c r="M44" s="12"/>
      <c r="N44" s="12"/>
      <c r="O44" s="12"/>
      <c r="P44" s="12"/>
      <c r="Q44" s="12"/>
      <c r="R44" s="313" t="s">
        <v>135</v>
      </c>
      <c r="S44" s="314"/>
      <c r="T44" s="307" t="s">
        <v>167</v>
      </c>
      <c r="U44" s="248" t="s">
        <v>168</v>
      </c>
    </row>
    <row r="45" spans="1:43" ht="24" thickBot="1" x14ac:dyDescent="0.4">
      <c r="A45" s="277" t="s">
        <v>183</v>
      </c>
      <c r="B45" s="278">
        <f>SUM(AH41:AQ41)</f>
        <v>41309.784567578805</v>
      </c>
      <c r="C45" s="12"/>
      <c r="D45" s="277" t="s">
        <v>183</v>
      </c>
      <c r="E45" s="278">
        <f>AH41*(1-$AG$40)+AI41+AJ41*0.5+AL41+AM41*(1-$AG$40)+AN41*(1-$AG$40)+AO41*(1-$AG$40)+AP41*0.5+AQ41*0.5</f>
        <v>24764.556904386009</v>
      </c>
      <c r="F45" s="24"/>
      <c r="G45" s="277" t="s">
        <v>183</v>
      </c>
      <c r="H45" s="278">
        <f>AH41*AG40+AJ41*0.5+AK41+AM41*AG40+AN41*AG40+AO41*AG40+AP41*0.5+AQ41*0.5</f>
        <v>16545.227663192796</v>
      </c>
      <c r="I45" s="12"/>
      <c r="J45" s="12"/>
      <c r="K45" s="281"/>
      <c r="L45" s="12"/>
      <c r="M45" s="12"/>
      <c r="N45" s="12"/>
      <c r="O45" s="12"/>
      <c r="P45" s="12"/>
      <c r="Q45" s="12"/>
      <c r="R45" s="311" t="s">
        <v>141</v>
      </c>
      <c r="S45" s="312"/>
      <c r="T45" s="247">
        <f>$W$39+$X$39</f>
        <v>1706.7628806074463</v>
      </c>
      <c r="U45" s="249">
        <f>(T45*8.34*0.895)/27000</f>
        <v>0.47184408035993186</v>
      </c>
    </row>
    <row r="46" spans="1:43" ht="32.25" thickBot="1" x14ac:dyDescent="0.3">
      <c r="A46" s="279" t="s">
        <v>184</v>
      </c>
      <c r="B46" s="280">
        <f>SUM(AH42:AQ42)</f>
        <v>3065.6699999999996</v>
      </c>
      <c r="C46" s="12"/>
      <c r="D46" s="279" t="s">
        <v>184</v>
      </c>
      <c r="E46" s="280">
        <f>AH42*(1-$AG$40)+AJ42*0.5+AL42+AM42*(1-$AG$40)+AN42*(1-$AG$40)+AP42*0.5+AQ42*0.5</f>
        <v>2536.0064234096481</v>
      </c>
      <c r="F46" s="23"/>
      <c r="G46" s="279" t="s">
        <v>184</v>
      </c>
      <c r="H46" s="280">
        <f>AH42*AG40+AJ42*0.5+AK42+AM42*AG40+AN42*AG40+AP42*0.5+AQ42*0.5</f>
        <v>529.66357659035202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311" t="s">
        <v>145</v>
      </c>
      <c r="S46" s="312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95977.27</v>
      </c>
      <c r="C47" s="12"/>
      <c r="D47" s="279" t="s">
        <v>187</v>
      </c>
      <c r="E47" s="280">
        <f>K44*0.5</f>
        <v>47988.635000000002</v>
      </c>
      <c r="F47" s="24"/>
      <c r="G47" s="279" t="s">
        <v>185</v>
      </c>
      <c r="H47" s="280">
        <f>K44*0.5</f>
        <v>47988.635000000002</v>
      </c>
      <c r="I47" s="12"/>
      <c r="J47" s="275" t="s">
        <v>198</v>
      </c>
      <c r="K47" s="276">
        <v>43339.01</v>
      </c>
      <c r="L47" s="12"/>
      <c r="M47" s="12"/>
      <c r="N47" s="12"/>
      <c r="O47" s="12"/>
      <c r="P47" s="12"/>
      <c r="Q47" s="12"/>
      <c r="R47" s="311" t="s">
        <v>148</v>
      </c>
      <c r="S47" s="312"/>
      <c r="T47" s="247">
        <f>$G$39</f>
        <v>213623.49301147455</v>
      </c>
      <c r="U47" s="249">
        <f>T47/40000</f>
        <v>5.3405873252868634</v>
      </c>
    </row>
    <row r="48" spans="1:43" ht="24" thickBot="1" x14ac:dyDescent="0.3">
      <c r="A48" s="279" t="s">
        <v>186</v>
      </c>
      <c r="B48" s="280">
        <f>K47</f>
        <v>43339.01</v>
      </c>
      <c r="C48" s="12"/>
      <c r="D48" s="279" t="s">
        <v>186</v>
      </c>
      <c r="E48" s="280">
        <f>K47*0.5</f>
        <v>21669.505000000001</v>
      </c>
      <c r="F48" s="23"/>
      <c r="G48" s="279" t="s">
        <v>186</v>
      </c>
      <c r="H48" s="280">
        <f>K47*0.5</f>
        <v>21669.505000000001</v>
      </c>
      <c r="I48" s="12"/>
      <c r="J48" s="12"/>
      <c r="K48" s="86"/>
      <c r="L48" s="12"/>
      <c r="M48" s="12"/>
      <c r="N48" s="12"/>
      <c r="O48" s="12"/>
      <c r="P48" s="12"/>
      <c r="Q48" s="12"/>
      <c r="R48" s="311" t="s">
        <v>150</v>
      </c>
      <c r="S48" s="312"/>
      <c r="T48" s="247">
        <f>$L$39</f>
        <v>0</v>
      </c>
      <c r="U48" s="249">
        <f>T48*9.34*0.107</f>
        <v>0</v>
      </c>
    </row>
    <row r="49" spans="1:25" ht="48" thickTop="1" thickBot="1" x14ac:dyDescent="0.3">
      <c r="A49" s="284" t="s">
        <v>194</v>
      </c>
      <c r="B49" s="285">
        <f>AD40</f>
        <v>718.76287059916376</v>
      </c>
      <c r="C49" s="12"/>
      <c r="D49" s="284" t="s">
        <v>195</v>
      </c>
      <c r="E49" s="285">
        <f>AF40</f>
        <v>247.08656520399737</v>
      </c>
      <c r="F49" s="23"/>
      <c r="G49" s="284" t="s">
        <v>196</v>
      </c>
      <c r="H49" s="285">
        <f>AE40</f>
        <v>461.08087642193311</v>
      </c>
      <c r="I49" s="12"/>
      <c r="J49" s="12"/>
      <c r="K49" s="86"/>
      <c r="L49" s="12"/>
      <c r="M49" s="12"/>
      <c r="N49" s="12"/>
      <c r="O49" s="12"/>
      <c r="P49" s="12"/>
      <c r="Q49" s="12"/>
      <c r="R49" s="311" t="s">
        <v>152</v>
      </c>
      <c r="S49" s="312"/>
      <c r="T49" s="247">
        <f>$E$39+$K$39</f>
        <v>1955.4815073306363</v>
      </c>
      <c r="U49" s="249">
        <f>(T49*8.34*1.04)/45000</f>
        <v>0.37691254226628906</v>
      </c>
    </row>
    <row r="50" spans="1:25" ht="48" thickTop="1" thickBot="1" x14ac:dyDescent="0.3">
      <c r="A50" s="284" t="s">
        <v>190</v>
      </c>
      <c r="B50" s="286">
        <f>(SUM(B44:B48)/AD40)</f>
        <v>665.50422355570572</v>
      </c>
      <c r="C50" s="12"/>
      <c r="D50" s="284" t="s">
        <v>188</v>
      </c>
      <c r="E50" s="286">
        <f>SUM(E44:E48)/AF40</f>
        <v>1158.078761260924</v>
      </c>
      <c r="F50" s="23"/>
      <c r="G50" s="284" t="s">
        <v>189</v>
      </c>
      <c r="H50" s="286">
        <f>SUM(H44:H48)/AE40</f>
        <v>412.80272476743392</v>
      </c>
      <c r="I50" s="12"/>
      <c r="J50" s="12"/>
      <c r="K50" s="86"/>
      <c r="L50" s="12"/>
      <c r="M50" s="12"/>
      <c r="N50" s="12"/>
      <c r="O50" s="12"/>
      <c r="P50" s="12"/>
      <c r="Q50" s="12"/>
      <c r="R50" s="311" t="s">
        <v>153</v>
      </c>
      <c r="S50" s="312"/>
      <c r="T50" s="247">
        <f>$U$39+$V$39+$AB$39</f>
        <v>26922.332064893559</v>
      </c>
      <c r="U50" s="249">
        <f>T50/2000/8</f>
        <v>1.6826457540558475</v>
      </c>
    </row>
    <row r="51" spans="1:25" ht="47.25" customHeight="1" thickTop="1" thickBot="1" x14ac:dyDescent="0.3">
      <c r="A51" s="274" t="s">
        <v>191</v>
      </c>
      <c r="B51" s="287">
        <f>B50/1000</f>
        <v>0.66550422355570571</v>
      </c>
      <c r="C51" s="12"/>
      <c r="D51" s="274" t="s">
        <v>192</v>
      </c>
      <c r="E51" s="287">
        <f>E50/1000</f>
        <v>1.158078761260924</v>
      </c>
      <c r="F51" s="12"/>
      <c r="G51" s="274" t="s">
        <v>193</v>
      </c>
      <c r="H51" s="287">
        <f>H50/1000</f>
        <v>0.4128027247674339</v>
      </c>
      <c r="I51" s="12"/>
      <c r="J51" s="12"/>
      <c r="K51" s="86"/>
      <c r="L51" s="12"/>
      <c r="M51" s="12"/>
      <c r="N51" s="12"/>
      <c r="O51" s="12"/>
      <c r="P51" s="12"/>
      <c r="Q51" s="12"/>
      <c r="R51" s="311" t="s">
        <v>154</v>
      </c>
      <c r="S51" s="312"/>
      <c r="T51" s="247">
        <f>$C$39+$J$39+$S$39+$T$39</f>
        <v>48067.418330454784</v>
      </c>
      <c r="U51" s="249">
        <f>(T51*8.34*1.4)/45000</f>
        <v>12.471892809475335</v>
      </c>
    </row>
    <row r="52" spans="1:25" ht="16.5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1" t="s">
        <v>155</v>
      </c>
      <c r="S52" s="312"/>
      <c r="T52" s="247">
        <f>$H$39</f>
        <v>2585.6764786382473</v>
      </c>
      <c r="U52" s="249">
        <f>(T52*8.34*1.135)/45000</f>
        <v>0.54390566620315084</v>
      </c>
    </row>
    <row r="53" spans="1:25" ht="48" customHeight="1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378">
        <f>E44/E49</f>
        <v>765.67092942374802</v>
      </c>
      <c r="J53" s="12"/>
      <c r="K53" s="86"/>
      <c r="L53" s="12"/>
      <c r="M53" s="12"/>
      <c r="N53" s="12"/>
      <c r="O53" s="12"/>
      <c r="P53" s="12"/>
      <c r="Q53" s="12"/>
      <c r="R53" s="311" t="s">
        <v>156</v>
      </c>
      <c r="S53" s="312"/>
      <c r="T53" s="247">
        <f>$B$39+$I$39+$AC$39</f>
        <v>20123.439096248156</v>
      </c>
      <c r="U53" s="249">
        <f>(T53*8.34*1.029*0.03)/3300</f>
        <v>1.5699685185684378</v>
      </c>
    </row>
    <row r="54" spans="1:25" ht="51.75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54"/>
      <c r="T54" s="251">
        <f>$D$39+$Y$39+$Z$39</f>
        <v>80820.595066571273</v>
      </c>
      <c r="U54" s="252">
        <f>(T54*1.54*8.34)/45000</f>
        <v>23.067275439933663</v>
      </c>
    </row>
    <row r="55" spans="1:25" ht="24" thickTop="1" x14ac:dyDescent="0.25">
      <c r="A55" s="589"/>
      <c r="B55" s="59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1"/>
      <c r="B56" s="59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7"/>
      <c r="B57" s="58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8"/>
      <c r="B58" s="58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7"/>
      <c r="B59" s="58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8"/>
      <c r="B60" s="588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</row>
    <row r="62" spans="1:25" x14ac:dyDescent="0.25">
      <c r="A62" s="12"/>
      <c r="B62" s="12"/>
    </row>
  </sheetData>
  <sheetProtection algorithmName="SHA-512" hashValue="F+RO+od/RMq63F+9cDLdsti+XUFYn+5hTC4P37GLLrNktGxMMF+zJOhCHsilQuS7k7wuYxX76Sg0o7WaEilcQg==" saltValue="TchHYmGGgK+lTKpcBOVABA==" spinCount="100000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1"/>
  <sheetViews>
    <sheetView topLeftCell="A36" zoomScale="75" zoomScaleNormal="75" workbookViewId="0">
      <selection activeCell="I53" sqref="I53"/>
    </sheetView>
  </sheetViews>
  <sheetFormatPr defaultRowHeight="15" x14ac:dyDescent="0.2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  <c r="AT4" t="s">
        <v>169</v>
      </c>
      <c r="AU4" s="331" t="s">
        <v>207</v>
      </c>
    </row>
    <row r="5" spans="1:47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0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47" x14ac:dyDescent="0.25">
      <c r="A8" s="11">
        <v>41487</v>
      </c>
      <c r="B8" s="49"/>
      <c r="C8" s="50">
        <v>228.5103335618949</v>
      </c>
      <c r="D8" s="50">
        <v>2056.834833908084</v>
      </c>
      <c r="E8" s="50">
        <v>31.03261861354099</v>
      </c>
      <c r="F8" s="50">
        <v>0</v>
      </c>
      <c r="G8" s="50">
        <v>6428.3353235880577</v>
      </c>
      <c r="H8" s="51">
        <v>80.610068460305413</v>
      </c>
      <c r="I8" s="49">
        <v>697.13357194264609</v>
      </c>
      <c r="J8" s="50">
        <v>1444.3895489374793</v>
      </c>
      <c r="K8" s="50">
        <v>31.85271727343402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449.29911685782605</v>
      </c>
      <c r="V8" s="54">
        <v>228.06951658197946</v>
      </c>
      <c r="W8" s="54">
        <v>37.893185613801158</v>
      </c>
      <c r="X8" s="54">
        <v>19.235026734818994</v>
      </c>
      <c r="Y8" s="54">
        <v>313.00242137505472</v>
      </c>
      <c r="Z8" s="54">
        <v>158.88371076987201</v>
      </c>
      <c r="AA8" s="55">
        <v>0</v>
      </c>
      <c r="AB8" s="56">
        <v>228.90180420345618</v>
      </c>
      <c r="AC8" s="57">
        <v>0</v>
      </c>
      <c r="AD8" s="57">
        <v>23.875877227385853</v>
      </c>
      <c r="AE8" s="58">
        <v>15.653951242010887</v>
      </c>
      <c r="AF8" s="58">
        <v>7.9461297794917183</v>
      </c>
      <c r="AG8" s="58">
        <v>0.66330074154186991</v>
      </c>
      <c r="AH8" s="57">
        <v>285.81761724154154</v>
      </c>
      <c r="AI8" s="57">
        <v>806.14571545918795</v>
      </c>
      <c r="AJ8" s="57">
        <v>3355.5084759394317</v>
      </c>
      <c r="AK8" s="57">
        <v>570.42603063583385</v>
      </c>
      <c r="AL8" s="57">
        <v>5323.7350376129134</v>
      </c>
      <c r="AM8" s="57">
        <v>3194.0919542948413</v>
      </c>
      <c r="AN8" s="57">
        <v>684.89139242172257</v>
      </c>
      <c r="AO8" s="57">
        <v>2936.0879567464194</v>
      </c>
      <c r="AP8" s="57">
        <v>499.01291581789644</v>
      </c>
      <c r="AQ8" s="57">
        <v>1069.2531888008116</v>
      </c>
    </row>
    <row r="9" spans="1:47" x14ac:dyDescent="0.25">
      <c r="A9" s="11">
        <v>41488</v>
      </c>
      <c r="B9" s="59"/>
      <c r="C9" s="60">
        <v>228.94455866813419</v>
      </c>
      <c r="D9" s="60">
        <v>2059.0036059061704</v>
      </c>
      <c r="E9" s="60">
        <v>30.159757966796473</v>
      </c>
      <c r="F9" s="60">
        <v>0</v>
      </c>
      <c r="G9" s="60">
        <v>6566.4614796956475</v>
      </c>
      <c r="H9" s="61">
        <v>80.615865182876433</v>
      </c>
      <c r="I9" s="59">
        <v>698.83957878748663</v>
      </c>
      <c r="J9" s="60">
        <v>1440.3745896657326</v>
      </c>
      <c r="K9" s="60">
        <v>31.644102346897107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459.26569304878558</v>
      </c>
      <c r="V9" s="62">
        <v>229.70281039461671</v>
      </c>
      <c r="W9" s="62">
        <v>39.013464087936349</v>
      </c>
      <c r="X9" s="62">
        <v>19.512675298558595</v>
      </c>
      <c r="Y9" s="66">
        <v>317.76058419683784</v>
      </c>
      <c r="Z9" s="66">
        <v>158.92869928539483</v>
      </c>
      <c r="AA9" s="67">
        <v>0</v>
      </c>
      <c r="AB9" s="68">
        <v>228.90580040613725</v>
      </c>
      <c r="AC9" s="69">
        <v>0</v>
      </c>
      <c r="AD9" s="69">
        <v>24.283130473560778</v>
      </c>
      <c r="AE9" s="68">
        <v>15.997317847680673</v>
      </c>
      <c r="AF9" s="68">
        <v>8.0010959320618653</v>
      </c>
      <c r="AG9" s="68">
        <v>0.66659896751943981</v>
      </c>
      <c r="AH9" s="69">
        <v>316.47001916567484</v>
      </c>
      <c r="AI9" s="69">
        <v>857.93320439656566</v>
      </c>
      <c r="AJ9" s="69">
        <v>3389.6019493103036</v>
      </c>
      <c r="AK9" s="69">
        <v>567.98541889190665</v>
      </c>
      <c r="AL9" s="69">
        <v>6035.9738382975256</v>
      </c>
      <c r="AM9" s="69">
        <v>3061.2863413492832</v>
      </c>
      <c r="AN9" s="69">
        <v>712.38661581675206</v>
      </c>
      <c r="AO9" s="69">
        <v>3021.1873200734458</v>
      </c>
      <c r="AP9" s="69">
        <v>487.20706160863239</v>
      </c>
      <c r="AQ9" s="69">
        <v>1049.3876721064246</v>
      </c>
    </row>
    <row r="10" spans="1:47" x14ac:dyDescent="0.25">
      <c r="A10" s="11">
        <v>41489</v>
      </c>
      <c r="B10" s="59"/>
      <c r="C10" s="60">
        <v>225.08726722399203</v>
      </c>
      <c r="D10" s="60">
        <v>2026.421823501591</v>
      </c>
      <c r="E10" s="60">
        <v>29.678872610628478</v>
      </c>
      <c r="F10" s="60">
        <v>0</v>
      </c>
      <c r="G10" s="60">
        <v>6487.1539520263823</v>
      </c>
      <c r="H10" s="61">
        <v>79.546160395940049</v>
      </c>
      <c r="I10" s="59">
        <v>640.09222815831379</v>
      </c>
      <c r="J10" s="60">
        <v>1470.3586635589584</v>
      </c>
      <c r="K10" s="60">
        <v>32.208076206843053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446.1571675362232</v>
      </c>
      <c r="V10" s="62">
        <v>222.32798394540379</v>
      </c>
      <c r="W10" s="62">
        <v>38.099730791000383</v>
      </c>
      <c r="X10" s="62">
        <v>18.985767689001687</v>
      </c>
      <c r="Y10" s="66">
        <v>316.67417853083992</v>
      </c>
      <c r="Z10" s="66">
        <v>157.8043272713137</v>
      </c>
      <c r="AA10" s="67">
        <v>0</v>
      </c>
      <c r="AB10" s="68">
        <v>228.91219302283614</v>
      </c>
      <c r="AC10" s="69">
        <v>0</v>
      </c>
      <c r="AD10" s="69">
        <v>24.015590607457693</v>
      </c>
      <c r="AE10" s="68">
        <v>15.75309492496871</v>
      </c>
      <c r="AF10" s="68">
        <v>7.8500449850657432</v>
      </c>
      <c r="AG10" s="68">
        <v>0.66741522462744729</v>
      </c>
      <c r="AH10" s="69">
        <v>250.20138842264814</v>
      </c>
      <c r="AI10" s="69">
        <v>808.49863157272341</v>
      </c>
      <c r="AJ10" s="69">
        <v>3350.3274111429855</v>
      </c>
      <c r="AK10" s="69">
        <v>568.48659725189202</v>
      </c>
      <c r="AL10" s="69">
        <v>6396.7069315592453</v>
      </c>
      <c r="AM10" s="69">
        <v>3082.5295897165929</v>
      </c>
      <c r="AN10" s="69">
        <v>732.80208746592211</v>
      </c>
      <c r="AO10" s="69">
        <v>2875.0573342641192</v>
      </c>
      <c r="AP10" s="69">
        <v>502.20740690231315</v>
      </c>
      <c r="AQ10" s="69">
        <v>962.41485865910829</v>
      </c>
    </row>
    <row r="11" spans="1:47" x14ac:dyDescent="0.25">
      <c r="A11" s="11">
        <v>41490</v>
      </c>
      <c r="B11" s="59"/>
      <c r="C11" s="60">
        <v>222.035143836337</v>
      </c>
      <c r="D11" s="60">
        <v>1999.0246672312464</v>
      </c>
      <c r="E11" s="60">
        <v>30.119522985319275</v>
      </c>
      <c r="F11" s="60">
        <v>0</v>
      </c>
      <c r="G11" s="60">
        <v>6300.5592496236477</v>
      </c>
      <c r="H11" s="61">
        <v>78.470018347104144</v>
      </c>
      <c r="I11" s="59">
        <v>520.3689619064329</v>
      </c>
      <c r="J11" s="60">
        <v>1168.7233643849656</v>
      </c>
      <c r="K11" s="60">
        <v>25.610463304320945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348.59364416052586</v>
      </c>
      <c r="V11" s="62">
        <v>216.43743441121865</v>
      </c>
      <c r="W11" s="62">
        <v>30.088027292444437</v>
      </c>
      <c r="X11" s="62">
        <v>18.681279887801317</v>
      </c>
      <c r="Y11" s="66">
        <v>248.20604188468258</v>
      </c>
      <c r="Z11" s="66">
        <v>154.10802752945733</v>
      </c>
      <c r="AA11" s="67">
        <v>0</v>
      </c>
      <c r="AB11" s="68">
        <v>229.04932985305618</v>
      </c>
      <c r="AC11" s="69">
        <v>0</v>
      </c>
      <c r="AD11" s="69">
        <v>20.344266223245207</v>
      </c>
      <c r="AE11" s="68">
        <v>12.315719712779494</v>
      </c>
      <c r="AF11" s="68">
        <v>7.6466763586033002</v>
      </c>
      <c r="AG11" s="68">
        <v>0.61694596524085421</v>
      </c>
      <c r="AH11" s="69">
        <v>198.25870157082875</v>
      </c>
      <c r="AI11" s="69">
        <v>765.79076108932486</v>
      </c>
      <c r="AJ11" s="69">
        <v>3202.8979167938232</v>
      </c>
      <c r="AK11" s="69">
        <v>584.81492188771563</v>
      </c>
      <c r="AL11" s="69">
        <v>6266.8162038167302</v>
      </c>
      <c r="AM11" s="69">
        <v>3161.1960339864099</v>
      </c>
      <c r="AN11" s="69">
        <v>668.60550540288284</v>
      </c>
      <c r="AO11" s="69">
        <v>2512.4184951782227</v>
      </c>
      <c r="AP11" s="69">
        <v>472.3688966751098</v>
      </c>
      <c r="AQ11" s="69">
        <v>912.18751983642574</v>
      </c>
    </row>
    <row r="12" spans="1:47" x14ac:dyDescent="0.25">
      <c r="A12" s="11">
        <v>41491</v>
      </c>
      <c r="B12" s="59"/>
      <c r="C12" s="60">
        <v>200.52759033838726</v>
      </c>
      <c r="D12" s="60">
        <v>1803.3067047119116</v>
      </c>
      <c r="E12" s="60">
        <v>27.984482566018936</v>
      </c>
      <c r="F12" s="60">
        <v>0</v>
      </c>
      <c r="G12" s="60">
        <v>5490.6767753601098</v>
      </c>
      <c r="H12" s="61">
        <v>71.012872831026911</v>
      </c>
      <c r="I12" s="59">
        <v>439.72354281743367</v>
      </c>
      <c r="J12" s="60">
        <v>819.17800566355299</v>
      </c>
      <c r="K12" s="60">
        <v>18.130667225519804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264.05579949160608</v>
      </c>
      <c r="V12" s="62">
        <v>205.41831903782065</v>
      </c>
      <c r="W12" s="62">
        <v>22.222909254290546</v>
      </c>
      <c r="X12" s="62">
        <v>17.287984857501701</v>
      </c>
      <c r="Y12" s="66">
        <v>179.98736714153017</v>
      </c>
      <c r="Z12" s="66">
        <v>140.01852062117462</v>
      </c>
      <c r="AA12" s="67">
        <v>0</v>
      </c>
      <c r="AB12" s="68">
        <v>229.03603132035866</v>
      </c>
      <c r="AC12" s="69">
        <v>0</v>
      </c>
      <c r="AD12" s="69">
        <v>16.203815603918525</v>
      </c>
      <c r="AE12" s="68">
        <v>8.9977602925562596</v>
      </c>
      <c r="AF12" s="68">
        <v>6.9996750609558607</v>
      </c>
      <c r="AG12" s="68">
        <v>0.56245017365117012</v>
      </c>
      <c r="AH12" s="69">
        <v>291.18583614031473</v>
      </c>
      <c r="AI12" s="69">
        <v>850.94281279246002</v>
      </c>
      <c r="AJ12" s="69">
        <v>3186.1604146321615</v>
      </c>
      <c r="AK12" s="69">
        <v>586.93541673024492</v>
      </c>
      <c r="AL12" s="69">
        <v>5510.3008771260593</v>
      </c>
      <c r="AM12" s="69">
        <v>3166.4750872294107</v>
      </c>
      <c r="AN12" s="69">
        <v>695.53918361663818</v>
      </c>
      <c r="AO12" s="69">
        <v>1890.4677969614665</v>
      </c>
      <c r="AP12" s="69">
        <v>494.42025028864543</v>
      </c>
      <c r="AQ12" s="69">
        <v>1044.5482130686441</v>
      </c>
    </row>
    <row r="13" spans="1:47" x14ac:dyDescent="0.25">
      <c r="A13" s="11">
        <v>41492</v>
      </c>
      <c r="B13" s="59"/>
      <c r="C13" s="60">
        <v>200.39464465776928</v>
      </c>
      <c r="D13" s="60">
        <v>1802.1629918416368</v>
      </c>
      <c r="E13" s="60">
        <v>28.036303748687054</v>
      </c>
      <c r="F13" s="60">
        <v>0</v>
      </c>
      <c r="G13" s="60">
        <v>5122.3945426940954</v>
      </c>
      <c r="H13" s="61">
        <v>70.939425694942472</v>
      </c>
      <c r="I13" s="59">
        <v>545.39785677591976</v>
      </c>
      <c r="J13" s="60">
        <v>945.03825931549193</v>
      </c>
      <c r="K13" s="60">
        <v>20.848021895686799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306.54671233618183</v>
      </c>
      <c r="V13" s="62">
        <v>206.12694368239499</v>
      </c>
      <c r="W13" s="62">
        <v>25.867473784173761</v>
      </c>
      <c r="X13" s="62">
        <v>17.393705746446784</v>
      </c>
      <c r="Y13" s="66">
        <v>208.31896341457752</v>
      </c>
      <c r="Z13" s="66">
        <v>140.07702419147193</v>
      </c>
      <c r="AA13" s="67">
        <v>0</v>
      </c>
      <c r="AB13" s="68">
        <v>229.02869620852744</v>
      </c>
      <c r="AC13" s="69">
        <v>0</v>
      </c>
      <c r="AD13" s="69">
        <v>17.622393607431</v>
      </c>
      <c r="AE13" s="68">
        <v>10.408535296810454</v>
      </c>
      <c r="AF13" s="68">
        <v>6.9988666738300447</v>
      </c>
      <c r="AG13" s="68">
        <v>0.59793732082280826</v>
      </c>
      <c r="AH13" s="69">
        <v>256.48244913419086</v>
      </c>
      <c r="AI13" s="69">
        <v>793.55964597066236</v>
      </c>
      <c r="AJ13" s="69">
        <v>3326.3165125528967</v>
      </c>
      <c r="AK13" s="69">
        <v>573.22750101089468</v>
      </c>
      <c r="AL13" s="69">
        <v>5278.2355494181311</v>
      </c>
      <c r="AM13" s="69">
        <v>3030.3345259348548</v>
      </c>
      <c r="AN13" s="69">
        <v>691.30688648223872</v>
      </c>
      <c r="AO13" s="69">
        <v>2063.8974282582603</v>
      </c>
      <c r="AP13" s="69">
        <v>492.72944491704311</v>
      </c>
      <c r="AQ13" s="69">
        <v>996.73283961613981</v>
      </c>
    </row>
    <row r="14" spans="1:47" x14ac:dyDescent="0.25">
      <c r="A14" s="11">
        <v>41493</v>
      </c>
      <c r="B14" s="59"/>
      <c r="C14" s="60">
        <v>199.65696622530487</v>
      </c>
      <c r="D14" s="60">
        <v>1798.6048025767025</v>
      </c>
      <c r="E14" s="60">
        <v>28.095068296293416</v>
      </c>
      <c r="F14" s="60">
        <v>0</v>
      </c>
      <c r="G14" s="60">
        <v>4980.5500666300395</v>
      </c>
      <c r="H14" s="61">
        <v>70.751902767022571</v>
      </c>
      <c r="I14" s="59">
        <v>603.11115528742516</v>
      </c>
      <c r="J14" s="60">
        <v>1129.9763607025147</v>
      </c>
      <c r="K14" s="60">
        <v>24.729947833220177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336.79141677783861</v>
      </c>
      <c r="V14" s="62">
        <v>201.36135832965331</v>
      </c>
      <c r="W14" s="62">
        <v>28.95253350398211</v>
      </c>
      <c r="X14" s="62">
        <v>17.310184235758861</v>
      </c>
      <c r="Y14" s="66">
        <v>232.22093099804533</v>
      </c>
      <c r="Z14" s="66">
        <v>138.8405991628585</v>
      </c>
      <c r="AA14" s="67">
        <v>0</v>
      </c>
      <c r="AB14" s="68">
        <v>229.08855731752308</v>
      </c>
      <c r="AC14" s="69">
        <v>0</v>
      </c>
      <c r="AD14" s="69">
        <v>18.790070386065345</v>
      </c>
      <c r="AE14" s="68">
        <v>11.612981671961554</v>
      </c>
      <c r="AF14" s="68">
        <v>6.9431869318274648</v>
      </c>
      <c r="AG14" s="68">
        <v>0.62582863520599163</v>
      </c>
      <c r="AH14" s="69">
        <v>296.31982851028442</v>
      </c>
      <c r="AI14" s="69">
        <v>835.03235162099202</v>
      </c>
      <c r="AJ14" s="69">
        <v>3296.753078079224</v>
      </c>
      <c r="AK14" s="69">
        <v>565.29047489166248</v>
      </c>
      <c r="AL14" s="69">
        <v>5326.2173019409174</v>
      </c>
      <c r="AM14" s="69">
        <v>3079.2778463999434</v>
      </c>
      <c r="AN14" s="69">
        <v>640.90493580500288</v>
      </c>
      <c r="AO14" s="69">
        <v>2146.4186002095535</v>
      </c>
      <c r="AP14" s="69">
        <v>443.7745000203451</v>
      </c>
      <c r="AQ14" s="69">
        <v>974.92440319061302</v>
      </c>
    </row>
    <row r="15" spans="1:47" x14ac:dyDescent="0.25">
      <c r="A15" s="11">
        <v>41494</v>
      </c>
      <c r="B15" s="59"/>
      <c r="C15" s="60">
        <v>190.16214883327441</v>
      </c>
      <c r="D15" s="60">
        <v>1794.517306772867</v>
      </c>
      <c r="E15" s="60">
        <v>28.035649259885147</v>
      </c>
      <c r="F15" s="60">
        <v>0</v>
      </c>
      <c r="G15" s="60">
        <v>4981.1018630981362</v>
      </c>
      <c r="H15" s="61">
        <v>70.624254151185383</v>
      </c>
      <c r="I15" s="59">
        <v>569.05531101226995</v>
      </c>
      <c r="J15" s="60">
        <v>1335.6758485158293</v>
      </c>
      <c r="K15" s="60">
        <v>29.158169068892686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408.54631542430229</v>
      </c>
      <c r="V15" s="62">
        <v>188.95713397331568</v>
      </c>
      <c r="W15" s="62">
        <v>35.443490112482017</v>
      </c>
      <c r="X15" s="62">
        <v>16.393001372954657</v>
      </c>
      <c r="Y15" s="66">
        <v>293.7635143502099</v>
      </c>
      <c r="Z15" s="66">
        <v>135.86883455281</v>
      </c>
      <c r="AA15" s="67">
        <v>0</v>
      </c>
      <c r="AB15" s="68">
        <v>229.16970051659504</v>
      </c>
      <c r="AC15" s="69">
        <v>0</v>
      </c>
      <c r="AD15" s="69">
        <v>21.711905595991343</v>
      </c>
      <c r="AE15" s="68">
        <v>14.674164944852311</v>
      </c>
      <c r="AF15" s="68">
        <v>6.786961592227966</v>
      </c>
      <c r="AG15" s="68">
        <v>0.68375557636727347</v>
      </c>
      <c r="AH15" s="69">
        <v>240.86274054845174</v>
      </c>
      <c r="AI15" s="69">
        <v>782.36766611735038</v>
      </c>
      <c r="AJ15" s="69">
        <v>3312.7442530314129</v>
      </c>
      <c r="AK15" s="69">
        <v>573.75065482457478</v>
      </c>
      <c r="AL15" s="69">
        <v>4822.1565264383953</v>
      </c>
      <c r="AM15" s="69">
        <v>3123.4495414733888</v>
      </c>
      <c r="AN15" s="69">
        <v>578.93084192276001</v>
      </c>
      <c r="AO15" s="69">
        <v>2574.7896416982012</v>
      </c>
      <c r="AP15" s="69">
        <v>443.77899586359666</v>
      </c>
      <c r="AQ15" s="69">
        <v>919.06303243637069</v>
      </c>
    </row>
    <row r="16" spans="1:47" x14ac:dyDescent="0.25">
      <c r="A16" s="11">
        <v>41495</v>
      </c>
      <c r="B16" s="59"/>
      <c r="C16" s="60">
        <v>156.7681743939718</v>
      </c>
      <c r="D16" s="60">
        <v>1791.7258879343681</v>
      </c>
      <c r="E16" s="60">
        <v>28.036492798229059</v>
      </c>
      <c r="F16" s="60">
        <v>0</v>
      </c>
      <c r="G16" s="60">
        <v>5044.3500411987325</v>
      </c>
      <c r="H16" s="61">
        <v>70.510088435808882</v>
      </c>
      <c r="I16" s="59">
        <v>559.25465310414586</v>
      </c>
      <c r="J16" s="60">
        <v>1331.1065935134895</v>
      </c>
      <c r="K16" s="60">
        <v>29.150050342082853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409.98580418806279</v>
      </c>
      <c r="V16" s="62">
        <v>194.80488057552787</v>
      </c>
      <c r="W16" s="62">
        <v>35.660620379135324</v>
      </c>
      <c r="X16" s="62">
        <v>16.944154707903319</v>
      </c>
      <c r="Y16" s="66">
        <v>294.34475461204067</v>
      </c>
      <c r="Z16" s="66">
        <v>139.85800041000826</v>
      </c>
      <c r="AA16" s="67">
        <v>0</v>
      </c>
      <c r="AB16" s="68">
        <v>229.22153287463695</v>
      </c>
      <c r="AC16" s="69">
        <v>0</v>
      </c>
      <c r="AD16" s="69">
        <v>21.994424597422281</v>
      </c>
      <c r="AE16" s="68">
        <v>14.730894941082862</v>
      </c>
      <c r="AF16" s="68">
        <v>6.9993892482481437</v>
      </c>
      <c r="AG16" s="68">
        <v>0.67789702208843372</v>
      </c>
      <c r="AH16" s="69">
        <v>286.12202005386348</v>
      </c>
      <c r="AI16" s="69">
        <v>832.63188088734944</v>
      </c>
      <c r="AJ16" s="69">
        <v>3219.8626832326249</v>
      </c>
      <c r="AK16" s="69">
        <v>574.48503096898401</v>
      </c>
      <c r="AL16" s="69">
        <v>5785.7961199442543</v>
      </c>
      <c r="AM16" s="69">
        <v>3056.4162527720132</v>
      </c>
      <c r="AN16" s="69">
        <v>607.24916750589989</v>
      </c>
      <c r="AO16" s="69">
        <v>2589.5412385304767</v>
      </c>
      <c r="AP16" s="69">
        <v>449.94163010915116</v>
      </c>
      <c r="AQ16" s="69">
        <v>899.99638182322178</v>
      </c>
    </row>
    <row r="17" spans="1:43" x14ac:dyDescent="0.25">
      <c r="A17" s="11">
        <v>41496</v>
      </c>
      <c r="B17" s="49"/>
      <c r="C17" s="50">
        <v>148.68321811358092</v>
      </c>
      <c r="D17" s="50">
        <v>1791.1859411875441</v>
      </c>
      <c r="E17" s="50">
        <v>28.054556628564999</v>
      </c>
      <c r="F17" s="50">
        <v>0</v>
      </c>
      <c r="G17" s="50">
        <v>5314.9160308837818</v>
      </c>
      <c r="H17" s="51">
        <v>70.503828239440935</v>
      </c>
      <c r="I17" s="49">
        <v>478.03710215886355</v>
      </c>
      <c r="J17" s="50">
        <v>1100.7342692693089</v>
      </c>
      <c r="K17" s="50">
        <v>24.110089816649708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338.10248970610388</v>
      </c>
      <c r="V17" s="66">
        <v>194.77663048483197</v>
      </c>
      <c r="W17" s="62">
        <v>29.298764880636423</v>
      </c>
      <c r="X17" s="62">
        <v>16.878653291723058</v>
      </c>
      <c r="Y17" s="66">
        <v>243.08838094583538</v>
      </c>
      <c r="Z17" s="66">
        <v>140.04018660673071</v>
      </c>
      <c r="AA17" s="67">
        <v>0</v>
      </c>
      <c r="AB17" s="68">
        <v>229.22884448369143</v>
      </c>
      <c r="AC17" s="69">
        <v>0</v>
      </c>
      <c r="AD17" s="69">
        <v>19.399330627918225</v>
      </c>
      <c r="AE17" s="68">
        <v>12.151825708771359</v>
      </c>
      <c r="AF17" s="68">
        <v>7.0005153403361939</v>
      </c>
      <c r="AG17" s="68">
        <v>0.63448252501422542</v>
      </c>
      <c r="AH17" s="69">
        <v>222.76571297645569</v>
      </c>
      <c r="AI17" s="69">
        <v>775.18210798899327</v>
      </c>
      <c r="AJ17" s="69">
        <v>3325.8349638621007</v>
      </c>
      <c r="AK17" s="69">
        <v>577.70623890558863</v>
      </c>
      <c r="AL17" s="69">
        <v>4853.1301233927406</v>
      </c>
      <c r="AM17" s="69">
        <v>2941.1522322336823</v>
      </c>
      <c r="AN17" s="69">
        <v>618.92952810923259</v>
      </c>
      <c r="AO17" s="69">
        <v>2290.8448298136395</v>
      </c>
      <c r="AP17" s="69">
        <v>456.41970853805543</v>
      </c>
      <c r="AQ17" s="69">
        <v>905.15296090443928</v>
      </c>
    </row>
    <row r="18" spans="1:43" x14ac:dyDescent="0.25">
      <c r="A18" s="11">
        <v>41497</v>
      </c>
      <c r="B18" s="59"/>
      <c r="C18" s="60">
        <v>148.94732917944611</v>
      </c>
      <c r="D18" s="60">
        <v>1791.6368948618567</v>
      </c>
      <c r="E18" s="60">
        <v>28.040664523839901</v>
      </c>
      <c r="F18" s="60">
        <v>0</v>
      </c>
      <c r="G18" s="60">
        <v>5329.3219240824255</v>
      </c>
      <c r="H18" s="61">
        <v>70.533274841308682</v>
      </c>
      <c r="I18" s="59">
        <v>410.64269847869878</v>
      </c>
      <c r="J18" s="60">
        <v>823.12875932057727</v>
      </c>
      <c r="K18" s="60">
        <v>17.920537876089458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257.39608326176705</v>
      </c>
      <c r="V18" s="62">
        <v>199.65750227815687</v>
      </c>
      <c r="W18" s="62">
        <v>21.690957325315246</v>
      </c>
      <c r="X18" s="62">
        <v>16.825284622494536</v>
      </c>
      <c r="Y18" s="66">
        <v>162.57006613832891</v>
      </c>
      <c r="Z18" s="66">
        <v>126.10267001368469</v>
      </c>
      <c r="AA18" s="67">
        <v>0</v>
      </c>
      <c r="AB18" s="68">
        <v>229.1642752647374</v>
      </c>
      <c r="AC18" s="69">
        <v>0</v>
      </c>
      <c r="AD18" s="69">
        <v>16.224868557188238</v>
      </c>
      <c r="AE18" s="68">
        <v>9.0247643169692893</v>
      </c>
      <c r="AF18" s="68">
        <v>7.0003470112739219</v>
      </c>
      <c r="AG18" s="68">
        <v>0.56316390770176628</v>
      </c>
      <c r="AH18" s="69">
        <v>190.19499873320262</v>
      </c>
      <c r="AI18" s="69">
        <v>747.74523382186896</v>
      </c>
      <c r="AJ18" s="69">
        <v>3330.7701471964524</v>
      </c>
      <c r="AK18" s="69">
        <v>572.56731252670295</v>
      </c>
      <c r="AL18" s="69">
        <v>4443.7401608784994</v>
      </c>
      <c r="AM18" s="69">
        <v>2965.7519680023197</v>
      </c>
      <c r="AN18" s="69">
        <v>639.64391489028924</v>
      </c>
      <c r="AO18" s="69">
        <v>1916.9648864746093</v>
      </c>
      <c r="AP18" s="69">
        <v>456.28281008402507</v>
      </c>
      <c r="AQ18" s="69">
        <v>912.71830120086656</v>
      </c>
    </row>
    <row r="19" spans="1:43" x14ac:dyDescent="0.25">
      <c r="A19" s="11">
        <v>41498</v>
      </c>
      <c r="B19" s="59"/>
      <c r="C19" s="60">
        <v>148.98174947897564</v>
      </c>
      <c r="D19" s="60">
        <v>1790.0013244628892</v>
      </c>
      <c r="E19" s="60">
        <v>27.679057928919875</v>
      </c>
      <c r="F19" s="60">
        <v>0</v>
      </c>
      <c r="G19" s="60">
        <v>5262.4906944274908</v>
      </c>
      <c r="H19" s="61">
        <v>70.478358503182847</v>
      </c>
      <c r="I19" s="59">
        <v>511.24253164927143</v>
      </c>
      <c r="J19" s="60">
        <v>1036.8660443623862</v>
      </c>
      <c r="K19" s="60">
        <v>22.738185644149759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335.88854132521396</v>
      </c>
      <c r="V19" s="62">
        <v>205.44429308810413</v>
      </c>
      <c r="W19" s="62">
        <v>28.867493539759757</v>
      </c>
      <c r="X19" s="62">
        <v>17.656636276136524</v>
      </c>
      <c r="Y19" s="66">
        <v>208.047453711759</v>
      </c>
      <c r="Z19" s="66">
        <v>127.25102764136446</v>
      </c>
      <c r="AA19" s="67">
        <v>0</v>
      </c>
      <c r="AB19" s="68">
        <v>229.20825274785534</v>
      </c>
      <c r="AC19" s="69">
        <v>0</v>
      </c>
      <c r="AD19" s="69">
        <v>18.677713498804284</v>
      </c>
      <c r="AE19" s="68">
        <v>11.442293880162502</v>
      </c>
      <c r="AF19" s="68">
        <v>6.9986131954417532</v>
      </c>
      <c r="AG19" s="68">
        <v>0.62048433047524432</v>
      </c>
      <c r="AH19" s="69">
        <v>268.20006389617919</v>
      </c>
      <c r="AI19" s="69">
        <v>812.62788807551044</v>
      </c>
      <c r="AJ19" s="69">
        <v>3347.5803019205728</v>
      </c>
      <c r="AK19" s="69">
        <v>579.02832266489668</v>
      </c>
      <c r="AL19" s="69">
        <v>5665.4235733032228</v>
      </c>
      <c r="AM19" s="69">
        <v>3003.6662558237708</v>
      </c>
      <c r="AN19" s="69">
        <v>635.42072515487666</v>
      </c>
      <c r="AO19" s="69">
        <v>2116.2397162119546</v>
      </c>
      <c r="AP19" s="69">
        <v>430.61879727045698</v>
      </c>
      <c r="AQ19" s="69">
        <v>951.60713831583644</v>
      </c>
    </row>
    <row r="20" spans="1:43" x14ac:dyDescent="0.25">
      <c r="A20" s="11">
        <v>41499</v>
      </c>
      <c r="B20" s="59"/>
      <c r="C20" s="60">
        <v>149.00803967316932</v>
      </c>
      <c r="D20" s="60">
        <v>1791.2634007771849</v>
      </c>
      <c r="E20" s="60">
        <v>27.424293389419745</v>
      </c>
      <c r="F20" s="60">
        <v>0</v>
      </c>
      <c r="G20" s="60">
        <v>5290.4874432881488</v>
      </c>
      <c r="H20" s="61">
        <v>70.495213770866428</v>
      </c>
      <c r="I20" s="59">
        <v>550.48393777211436</v>
      </c>
      <c r="J20" s="60">
        <v>1199.1344731012966</v>
      </c>
      <c r="K20" s="60">
        <v>26.161727702617679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368.4345039713948</v>
      </c>
      <c r="V20" s="62">
        <v>198.87546495577541</v>
      </c>
      <c r="W20" s="62">
        <v>31.335779600190136</v>
      </c>
      <c r="X20" s="62">
        <v>16.914587723367411</v>
      </c>
      <c r="Y20" s="66">
        <v>235.03488833400456</v>
      </c>
      <c r="Z20" s="66">
        <v>126.86833669053702</v>
      </c>
      <c r="AA20" s="67">
        <v>0</v>
      </c>
      <c r="AB20" s="68">
        <v>91.451906818813512</v>
      </c>
      <c r="AC20" s="69">
        <v>0</v>
      </c>
      <c r="AD20" s="69">
        <v>20.137219350867788</v>
      </c>
      <c r="AE20" s="68">
        <v>12.860467642200209</v>
      </c>
      <c r="AF20" s="68">
        <v>6.9418891399211793</v>
      </c>
      <c r="AG20" s="68">
        <v>0.64944126518371381</v>
      </c>
      <c r="AH20" s="69">
        <v>237.32746504147849</v>
      </c>
      <c r="AI20" s="69">
        <v>774.3292879422504</v>
      </c>
      <c r="AJ20" s="69">
        <v>3326.7839636484782</v>
      </c>
      <c r="AK20" s="69">
        <v>592.55782925287883</v>
      </c>
      <c r="AL20" s="69">
        <v>4450.7854134877516</v>
      </c>
      <c r="AM20" s="69">
        <v>3152.4149818420415</v>
      </c>
      <c r="AN20" s="69">
        <v>617.52544536590574</v>
      </c>
      <c r="AO20" s="69">
        <v>2360.3708299001059</v>
      </c>
      <c r="AP20" s="69">
        <v>449.51520684560137</v>
      </c>
      <c r="AQ20" s="69">
        <v>913.16028089523297</v>
      </c>
    </row>
    <row r="21" spans="1:43" x14ac:dyDescent="0.25">
      <c r="A21" s="11">
        <v>41500</v>
      </c>
      <c r="B21" s="59"/>
      <c r="C21" s="60">
        <v>149.3748791933053</v>
      </c>
      <c r="D21" s="60">
        <v>1794.7507245381687</v>
      </c>
      <c r="E21" s="60">
        <v>27.898615246017798</v>
      </c>
      <c r="F21" s="60">
        <v>0</v>
      </c>
      <c r="G21" s="60">
        <v>5307.3648679097441</v>
      </c>
      <c r="H21" s="61">
        <v>70.637469792365778</v>
      </c>
      <c r="I21" s="59">
        <v>501.32381820678756</v>
      </c>
      <c r="J21" s="60">
        <v>1097.5133029301962</v>
      </c>
      <c r="K21" s="60">
        <v>23.901649437348041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338.55158800817975</v>
      </c>
      <c r="V21" s="62">
        <v>192.9702118422837</v>
      </c>
      <c r="W21" s="62">
        <v>29.106362866120012</v>
      </c>
      <c r="X21" s="62">
        <v>16.590266320351315</v>
      </c>
      <c r="Y21" s="66">
        <v>217.6647039760411</v>
      </c>
      <c r="Z21" s="66">
        <v>124.06618525691214</v>
      </c>
      <c r="AA21" s="67">
        <v>0</v>
      </c>
      <c r="AB21" s="68">
        <v>0</v>
      </c>
      <c r="AC21" s="69">
        <v>0</v>
      </c>
      <c r="AD21" s="69">
        <v>18.916723055971993</v>
      </c>
      <c r="AE21" s="68">
        <v>11.818896811294827</v>
      </c>
      <c r="AF21" s="68">
        <v>6.7366247927998186</v>
      </c>
      <c r="AG21" s="68">
        <v>0.63694770017603553</v>
      </c>
      <c r="AH21" s="69">
        <v>278.90351805686947</v>
      </c>
      <c r="AI21" s="69">
        <v>834.18684647878024</v>
      </c>
      <c r="AJ21" s="69">
        <v>3360.0727842966717</v>
      </c>
      <c r="AK21" s="69">
        <v>590.0512784004211</v>
      </c>
      <c r="AL21" s="69">
        <v>5528.6639712015785</v>
      </c>
      <c r="AM21" s="69">
        <v>3172.1256731669105</v>
      </c>
      <c r="AN21" s="69">
        <v>617.91159286499033</v>
      </c>
      <c r="AO21" s="69">
        <v>2176.2383960723878</v>
      </c>
      <c r="AP21" s="69">
        <v>466.43758643468226</v>
      </c>
      <c r="AQ21" s="69">
        <v>920.95910463333121</v>
      </c>
    </row>
    <row r="22" spans="1:43" x14ac:dyDescent="0.25">
      <c r="A22" s="11">
        <v>41501</v>
      </c>
      <c r="B22" s="59"/>
      <c r="C22" s="60">
        <v>149.1822203000383</v>
      </c>
      <c r="D22" s="60">
        <v>1793.1759831746435</v>
      </c>
      <c r="E22" s="60">
        <v>27.903860698640365</v>
      </c>
      <c r="F22" s="60">
        <v>0</v>
      </c>
      <c r="G22" s="60">
        <v>5307.7174125671418</v>
      </c>
      <c r="H22" s="61">
        <v>70.5717284202576</v>
      </c>
      <c r="I22" s="59">
        <v>560.27847270965515</v>
      </c>
      <c r="J22" s="60">
        <v>1233.9362798055029</v>
      </c>
      <c r="K22" s="60">
        <v>26.975126077731396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375.31273216632411</v>
      </c>
      <c r="V22" s="62">
        <v>199.0678743154389</v>
      </c>
      <c r="W22" s="62">
        <v>32.173464438959172</v>
      </c>
      <c r="X22" s="62">
        <v>17.064977087930632</v>
      </c>
      <c r="Y22" s="66">
        <v>241.90490492997651</v>
      </c>
      <c r="Z22" s="66">
        <v>128.30765141628103</v>
      </c>
      <c r="AA22" s="67">
        <v>0</v>
      </c>
      <c r="AB22" s="68">
        <v>0</v>
      </c>
      <c r="AC22" s="69">
        <v>0</v>
      </c>
      <c r="AD22" s="69">
        <v>20.396832263469697</v>
      </c>
      <c r="AE22" s="68">
        <v>13.093001285967395</v>
      </c>
      <c r="AF22" s="68">
        <v>6.9445976942018133</v>
      </c>
      <c r="AG22" s="68">
        <v>0.6534216648873582</v>
      </c>
      <c r="AH22" s="69">
        <v>236.23126192092897</v>
      </c>
      <c r="AI22" s="69">
        <v>785.78506657282503</v>
      </c>
      <c r="AJ22" s="69">
        <v>3317.2127997080484</v>
      </c>
      <c r="AK22" s="69">
        <v>584.9351167678833</v>
      </c>
      <c r="AL22" s="69">
        <v>5287.9947113037124</v>
      </c>
      <c r="AM22" s="69">
        <v>3042.5696233113608</v>
      </c>
      <c r="AN22" s="69">
        <v>685.7238832155864</v>
      </c>
      <c r="AO22" s="69">
        <v>2372.9688268025716</v>
      </c>
      <c r="AP22" s="69">
        <v>461.97560928662631</v>
      </c>
      <c r="AQ22" s="69">
        <v>997.42838147481291</v>
      </c>
    </row>
    <row r="23" spans="1:43" x14ac:dyDescent="0.25">
      <c r="A23" s="11">
        <v>41502</v>
      </c>
      <c r="B23" s="59"/>
      <c r="C23" s="60">
        <v>150.060869717598</v>
      </c>
      <c r="D23" s="60">
        <v>1794.8621901194249</v>
      </c>
      <c r="E23" s="60">
        <v>27.974278903007495</v>
      </c>
      <c r="F23" s="60">
        <v>0</v>
      </c>
      <c r="G23" s="60">
        <v>5369.9917757669964</v>
      </c>
      <c r="H23" s="61">
        <v>70.628783984979094</v>
      </c>
      <c r="I23" s="59">
        <v>623.99555610020911</v>
      </c>
      <c r="J23" s="60">
        <v>1366.2511088053411</v>
      </c>
      <c r="K23" s="60">
        <v>29.954226122299737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430.23468842283188</v>
      </c>
      <c r="V23" s="62">
        <v>200.75980073834359</v>
      </c>
      <c r="W23" s="62">
        <v>36.724883639631436</v>
      </c>
      <c r="X23" s="62">
        <v>17.136880219163643</v>
      </c>
      <c r="Y23" s="66">
        <v>289.74249647419714</v>
      </c>
      <c r="Z23" s="66">
        <v>135.20212903061474</v>
      </c>
      <c r="AA23" s="67">
        <v>0</v>
      </c>
      <c r="AB23" s="68">
        <v>0</v>
      </c>
      <c r="AC23" s="69">
        <v>0</v>
      </c>
      <c r="AD23" s="69">
        <v>22.401258350743213</v>
      </c>
      <c r="AE23" s="68">
        <v>15.001015366192526</v>
      </c>
      <c r="AF23" s="68">
        <v>6.9999024644657668</v>
      </c>
      <c r="AG23" s="68">
        <v>0.68183588892317037</v>
      </c>
      <c r="AH23" s="69">
        <v>302.45371270179749</v>
      </c>
      <c r="AI23" s="69">
        <v>844.74544006983456</v>
      </c>
      <c r="AJ23" s="69">
        <v>3383.6059352874759</v>
      </c>
      <c r="AK23" s="69">
        <v>589.92829265594492</v>
      </c>
      <c r="AL23" s="69">
        <v>5472.7546460469566</v>
      </c>
      <c r="AM23" s="69">
        <v>3011.7566162109379</v>
      </c>
      <c r="AN23" s="69">
        <v>732.43104874292987</v>
      </c>
      <c r="AO23" s="69">
        <v>2598.229479980469</v>
      </c>
      <c r="AP23" s="69">
        <v>482.61692215601602</v>
      </c>
      <c r="AQ23" s="69">
        <v>1001.6011154810587</v>
      </c>
    </row>
    <row r="24" spans="1:43" x14ac:dyDescent="0.25">
      <c r="A24" s="11">
        <v>41503</v>
      </c>
      <c r="B24" s="59"/>
      <c r="C24" s="60">
        <v>149.32297858397149</v>
      </c>
      <c r="D24" s="60">
        <v>1794.9751511891711</v>
      </c>
      <c r="E24" s="60">
        <v>28.38221325675643</v>
      </c>
      <c r="F24" s="60">
        <v>0</v>
      </c>
      <c r="G24" s="60">
        <v>5398.8991556803267</v>
      </c>
      <c r="H24" s="61">
        <v>70.724061779181142</v>
      </c>
      <c r="I24" s="59">
        <v>619.71348686218062</v>
      </c>
      <c r="J24" s="60">
        <v>1457.0242642084754</v>
      </c>
      <c r="K24" s="60">
        <v>31.924822986125889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451.85631293252908</v>
      </c>
      <c r="V24" s="62">
        <v>199.43339959188796</v>
      </c>
      <c r="W24" s="62">
        <v>38.348423155031028</v>
      </c>
      <c r="X24" s="62">
        <v>16.925638040024683</v>
      </c>
      <c r="Y24" s="66">
        <v>303.20362967294881</v>
      </c>
      <c r="Z24" s="66">
        <v>133.82336132881517</v>
      </c>
      <c r="AA24" s="67">
        <v>0</v>
      </c>
      <c r="AB24" s="68">
        <v>0</v>
      </c>
      <c r="AC24" s="69">
        <v>0</v>
      </c>
      <c r="AD24" s="69">
        <v>23.055040720436264</v>
      </c>
      <c r="AE24" s="68">
        <v>15.749879087745931</v>
      </c>
      <c r="AF24" s="68">
        <v>6.9514397380996087</v>
      </c>
      <c r="AG24" s="68">
        <v>0.6937869649147711</v>
      </c>
      <c r="AH24" s="69">
        <v>247.92887110710146</v>
      </c>
      <c r="AI24" s="69">
        <v>798.20633465449009</v>
      </c>
      <c r="AJ24" s="69">
        <v>3410.327325566609</v>
      </c>
      <c r="AK24" s="69">
        <v>599.56462011337271</v>
      </c>
      <c r="AL24" s="69">
        <v>5654.8931198120117</v>
      </c>
      <c r="AM24" s="69">
        <v>3036.9331918080647</v>
      </c>
      <c r="AN24" s="69">
        <v>716.19041023254397</v>
      </c>
      <c r="AO24" s="69">
        <v>2801.4741319020591</v>
      </c>
      <c r="AP24" s="69">
        <v>502.36434113184617</v>
      </c>
      <c r="AQ24" s="69">
        <v>1001.1268980662028</v>
      </c>
    </row>
    <row r="25" spans="1:43" x14ac:dyDescent="0.25">
      <c r="A25" s="11">
        <v>41504</v>
      </c>
      <c r="B25" s="59"/>
      <c r="C25" s="60">
        <v>149.09746750990539</v>
      </c>
      <c r="D25" s="60">
        <v>1794.9218138376884</v>
      </c>
      <c r="E25" s="60">
        <v>28.077066912750386</v>
      </c>
      <c r="F25" s="60">
        <v>0</v>
      </c>
      <c r="G25" s="60">
        <v>5401.3955261230312</v>
      </c>
      <c r="H25" s="61">
        <v>70.734673905372574</v>
      </c>
      <c r="I25" s="59">
        <v>651.62119218508519</v>
      </c>
      <c r="J25" s="60">
        <v>1593.9580279668141</v>
      </c>
      <c r="K25" s="60">
        <v>35.014895663658848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508.31109550118123</v>
      </c>
      <c r="V25" s="62">
        <v>200.91644597729379</v>
      </c>
      <c r="W25" s="62">
        <v>43.202063648919214</v>
      </c>
      <c r="X25" s="62">
        <v>17.076166867196612</v>
      </c>
      <c r="Y25" s="66">
        <v>363.57207436591551</v>
      </c>
      <c r="Z25" s="66">
        <v>143.70650116572625</v>
      </c>
      <c r="AA25" s="67">
        <v>0</v>
      </c>
      <c r="AB25" s="68">
        <v>0</v>
      </c>
      <c r="AC25" s="69">
        <v>0</v>
      </c>
      <c r="AD25" s="69">
        <v>24.979188760121616</v>
      </c>
      <c r="AE25" s="68">
        <v>17.709762787479647</v>
      </c>
      <c r="AF25" s="68">
        <v>7.0000096984958935</v>
      </c>
      <c r="AG25" s="68">
        <v>0.71671088018034679</v>
      </c>
      <c r="AH25" s="69">
        <v>216.3545061270396</v>
      </c>
      <c r="AI25" s="69">
        <v>774.00841410954786</v>
      </c>
      <c r="AJ25" s="69">
        <v>3431.258071009318</v>
      </c>
      <c r="AK25" s="69">
        <v>603.8735015551249</v>
      </c>
      <c r="AL25" s="69">
        <v>6000.5715014139814</v>
      </c>
      <c r="AM25" s="69">
        <v>3042.5746098836262</v>
      </c>
      <c r="AN25" s="69">
        <v>728.55827684402482</v>
      </c>
      <c r="AO25" s="69">
        <v>3013.2773771921788</v>
      </c>
      <c r="AP25" s="69">
        <v>517.48273029327379</v>
      </c>
      <c r="AQ25" s="69">
        <v>999.09048213958761</v>
      </c>
    </row>
    <row r="26" spans="1:43" x14ac:dyDescent="0.25">
      <c r="A26" s="11">
        <v>41505</v>
      </c>
      <c r="B26" s="59"/>
      <c r="C26" s="60">
        <v>149.98920454978941</v>
      </c>
      <c r="D26" s="60">
        <v>1798.4293688456241</v>
      </c>
      <c r="E26" s="60">
        <v>28.081170807778825</v>
      </c>
      <c r="F26" s="60">
        <v>0</v>
      </c>
      <c r="G26" s="60">
        <v>5401.495452117907</v>
      </c>
      <c r="H26" s="61">
        <v>70.795921405156534</v>
      </c>
      <c r="I26" s="59">
        <v>691.97895914713604</v>
      </c>
      <c r="J26" s="60">
        <v>1646.7399879455556</v>
      </c>
      <c r="K26" s="60">
        <v>36.114597143729604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510.2487298102576</v>
      </c>
      <c r="V26" s="62">
        <v>193.49501251796391</v>
      </c>
      <c r="W26" s="62">
        <v>43.121034479199658</v>
      </c>
      <c r="X26" s="62">
        <v>16.352231017690144</v>
      </c>
      <c r="Y26" s="66">
        <v>400.24028935908416</v>
      </c>
      <c r="Z26" s="66">
        <v>151.77793745518622</v>
      </c>
      <c r="AA26" s="67">
        <v>0</v>
      </c>
      <c r="AB26" s="68">
        <v>0</v>
      </c>
      <c r="AC26" s="69">
        <v>0</v>
      </c>
      <c r="AD26" s="69">
        <v>24.7951993127664</v>
      </c>
      <c r="AE26" s="68">
        <v>17.782892055312676</v>
      </c>
      <c r="AF26" s="68">
        <v>6.7435756716687374</v>
      </c>
      <c r="AG26" s="68">
        <v>0.72504904714631324</v>
      </c>
      <c r="AH26" s="69">
        <v>289.51581807136535</v>
      </c>
      <c r="AI26" s="69">
        <v>855.27077067693085</v>
      </c>
      <c r="AJ26" s="69">
        <v>3407.7323095957431</v>
      </c>
      <c r="AK26" s="69">
        <v>607.46584771474193</v>
      </c>
      <c r="AL26" s="69">
        <v>5716.7133684794089</v>
      </c>
      <c r="AM26" s="69">
        <v>3072.0922219594322</v>
      </c>
      <c r="AN26" s="69">
        <v>728.05486332575481</v>
      </c>
      <c r="AO26" s="69">
        <v>2987.2445384979251</v>
      </c>
      <c r="AP26" s="69">
        <v>528.86018638610835</v>
      </c>
      <c r="AQ26" s="69">
        <v>1020.9141904830933</v>
      </c>
    </row>
    <row r="27" spans="1:43" x14ac:dyDescent="0.25">
      <c r="A27" s="11">
        <v>41506</v>
      </c>
      <c r="B27" s="59"/>
      <c r="C27" s="60">
        <v>149.97343815962446</v>
      </c>
      <c r="D27" s="60">
        <v>1798.498730595906</v>
      </c>
      <c r="E27" s="60">
        <v>28.105965859691285</v>
      </c>
      <c r="F27" s="60">
        <v>0</v>
      </c>
      <c r="G27" s="60">
        <v>5399.3379750569584</v>
      </c>
      <c r="H27" s="61">
        <v>70.827489638328544</v>
      </c>
      <c r="I27" s="59">
        <v>681.49568662643549</v>
      </c>
      <c r="J27" s="60">
        <v>1622.3581840515142</v>
      </c>
      <c r="K27" s="60">
        <v>35.675101067622542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526.86735865741969</v>
      </c>
      <c r="V27" s="62">
        <v>204.88871353530476</v>
      </c>
      <c r="W27" s="62">
        <v>43.843311246522298</v>
      </c>
      <c r="X27" s="62">
        <v>17.04983140598932</v>
      </c>
      <c r="Y27" s="62">
        <v>406.17233512745003</v>
      </c>
      <c r="Z27" s="62">
        <v>157.95271020387011</v>
      </c>
      <c r="AA27" s="72">
        <v>0</v>
      </c>
      <c r="AB27" s="69">
        <v>0</v>
      </c>
      <c r="AC27" s="69">
        <v>0</v>
      </c>
      <c r="AD27" s="69">
        <v>25.336643727620427</v>
      </c>
      <c r="AE27" s="69">
        <v>18.00162427426357</v>
      </c>
      <c r="AF27" s="69">
        <v>7.0004899307076034</v>
      </c>
      <c r="AG27" s="69">
        <v>0.72000408152220607</v>
      </c>
      <c r="AH27" s="69">
        <v>250.2000888347626</v>
      </c>
      <c r="AI27" s="69">
        <v>826.3292173703511</v>
      </c>
      <c r="AJ27" s="69">
        <v>3407.9938437143965</v>
      </c>
      <c r="AK27" s="69">
        <v>607.58378957112632</v>
      </c>
      <c r="AL27" s="69">
        <v>6139.5919850667306</v>
      </c>
      <c r="AM27" s="69">
        <v>3051.9279346466064</v>
      </c>
      <c r="AN27" s="69">
        <v>741.42013864517219</v>
      </c>
      <c r="AO27" s="69">
        <v>3197.2639347076415</v>
      </c>
      <c r="AP27" s="69">
        <v>539.55554711023967</v>
      </c>
      <c r="AQ27" s="69">
        <v>1060.3074559847514</v>
      </c>
    </row>
    <row r="28" spans="1:43" x14ac:dyDescent="0.25">
      <c r="A28" s="11">
        <v>41507</v>
      </c>
      <c r="B28" s="59"/>
      <c r="C28" s="60">
        <v>149.54206962585451</v>
      </c>
      <c r="D28" s="60">
        <v>1801.1422809600861</v>
      </c>
      <c r="E28" s="60">
        <v>28.054280134538743</v>
      </c>
      <c r="F28" s="60">
        <v>0</v>
      </c>
      <c r="G28" s="60">
        <v>5401.632623291006</v>
      </c>
      <c r="H28" s="61">
        <v>70.927494267622748</v>
      </c>
      <c r="I28" s="59">
        <v>693.69553871154847</v>
      </c>
      <c r="J28" s="60">
        <v>1639.9684052149437</v>
      </c>
      <c r="K28" s="60">
        <v>36.082202514012636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532.83374397294949</v>
      </c>
      <c r="V28" s="62">
        <v>206.97005796627246</v>
      </c>
      <c r="W28" s="62">
        <v>44.468631975541172</v>
      </c>
      <c r="X28" s="62">
        <v>17.273071463217686</v>
      </c>
      <c r="Y28" s="66">
        <v>408.43594615160589</v>
      </c>
      <c r="Z28" s="66">
        <v>158.64988358319658</v>
      </c>
      <c r="AA28" s="67">
        <v>0</v>
      </c>
      <c r="AB28" s="68">
        <v>0</v>
      </c>
      <c r="AC28" s="69">
        <v>0</v>
      </c>
      <c r="AD28" s="69">
        <v>25.372595643997201</v>
      </c>
      <c r="AE28" s="68">
        <v>18.023447257361848</v>
      </c>
      <c r="AF28" s="68">
        <v>7.0008965569523189</v>
      </c>
      <c r="AG28" s="68">
        <v>0.72023655809317411</v>
      </c>
      <c r="AH28" s="69">
        <v>287.38110469182334</v>
      </c>
      <c r="AI28" s="69">
        <v>857.00206785202022</v>
      </c>
      <c r="AJ28" s="69">
        <v>3392.495629882812</v>
      </c>
      <c r="AK28" s="69">
        <v>603.97855431238816</v>
      </c>
      <c r="AL28" s="69">
        <v>6121.5364036560068</v>
      </c>
      <c r="AM28" s="69">
        <v>3064.675511550904</v>
      </c>
      <c r="AN28" s="69">
        <v>735.03715359369914</v>
      </c>
      <c r="AO28" s="69">
        <v>3308.5658279418949</v>
      </c>
      <c r="AP28" s="69">
        <v>543.14827229181924</v>
      </c>
      <c r="AQ28" s="69">
        <v>1039.6970462481179</v>
      </c>
    </row>
    <row r="29" spans="1:43" x14ac:dyDescent="0.25">
      <c r="A29" s="11">
        <v>41508</v>
      </c>
      <c r="B29" s="59"/>
      <c r="C29" s="60">
        <v>149.80521593888602</v>
      </c>
      <c r="D29" s="60">
        <v>1802.2982743581165</v>
      </c>
      <c r="E29" s="60">
        <v>28.023451511065165</v>
      </c>
      <c r="F29" s="60">
        <v>0</v>
      </c>
      <c r="G29" s="60">
        <v>5401.2869069417302</v>
      </c>
      <c r="H29" s="61">
        <v>70.925067957242348</v>
      </c>
      <c r="I29" s="59">
        <v>698.26303008397326</v>
      </c>
      <c r="J29" s="60">
        <v>1701.0706480026211</v>
      </c>
      <c r="K29" s="60">
        <v>37.457955586910202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535.1950027135282</v>
      </c>
      <c r="V29" s="62">
        <v>200.26048939089497</v>
      </c>
      <c r="W29" s="62">
        <v>45.37628191396287</v>
      </c>
      <c r="X29" s="62">
        <v>16.979000881466426</v>
      </c>
      <c r="Y29" s="66">
        <v>445.96998889182925</v>
      </c>
      <c r="Z29" s="66">
        <v>166.874069780757</v>
      </c>
      <c r="AA29" s="67">
        <v>0</v>
      </c>
      <c r="AB29" s="68">
        <v>0</v>
      </c>
      <c r="AC29" s="69">
        <v>0</v>
      </c>
      <c r="AD29" s="69">
        <v>26.030136129591146</v>
      </c>
      <c r="AE29" s="68">
        <v>18.573297905961404</v>
      </c>
      <c r="AF29" s="68">
        <v>6.9497990627570179</v>
      </c>
      <c r="AG29" s="68">
        <v>0.72770549470251134</v>
      </c>
      <c r="AH29" s="69">
        <v>250.329713567098</v>
      </c>
      <c r="AI29" s="69">
        <v>804.1324492454529</v>
      </c>
      <c r="AJ29" s="69">
        <v>3377.0752081553137</v>
      </c>
      <c r="AK29" s="69">
        <v>598.5959260622659</v>
      </c>
      <c r="AL29" s="69">
        <v>5743.808606974284</v>
      </c>
      <c r="AM29" s="69">
        <v>3071.0168057759593</v>
      </c>
      <c r="AN29" s="69">
        <v>694.75519469579058</v>
      </c>
      <c r="AO29" s="69">
        <v>3361.8453371683763</v>
      </c>
      <c r="AP29" s="69">
        <v>530.67712799708056</v>
      </c>
      <c r="AQ29" s="69">
        <v>1001.453089586894</v>
      </c>
    </row>
    <row r="30" spans="1:43" x14ac:dyDescent="0.25">
      <c r="A30" s="11">
        <v>41509</v>
      </c>
      <c r="B30" s="59"/>
      <c r="C30" s="60">
        <v>150.71365095774348</v>
      </c>
      <c r="D30" s="60">
        <v>1811.4351080576573</v>
      </c>
      <c r="E30" s="60">
        <v>27.904793456196835</v>
      </c>
      <c r="F30" s="60">
        <v>0</v>
      </c>
      <c r="G30" s="60">
        <v>5401.7666979471824</v>
      </c>
      <c r="H30" s="61">
        <v>71.289162508646655</v>
      </c>
      <c r="I30" s="59">
        <v>663.8232645034775</v>
      </c>
      <c r="J30" s="60">
        <v>1612.2834914525326</v>
      </c>
      <c r="K30" s="60">
        <v>35.634883868694317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494.45629562241947</v>
      </c>
      <c r="V30" s="62">
        <v>196.96519907345677</v>
      </c>
      <c r="W30" s="62">
        <v>42.034818267891112</v>
      </c>
      <c r="X30" s="62">
        <v>16.744445204666029</v>
      </c>
      <c r="Y30" s="66">
        <v>409.66370048961113</v>
      </c>
      <c r="Z30" s="66">
        <v>163.18832025090029</v>
      </c>
      <c r="AA30" s="67">
        <v>0</v>
      </c>
      <c r="AB30" s="68">
        <v>0</v>
      </c>
      <c r="AC30" s="69">
        <v>0</v>
      </c>
      <c r="AD30" s="69">
        <v>24.867933800485407</v>
      </c>
      <c r="AE30" s="68">
        <v>17.444411426960407</v>
      </c>
      <c r="AF30" s="68">
        <v>6.9489295613182378</v>
      </c>
      <c r="AG30" s="68">
        <v>0.71513006091878517</v>
      </c>
      <c r="AH30" s="69">
        <v>292.39450186093649</v>
      </c>
      <c r="AI30" s="69">
        <v>846.74414936701442</v>
      </c>
      <c r="AJ30" s="69">
        <v>3388.9803104400635</v>
      </c>
      <c r="AK30" s="69">
        <v>594.90644133885689</v>
      </c>
      <c r="AL30" s="69">
        <v>6369.5511339823406</v>
      </c>
      <c r="AM30" s="69">
        <v>3168.0488670349118</v>
      </c>
      <c r="AN30" s="69">
        <v>679.99128265380853</v>
      </c>
      <c r="AO30" s="69">
        <v>3305.7984662373856</v>
      </c>
      <c r="AP30" s="69">
        <v>529.53384612401328</v>
      </c>
      <c r="AQ30" s="69">
        <v>986.50808232625332</v>
      </c>
    </row>
    <row r="31" spans="1:43" x14ac:dyDescent="0.25">
      <c r="A31" s="11">
        <v>41510</v>
      </c>
      <c r="B31" s="59"/>
      <c r="C31" s="60">
        <v>150.61758863131163</v>
      </c>
      <c r="D31" s="60">
        <v>1804.5657835642508</v>
      </c>
      <c r="E31" s="60">
        <v>27.707862422863705</v>
      </c>
      <c r="F31" s="60">
        <v>0</v>
      </c>
      <c r="G31" s="60">
        <v>5401.0982259114598</v>
      </c>
      <c r="H31" s="61">
        <v>71.017598871390092</v>
      </c>
      <c r="I31" s="59">
        <v>555.5937771797187</v>
      </c>
      <c r="J31" s="60">
        <v>1358.0200863520299</v>
      </c>
      <c r="K31" s="60">
        <v>29.692386284470484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422.38629516157135</v>
      </c>
      <c r="V31" s="62">
        <v>198.23513258636814</v>
      </c>
      <c r="W31" s="62">
        <v>35.674825287143371</v>
      </c>
      <c r="X31" s="62">
        <v>16.742976279775363</v>
      </c>
      <c r="Y31" s="66">
        <v>337.97955881021466</v>
      </c>
      <c r="Z31" s="66">
        <v>158.62120390671404</v>
      </c>
      <c r="AA31" s="67">
        <v>0</v>
      </c>
      <c r="AB31" s="68">
        <v>0</v>
      </c>
      <c r="AC31" s="69">
        <v>0</v>
      </c>
      <c r="AD31" s="69">
        <v>22.320253507296279</v>
      </c>
      <c r="AE31" s="68">
        <v>14.915628908916418</v>
      </c>
      <c r="AF31" s="68">
        <v>7.0002310876044742</v>
      </c>
      <c r="AG31" s="68">
        <v>0.68058606467116733</v>
      </c>
      <c r="AH31" s="69">
        <v>240.55951203505199</v>
      </c>
      <c r="AI31" s="69">
        <v>785.25158449808748</v>
      </c>
      <c r="AJ31" s="69">
        <v>3368.7334945678708</v>
      </c>
      <c r="AK31" s="69">
        <v>589.58443009058635</v>
      </c>
      <c r="AL31" s="69">
        <v>5296.3667274475092</v>
      </c>
      <c r="AM31" s="69">
        <v>2905.0024775187171</v>
      </c>
      <c r="AN31" s="69">
        <v>679.59016043345127</v>
      </c>
      <c r="AO31" s="69">
        <v>2764.0771808624272</v>
      </c>
      <c r="AP31" s="69">
        <v>534.74821681976312</v>
      </c>
      <c r="AQ31" s="69">
        <v>972.79894345601406</v>
      </c>
    </row>
    <row r="32" spans="1:43" x14ac:dyDescent="0.25">
      <c r="A32" s="11">
        <v>41511</v>
      </c>
      <c r="B32" s="59"/>
      <c r="C32" s="60">
        <v>150.57196713288607</v>
      </c>
      <c r="D32" s="60">
        <v>1806.8069193522115</v>
      </c>
      <c r="E32" s="60">
        <v>28.160351656377191</v>
      </c>
      <c r="F32" s="60">
        <v>0</v>
      </c>
      <c r="G32" s="60">
        <v>5400.0492627461499</v>
      </c>
      <c r="H32" s="61">
        <v>71.082288940747674</v>
      </c>
      <c r="I32" s="59">
        <v>516.95271428426133</v>
      </c>
      <c r="J32" s="60">
        <v>1199.1166668573999</v>
      </c>
      <c r="K32" s="60">
        <v>26.230881483356111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366.55342267433087</v>
      </c>
      <c r="V32" s="62">
        <v>193.69080496815417</v>
      </c>
      <c r="W32" s="62">
        <v>30.969240573157162</v>
      </c>
      <c r="X32" s="62">
        <v>16.364482677867773</v>
      </c>
      <c r="Y32" s="66">
        <v>276.47627262213712</v>
      </c>
      <c r="Z32" s="66">
        <v>146.09306171001049</v>
      </c>
      <c r="AA32" s="67">
        <v>0</v>
      </c>
      <c r="AB32" s="68">
        <v>0</v>
      </c>
      <c r="AC32" s="69">
        <v>0</v>
      </c>
      <c r="AD32" s="69">
        <v>19.912322528494727</v>
      </c>
      <c r="AE32" s="68">
        <v>12.796246166610688</v>
      </c>
      <c r="AF32" s="68">
        <v>6.7616752900532875</v>
      </c>
      <c r="AG32" s="68">
        <v>0.65427434070457524</v>
      </c>
      <c r="AH32" s="69">
        <v>194.37875881195066</v>
      </c>
      <c r="AI32" s="69">
        <v>770.04912503560377</v>
      </c>
      <c r="AJ32" s="69">
        <v>3411.6076932271321</v>
      </c>
      <c r="AK32" s="69">
        <v>589.41570161183688</v>
      </c>
      <c r="AL32" s="69">
        <v>5423.6767209370928</v>
      </c>
      <c r="AM32" s="69">
        <v>2924.5613676706953</v>
      </c>
      <c r="AN32" s="69">
        <v>710.16027965545652</v>
      </c>
      <c r="AO32" s="69">
        <v>2368.4602232615152</v>
      </c>
      <c r="AP32" s="69">
        <v>550.5913414637248</v>
      </c>
      <c r="AQ32" s="69">
        <v>1021.0524877230326</v>
      </c>
    </row>
    <row r="33" spans="1:43" x14ac:dyDescent="0.25">
      <c r="A33" s="11">
        <v>41512</v>
      </c>
      <c r="B33" s="59"/>
      <c r="C33" s="60">
        <v>151.36839056014981</v>
      </c>
      <c r="D33" s="60">
        <v>1817.678042475384</v>
      </c>
      <c r="E33" s="60">
        <v>28.120264569421579</v>
      </c>
      <c r="F33" s="60">
        <v>0</v>
      </c>
      <c r="G33" s="60">
        <v>5401.767942047104</v>
      </c>
      <c r="H33" s="61">
        <v>71.531869169076387</v>
      </c>
      <c r="I33" s="59">
        <v>640.62309757868479</v>
      </c>
      <c r="J33" s="60">
        <v>1461.1372046152762</v>
      </c>
      <c r="K33" s="60">
        <v>32.084602795044617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462.48521525070555</v>
      </c>
      <c r="V33" s="62">
        <v>199.50763168329499</v>
      </c>
      <c r="W33" s="62">
        <v>38.831515746732151</v>
      </c>
      <c r="X33" s="62">
        <v>16.751203034898072</v>
      </c>
      <c r="Y33" s="66">
        <v>341.24209516211249</v>
      </c>
      <c r="Z33" s="66">
        <v>147.20557542479145</v>
      </c>
      <c r="AA33" s="67">
        <v>0</v>
      </c>
      <c r="AB33" s="68">
        <v>0</v>
      </c>
      <c r="AC33" s="69">
        <v>0</v>
      </c>
      <c r="AD33" s="69">
        <v>23.332337015204921</v>
      </c>
      <c r="AE33" s="68">
        <v>16.115723781224592</v>
      </c>
      <c r="AF33" s="68">
        <v>6.9520273912137114</v>
      </c>
      <c r="AG33" s="68">
        <v>0.69862569874084224</v>
      </c>
      <c r="AH33" s="69">
        <v>290.98334952990211</v>
      </c>
      <c r="AI33" s="69">
        <v>846.75676078796391</v>
      </c>
      <c r="AJ33" s="69">
        <v>3442.5587848663331</v>
      </c>
      <c r="AK33" s="69">
        <v>601.9853707631429</v>
      </c>
      <c r="AL33" s="69">
        <v>5339.0338991800936</v>
      </c>
      <c r="AM33" s="69">
        <v>2986.6030563354489</v>
      </c>
      <c r="AN33" s="69">
        <v>732.18435052235918</v>
      </c>
      <c r="AO33" s="69">
        <v>2740.0378936767584</v>
      </c>
      <c r="AP33" s="69">
        <v>567.69070272445674</v>
      </c>
      <c r="AQ33" s="69">
        <v>1038.6676571846008</v>
      </c>
    </row>
    <row r="34" spans="1:43" x14ac:dyDescent="0.25">
      <c r="A34" s="11">
        <v>41513</v>
      </c>
      <c r="B34" s="59"/>
      <c r="C34" s="60">
        <v>150.23597669601449</v>
      </c>
      <c r="D34" s="60">
        <v>1805.470382563273</v>
      </c>
      <c r="E34" s="60">
        <v>28.301853535572601</v>
      </c>
      <c r="F34" s="60">
        <v>0</v>
      </c>
      <c r="G34" s="60">
        <v>5344.8405878702788</v>
      </c>
      <c r="H34" s="61">
        <v>71.027177019914006</v>
      </c>
      <c r="I34" s="59">
        <v>587.49386037190641</v>
      </c>
      <c r="J34" s="60">
        <v>1381.9392931620289</v>
      </c>
      <c r="K34" s="60">
        <v>30.309021421273599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426.48723546136989</v>
      </c>
      <c r="V34" s="62">
        <v>197.33748443388552</v>
      </c>
      <c r="W34" s="62">
        <v>35.774867431801923</v>
      </c>
      <c r="X34" s="62">
        <v>16.553185553866317</v>
      </c>
      <c r="Y34" s="66">
        <v>317.63762039802145</v>
      </c>
      <c r="Z34" s="66">
        <v>146.97229778307997</v>
      </c>
      <c r="AA34" s="67">
        <v>0</v>
      </c>
      <c r="AB34" s="68">
        <v>0</v>
      </c>
      <c r="AC34" s="69">
        <v>0</v>
      </c>
      <c r="AD34" s="69">
        <v>22.198609476619303</v>
      </c>
      <c r="AE34" s="68">
        <v>15.020990107121648</v>
      </c>
      <c r="AF34" s="68">
        <v>6.9502769484742437</v>
      </c>
      <c r="AG34" s="68">
        <v>0.68366517366124913</v>
      </c>
      <c r="AH34" s="69">
        <v>240.74630549748738</v>
      </c>
      <c r="AI34" s="69">
        <v>814.77500549952197</v>
      </c>
      <c r="AJ34" s="69">
        <v>3426.0162914276125</v>
      </c>
      <c r="AK34" s="69">
        <v>593.11275459925332</v>
      </c>
      <c r="AL34" s="69">
        <v>5615.1979970296215</v>
      </c>
      <c r="AM34" s="69">
        <v>2984.1868344624831</v>
      </c>
      <c r="AN34" s="69">
        <v>743.96208254496253</v>
      </c>
      <c r="AO34" s="69">
        <v>3008.094784800212</v>
      </c>
      <c r="AP34" s="69">
        <v>572.07017755508434</v>
      </c>
      <c r="AQ34" s="69">
        <v>1081.1601964950562</v>
      </c>
    </row>
    <row r="35" spans="1:43" x14ac:dyDescent="0.25">
      <c r="A35" s="11">
        <v>41514</v>
      </c>
      <c r="B35" s="59"/>
      <c r="C35" s="60">
        <v>150.64972605705236</v>
      </c>
      <c r="D35" s="60">
        <v>1806.1808247884103</v>
      </c>
      <c r="E35" s="60">
        <v>28.040805552899872</v>
      </c>
      <c r="F35" s="60">
        <v>0</v>
      </c>
      <c r="G35" s="60">
        <v>5330.1002446492503</v>
      </c>
      <c r="H35" s="61">
        <v>71.094541708628427</v>
      </c>
      <c r="I35" s="59">
        <v>637.82714157104363</v>
      </c>
      <c r="J35" s="60">
        <v>1442.3563902537026</v>
      </c>
      <c r="K35" s="60">
        <v>31.623527175188045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458.8005557343302</v>
      </c>
      <c r="V35" s="62">
        <v>200.75998499476961</v>
      </c>
      <c r="W35" s="62">
        <v>38.549753430766174</v>
      </c>
      <c r="X35" s="62">
        <v>16.868436237889213</v>
      </c>
      <c r="Y35" s="66">
        <v>339.34715890517123</v>
      </c>
      <c r="Z35" s="66">
        <v>148.49007848471135</v>
      </c>
      <c r="AA35" s="67">
        <v>0</v>
      </c>
      <c r="AB35" s="68">
        <v>0</v>
      </c>
      <c r="AC35" s="69">
        <v>0</v>
      </c>
      <c r="AD35" s="69">
        <v>23.27680841684338</v>
      </c>
      <c r="AE35" s="68">
        <v>15.996788143599229</v>
      </c>
      <c r="AF35" s="68">
        <v>6.9998061413271833</v>
      </c>
      <c r="AG35" s="68">
        <v>0.69561553095210493</v>
      </c>
      <c r="AH35" s="69">
        <v>280.88918979167937</v>
      </c>
      <c r="AI35" s="69">
        <v>853.41993103027346</v>
      </c>
      <c r="AJ35" s="69">
        <v>3430.6916806538898</v>
      </c>
      <c r="AK35" s="69">
        <v>597.04159711201987</v>
      </c>
      <c r="AL35" s="69">
        <v>5499.3246340433761</v>
      </c>
      <c r="AM35" s="69">
        <v>2956.521555582683</v>
      </c>
      <c r="AN35" s="69">
        <v>739.99098917643232</v>
      </c>
      <c r="AO35" s="69">
        <v>2812.3746479034426</v>
      </c>
      <c r="AP35" s="69">
        <v>580.12699365615833</v>
      </c>
      <c r="AQ35" s="69">
        <v>1075.0906867027279</v>
      </c>
    </row>
    <row r="36" spans="1:43" x14ac:dyDescent="0.25">
      <c r="A36" s="11">
        <v>41515</v>
      </c>
      <c r="B36" s="59"/>
      <c r="C36" s="60">
        <v>150.55088199774374</v>
      </c>
      <c r="D36" s="60">
        <v>1807.7113697052021</v>
      </c>
      <c r="E36" s="60">
        <v>27.936947345236909</v>
      </c>
      <c r="F36" s="60">
        <v>0</v>
      </c>
      <c r="G36" s="60">
        <v>5334.2184570312475</v>
      </c>
      <c r="H36" s="61">
        <v>71.208456949392982</v>
      </c>
      <c r="I36" s="59">
        <v>719.21309337615935</v>
      </c>
      <c r="J36" s="60">
        <v>1600.3427480061869</v>
      </c>
      <c r="K36" s="60">
        <v>35.429006109635104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502.43854203830239</v>
      </c>
      <c r="V36" s="62">
        <v>200.96368773701971</v>
      </c>
      <c r="W36" s="62">
        <v>42.296735662207404</v>
      </c>
      <c r="X36" s="62">
        <v>16.917706877007706</v>
      </c>
      <c r="Y36" s="66">
        <v>381.79733935391414</v>
      </c>
      <c r="Z36" s="66">
        <v>152.71002294823111</v>
      </c>
      <c r="AA36" s="67">
        <v>0</v>
      </c>
      <c r="AB36" s="68">
        <v>0</v>
      </c>
      <c r="AC36" s="69">
        <v>0</v>
      </c>
      <c r="AD36" s="69">
        <v>24.812627641359953</v>
      </c>
      <c r="AE36" s="68">
        <v>17.501953579784434</v>
      </c>
      <c r="AF36" s="68">
        <v>7.0003728609806384</v>
      </c>
      <c r="AG36" s="68">
        <v>0.71429762484373882</v>
      </c>
      <c r="AH36" s="69">
        <v>242.34224593639371</v>
      </c>
      <c r="AI36" s="69">
        <v>820.4240870475769</v>
      </c>
      <c r="AJ36" s="69">
        <v>3372.5610249837241</v>
      </c>
      <c r="AK36" s="69">
        <v>605.6508501052856</v>
      </c>
      <c r="AL36" s="69">
        <v>5868.7322102864573</v>
      </c>
      <c r="AM36" s="69">
        <v>2924.4878110249838</v>
      </c>
      <c r="AN36" s="69">
        <v>740.99143654505394</v>
      </c>
      <c r="AO36" s="69">
        <v>3153.8410442352292</v>
      </c>
      <c r="AP36" s="69">
        <v>584.43525533676143</v>
      </c>
      <c r="AQ36" s="69">
        <v>1043.6061567624411</v>
      </c>
    </row>
    <row r="37" spans="1:43" x14ac:dyDescent="0.25">
      <c r="A37" s="11">
        <v>41516</v>
      </c>
      <c r="B37" s="59"/>
      <c r="C37" s="60">
        <v>151.99955750306447</v>
      </c>
      <c r="D37" s="60">
        <v>1821.9920649210617</v>
      </c>
      <c r="E37" s="60">
        <v>28.301883852978531</v>
      </c>
      <c r="F37" s="60">
        <v>0</v>
      </c>
      <c r="G37" s="60">
        <v>5332.7002677917426</v>
      </c>
      <c r="H37" s="61">
        <v>71.683506397406333</v>
      </c>
      <c r="I37" s="59">
        <v>683.86175038019906</v>
      </c>
      <c r="J37" s="60">
        <v>1579.6983100255338</v>
      </c>
      <c r="K37" s="60">
        <v>34.570676161845547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491.27807819133238</v>
      </c>
      <c r="V37" s="62">
        <v>193.69566581959296</v>
      </c>
      <c r="W37" s="62">
        <v>41.303760823786405</v>
      </c>
      <c r="X37" s="62">
        <v>16.284788206040652</v>
      </c>
      <c r="Y37" s="66">
        <v>376.46045202168193</v>
      </c>
      <c r="Z37" s="66">
        <v>148.42664703774099</v>
      </c>
      <c r="AA37" s="67">
        <v>0</v>
      </c>
      <c r="AB37" s="68">
        <v>0</v>
      </c>
      <c r="AC37" s="69">
        <v>0</v>
      </c>
      <c r="AD37" s="69">
        <v>24.324637940194915</v>
      </c>
      <c r="AE37" s="68">
        <v>17.103900716760933</v>
      </c>
      <c r="AF37" s="68">
        <v>6.7435360634084018</v>
      </c>
      <c r="AG37" s="68">
        <v>0.71722176577836316</v>
      </c>
      <c r="AH37" s="69">
        <v>295.46688548723853</v>
      </c>
      <c r="AI37" s="69">
        <v>869.60650904973352</v>
      </c>
      <c r="AJ37" s="69">
        <v>3161.4899021148681</v>
      </c>
      <c r="AK37" s="69">
        <v>596.68975559870387</v>
      </c>
      <c r="AL37" s="69">
        <v>5605.8567342122406</v>
      </c>
      <c r="AM37" s="69">
        <v>2989.3733042399085</v>
      </c>
      <c r="AN37" s="69">
        <v>748.23207925160716</v>
      </c>
      <c r="AO37" s="69">
        <v>3042.7951276143394</v>
      </c>
      <c r="AP37" s="69">
        <v>586.48511060078943</v>
      </c>
      <c r="AQ37" s="69">
        <v>971.39403352737429</v>
      </c>
    </row>
    <row r="38" spans="1:43" ht="15.75" thickBot="1" x14ac:dyDescent="0.3">
      <c r="A38" s="11">
        <v>41517</v>
      </c>
      <c r="B38" s="73"/>
      <c r="C38" s="74">
        <v>150.75285229682899</v>
      </c>
      <c r="D38" s="74">
        <v>1809.9800685882576</v>
      </c>
      <c r="E38" s="74">
        <v>28.012352479000867</v>
      </c>
      <c r="F38" s="74">
        <v>0</v>
      </c>
      <c r="G38" s="74">
        <v>5329.6471781412783</v>
      </c>
      <c r="H38" s="75">
        <v>71.202517573038733</v>
      </c>
      <c r="I38" s="76">
        <v>622.75411570866845</v>
      </c>
      <c r="J38" s="74">
        <v>1478.7153284708668</v>
      </c>
      <c r="K38" s="74">
        <v>32.264263453086201</v>
      </c>
      <c r="L38" s="74">
        <v>4.7019362449646197E-2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456.11245126787725</v>
      </c>
      <c r="V38" s="80">
        <v>199.23607676760966</v>
      </c>
      <c r="W38" s="81">
        <v>38.210127906856549</v>
      </c>
      <c r="X38" s="81">
        <v>16.690699751319872</v>
      </c>
      <c r="Y38" s="80">
        <v>350.40200791370683</v>
      </c>
      <c r="Z38" s="80">
        <v>153.06032789536474</v>
      </c>
      <c r="AA38" s="82">
        <v>0</v>
      </c>
      <c r="AB38" s="83">
        <v>0</v>
      </c>
      <c r="AC38" s="84">
        <v>0</v>
      </c>
      <c r="AD38" s="85">
        <v>23.287039857440515</v>
      </c>
      <c r="AE38" s="83">
        <v>15.893811076966243</v>
      </c>
      <c r="AF38" s="83">
        <v>6.9426312635358371</v>
      </c>
      <c r="AG38" s="83">
        <v>0.69598455135795911</v>
      </c>
      <c r="AH38" s="84">
        <v>234.13571769396466</v>
      </c>
      <c r="AI38" s="84">
        <v>809.67585328420012</v>
      </c>
      <c r="AJ38" s="84">
        <v>3317.4722482045495</v>
      </c>
      <c r="AK38" s="84">
        <v>592.90399703979506</v>
      </c>
      <c r="AL38" s="84">
        <v>5984.157552083333</v>
      </c>
      <c r="AM38" s="84">
        <v>2931.1468952178957</v>
      </c>
      <c r="AN38" s="84">
        <v>717.80616299311316</v>
      </c>
      <c r="AO38" s="84">
        <v>2931.8120400746661</v>
      </c>
      <c r="AP38" s="84">
        <v>596.28795077006032</v>
      </c>
      <c r="AQ38" s="84">
        <v>957.24558115005482</v>
      </c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5151.5160995960059</v>
      </c>
      <c r="D39" s="30">
        <f t="shared" si="0"/>
        <v>56760.565267308586</v>
      </c>
      <c r="E39" s="30">
        <f t="shared" si="0"/>
        <v>877.36535951693804</v>
      </c>
      <c r="F39" s="30">
        <f t="shared" si="0"/>
        <v>0</v>
      </c>
      <c r="G39" s="30">
        <f t="shared" si="0"/>
        <v>169264.10994618721</v>
      </c>
      <c r="H39" s="31">
        <f t="shared" si="0"/>
        <v>2233.0011419097586</v>
      </c>
      <c r="I39" s="29">
        <f t="shared" si="0"/>
        <v>18573.891685438146</v>
      </c>
      <c r="J39" s="30">
        <f t="shared" si="0"/>
        <v>41717.114508438099</v>
      </c>
      <c r="K39" s="30">
        <f t="shared" si="0"/>
        <v>915.20258188843707</v>
      </c>
      <c r="L39" s="30">
        <f t="shared" si="0"/>
        <v>4.7019362449646197E-2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13019.472631673272</v>
      </c>
      <c r="V39" s="255">
        <f t="shared" si="0"/>
        <v>6271.1139456786341</v>
      </c>
      <c r="W39" s="255">
        <f t="shared" si="0"/>
        <v>1104.4445326593768</v>
      </c>
      <c r="X39" s="255">
        <f t="shared" si="0"/>
        <v>532.38492957082906</v>
      </c>
      <c r="Y39" s="255">
        <f t="shared" si="0"/>
        <v>9460.9321202593655</v>
      </c>
      <c r="Z39" s="255">
        <f t="shared" si="0"/>
        <v>4509.7779294095817</v>
      </c>
      <c r="AA39" s="263">
        <f t="shared" si="0"/>
        <v>0</v>
      </c>
      <c r="AB39" s="266">
        <f t="shared" si="0"/>
        <v>2840.3669250382241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Q39" si="1">SUM(AH8:AH38)</f>
        <v>8011.4039031585053</v>
      </c>
      <c r="AI39" s="266">
        <f t="shared" si="1"/>
        <v>25239.156800365447</v>
      </c>
      <c r="AJ39" s="266">
        <f t="shared" si="1"/>
        <v>103779.02740904491</v>
      </c>
      <c r="AK39" s="266">
        <f t="shared" si="1"/>
        <v>18234.529575856526</v>
      </c>
      <c r="AL39" s="266">
        <f t="shared" si="1"/>
        <v>172827.44358037316</v>
      </c>
      <c r="AM39" s="266">
        <f t="shared" si="1"/>
        <v>94353.646968460089</v>
      </c>
      <c r="AN39" s="266">
        <f t="shared" si="1"/>
        <v>21397.127615896865</v>
      </c>
      <c r="AO39" s="266">
        <f t="shared" si="1"/>
        <v>83238.685333251953</v>
      </c>
      <c r="AP39" s="266">
        <f t="shared" si="1"/>
        <v>15753.365543079375</v>
      </c>
      <c r="AQ39" s="266">
        <f t="shared" si="1"/>
        <v>30701.248380279547</v>
      </c>
    </row>
    <row r="40" spans="1:43" ht="15.75" thickBot="1" x14ac:dyDescent="0.3">
      <c r="A40" s="47" t="s">
        <v>172</v>
      </c>
      <c r="B40" s="32">
        <f>Projection!$AC$30</f>
        <v>0.91139353199999984</v>
      </c>
      <c r="C40" s="33">
        <f>Projection!$AC$28</f>
        <v>1.4375491199999999</v>
      </c>
      <c r="D40" s="33">
        <f>Projection!$AC$31</f>
        <v>2.0999286000000001</v>
      </c>
      <c r="E40" s="33">
        <f>Projection!$AC$26</f>
        <v>3.8734129199999998</v>
      </c>
      <c r="F40" s="33">
        <f>Projection!$AC$23</f>
        <v>5.8379999999999994E-2</v>
      </c>
      <c r="G40" s="33">
        <f>Projection!$AC$24</f>
        <v>5.3200000000000004E-2</v>
      </c>
      <c r="H40" s="34">
        <f>Projection!$AC$29</f>
        <v>3.6371774160000006</v>
      </c>
      <c r="I40" s="32">
        <f>Projection!$AC$30</f>
        <v>0.91139353199999984</v>
      </c>
      <c r="J40" s="33">
        <f>Projection!$AC$28</f>
        <v>1.4375491199999999</v>
      </c>
      <c r="K40" s="33">
        <f>Projection!$AC$26</f>
        <v>3.8734129199999998</v>
      </c>
      <c r="L40" s="33">
        <f>Projection!$AC$25</f>
        <v>0.37613399999999997</v>
      </c>
      <c r="M40" s="33">
        <f>Projection!$AC$23</f>
        <v>5.8379999999999994E-2</v>
      </c>
      <c r="N40" s="34">
        <f>Projection!$AC$23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1.4375491199999999</v>
      </c>
      <c r="T40" s="38">
        <f>Projection!$AC$28</f>
        <v>1.4375491199999999</v>
      </c>
      <c r="U40" s="26">
        <f>Projection!$AC$27</f>
        <v>0.26250000000000001</v>
      </c>
      <c r="V40" s="27">
        <f>Projection!$AC$27</f>
        <v>0.26250000000000001</v>
      </c>
      <c r="W40" s="27">
        <f>Projection!$AC$22</f>
        <v>1.2186999999999999</v>
      </c>
      <c r="X40" s="27">
        <f>Projection!$AC$22</f>
        <v>1.2186999999999999</v>
      </c>
      <c r="Y40" s="27">
        <f>Projection!$AC$31</f>
        <v>2.0999286000000001</v>
      </c>
      <c r="Z40" s="27">
        <f>Projection!$AC$31</f>
        <v>2.0999286000000001</v>
      </c>
      <c r="AA40" s="28">
        <v>0</v>
      </c>
      <c r="AB40" s="41">
        <f>Projection!$AC$27</f>
        <v>0.26250000000000001</v>
      </c>
      <c r="AC40" s="41">
        <f>Projection!$AC$30</f>
        <v>0.91139353199999984</v>
      </c>
      <c r="AD40" s="43">
        <f>SUM(AD8:AD38)</f>
        <v>682.8967945059137</v>
      </c>
      <c r="AE40" s="43">
        <f>SUM(AE8:AE38)</f>
        <v>454.16704316233097</v>
      </c>
      <c r="AF40" s="43">
        <f>SUM(AF8:AF38)</f>
        <v>218.74021346734975</v>
      </c>
      <c r="AG40" s="43">
        <f>IF(SUM(AE40:AF40)&gt;0, AE40/(AE40+AF40), "")</f>
        <v>0.67493259834508157</v>
      </c>
      <c r="AH40" s="306">
        <v>7.2999999999999995E-2</v>
      </c>
      <c r="AI40" s="306">
        <f t="shared" ref="AI40:AQ40" si="2">$AH$40</f>
        <v>7.2999999999999995E-2</v>
      </c>
      <c r="AJ40" s="306">
        <f t="shared" si="2"/>
        <v>7.2999999999999995E-2</v>
      </c>
      <c r="AK40" s="306">
        <f t="shared" si="2"/>
        <v>7.2999999999999995E-2</v>
      </c>
      <c r="AL40" s="306">
        <f t="shared" si="2"/>
        <v>7.2999999999999995E-2</v>
      </c>
      <c r="AM40" s="306">
        <f t="shared" si="2"/>
        <v>7.2999999999999995E-2</v>
      </c>
      <c r="AN40" s="306">
        <f t="shared" si="2"/>
        <v>7.2999999999999995E-2</v>
      </c>
      <c r="AO40" s="306">
        <f t="shared" si="2"/>
        <v>7.2999999999999995E-2</v>
      </c>
      <c r="AP40" s="306">
        <f t="shared" si="2"/>
        <v>7.2999999999999995E-2</v>
      </c>
      <c r="AQ40" s="306">
        <f t="shared" si="2"/>
        <v>7.2999999999999995E-2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7405.5574356400703</v>
      </c>
      <c r="D41" s="36">
        <f t="shared" si="3"/>
        <v>119193.13435698795</v>
      </c>
      <c r="E41" s="36">
        <f t="shared" si="3"/>
        <v>3398.3983191133525</v>
      </c>
      <c r="F41" s="36">
        <f t="shared" si="3"/>
        <v>0</v>
      </c>
      <c r="G41" s="36">
        <f t="shared" si="3"/>
        <v>9004.8506491371609</v>
      </c>
      <c r="H41" s="37">
        <f t="shared" si="3"/>
        <v>8121.8213232563867</v>
      </c>
      <c r="I41" s="35">
        <f t="shared" si="3"/>
        <v>16928.124746176902</v>
      </c>
      <c r="J41" s="36">
        <f t="shared" si="3"/>
        <v>59970.401250544419</v>
      </c>
      <c r="K41" s="36">
        <f t="shared" si="3"/>
        <v>3544.9575051040301</v>
      </c>
      <c r="L41" s="36">
        <f t="shared" si="3"/>
        <v>1.768558087563522E-2</v>
      </c>
      <c r="M41" s="36">
        <f t="shared" si="3"/>
        <v>0</v>
      </c>
      <c r="N41" s="37">
        <f t="shared" si="3"/>
        <v>0</v>
      </c>
      <c r="O41" s="260">
        <f t="shared" si="3"/>
        <v>0</v>
      </c>
      <c r="P41" s="261">
        <f t="shared" si="3"/>
        <v>0</v>
      </c>
      <c r="Q41" s="261">
        <f t="shared" si="3"/>
        <v>0</v>
      </c>
      <c r="R41" s="261">
        <f t="shared" si="3"/>
        <v>0</v>
      </c>
      <c r="S41" s="261">
        <f t="shared" si="3"/>
        <v>0</v>
      </c>
      <c r="T41" s="262">
        <f t="shared" si="3"/>
        <v>0</v>
      </c>
      <c r="U41" s="260">
        <f t="shared" si="3"/>
        <v>3417.6115658142339</v>
      </c>
      <c r="V41" s="261">
        <f t="shared" si="3"/>
        <v>1646.1674107406416</v>
      </c>
      <c r="W41" s="261">
        <f t="shared" si="3"/>
        <v>1345.9865519519824</v>
      </c>
      <c r="X41" s="261">
        <f t="shared" si="3"/>
        <v>648.81751366796937</v>
      </c>
      <c r="Y41" s="261">
        <f t="shared" si="3"/>
        <v>19867.281941991281</v>
      </c>
      <c r="Z41" s="261">
        <f t="shared" si="3"/>
        <v>9470.2116536159629</v>
      </c>
      <c r="AA41" s="265">
        <f t="shared" si="3"/>
        <v>0</v>
      </c>
      <c r="AB41" s="268">
        <f t="shared" si="3"/>
        <v>745.59631782253382</v>
      </c>
      <c r="AC41" s="268">
        <f t="shared" si="3"/>
        <v>0</v>
      </c>
      <c r="AH41" s="271">
        <f t="shared" ref="AH41:AQ41" si="4">AH40*AH39</f>
        <v>584.8324849305709</v>
      </c>
      <c r="AI41" s="271">
        <f t="shared" si="4"/>
        <v>1842.4584464266775</v>
      </c>
      <c r="AJ41" s="271">
        <f t="shared" si="4"/>
        <v>7575.869000860278</v>
      </c>
      <c r="AK41" s="271">
        <f t="shared" si="4"/>
        <v>1331.1206590375264</v>
      </c>
      <c r="AL41" s="271">
        <f t="shared" si="4"/>
        <v>12616.403381367239</v>
      </c>
      <c r="AM41" s="271">
        <f t="shared" si="4"/>
        <v>6887.8162286975858</v>
      </c>
      <c r="AN41" s="271">
        <f t="shared" si="4"/>
        <v>1561.990315960471</v>
      </c>
      <c r="AO41" s="271">
        <f t="shared" si="4"/>
        <v>6076.4240293273924</v>
      </c>
      <c r="AP41" s="271">
        <f t="shared" si="4"/>
        <v>1149.9956846447942</v>
      </c>
      <c r="AQ41" s="271">
        <f t="shared" si="4"/>
        <v>2241.1911317604067</v>
      </c>
    </row>
    <row r="42" spans="1:43" ht="49.5" customHeight="1" thickTop="1" thickBot="1" x14ac:dyDescent="0.3">
      <c r="A42" s="562" t="s">
        <v>211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140.62</v>
      </c>
      <c r="AI42" s="271" t="s">
        <v>197</v>
      </c>
      <c r="AJ42" s="271">
        <v>283.55</v>
      </c>
      <c r="AK42" s="271">
        <v>36.61</v>
      </c>
      <c r="AL42" s="271">
        <v>288.2</v>
      </c>
      <c r="AM42" s="271">
        <v>2331.83</v>
      </c>
      <c r="AN42" s="271">
        <v>77.86</v>
      </c>
      <c r="AO42" s="271" t="s">
        <v>197</v>
      </c>
      <c r="AP42" s="271">
        <v>36.61</v>
      </c>
      <c r="AQ42" s="271">
        <v>180.13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24.75" thickTop="1" thickBot="1" x14ac:dyDescent="0.3">
      <c r="A44" s="275" t="s">
        <v>135</v>
      </c>
      <c r="B44" s="276">
        <f>SUM(B41:AC41)</f>
        <v>264708.93622714578</v>
      </c>
      <c r="C44" s="12"/>
      <c r="D44" s="275" t="s">
        <v>135</v>
      </c>
      <c r="E44" s="276">
        <f>SUM(B41:H41)+P41+R41+T41+V41+X41+Z41</f>
        <v>158888.95866215951</v>
      </c>
      <c r="F44" s="12"/>
      <c r="G44" s="275" t="s">
        <v>135</v>
      </c>
      <c r="H44" s="276">
        <f>SUM(I41:N41)+O41+Q41+S41+U41+W41+Y41</f>
        <v>105074.38124716374</v>
      </c>
      <c r="I44" s="12"/>
      <c r="J44" s="275" t="s">
        <v>198</v>
      </c>
      <c r="K44" s="276">
        <v>87561.32</v>
      </c>
      <c r="L44" s="12"/>
      <c r="M44" s="12"/>
      <c r="N44" s="12"/>
      <c r="O44" s="12"/>
      <c r="P44" s="12"/>
      <c r="Q44" s="12"/>
      <c r="R44" s="313" t="s">
        <v>135</v>
      </c>
      <c r="S44" s="314"/>
      <c r="T44" s="307" t="s">
        <v>167</v>
      </c>
      <c r="U44" s="248" t="s">
        <v>168</v>
      </c>
    </row>
    <row r="45" spans="1:43" ht="24" thickBot="1" x14ac:dyDescent="0.4">
      <c r="A45" s="277" t="s">
        <v>183</v>
      </c>
      <c r="B45" s="278">
        <f>SUM(AH41:AQ41)</f>
        <v>41868.101363012946</v>
      </c>
      <c r="C45" s="12"/>
      <c r="D45" s="277" t="s">
        <v>183</v>
      </c>
      <c r="E45" s="278">
        <f>AH41*(1-$AG$40)+AI41+AJ41*0.5+AL41+AM41*(1-$AG$40)+AN41*(1-$AG$40)+AO41*(1-$AG$40)+AP41*0.5+AQ41*0.5</f>
        <v>24854.503741232118</v>
      </c>
      <c r="F45" s="24"/>
      <c r="G45" s="277" t="s">
        <v>183</v>
      </c>
      <c r="H45" s="278">
        <f>AH41*AG40+AJ41*0.5+AK41+AM41*AG40+AN41*AG40+AO41*AG40+AP41*0.5+AQ41*0.5</f>
        <v>17013.597621780831</v>
      </c>
      <c r="I45" s="12"/>
      <c r="J45" s="12"/>
      <c r="K45" s="281"/>
      <c r="L45" s="12"/>
      <c r="M45" s="12"/>
      <c r="N45" s="12"/>
      <c r="O45" s="12"/>
      <c r="P45" s="12"/>
      <c r="Q45" s="12"/>
      <c r="R45" s="311" t="s">
        <v>141</v>
      </c>
      <c r="S45" s="312"/>
      <c r="T45" s="247">
        <f>$W$39+$X$39</f>
        <v>1636.829462230206</v>
      </c>
      <c r="U45" s="249">
        <f>(T45*8.34*0.895)/27000</f>
        <v>0.45251059833055285</v>
      </c>
    </row>
    <row r="46" spans="1:43" ht="32.25" thickBot="1" x14ac:dyDescent="0.3">
      <c r="A46" s="279" t="s">
        <v>184</v>
      </c>
      <c r="B46" s="280">
        <f>SUM(AH42:AQ42)</f>
        <v>3375.4100000000003</v>
      </c>
      <c r="C46" s="12"/>
      <c r="D46" s="279" t="s">
        <v>184</v>
      </c>
      <c r="E46" s="280">
        <f>AH42*(1-$AG$40)+AJ42*0.5+AL42+AM42*(1-$AG$40)+AN42*(1-$AG$40)+AP42*0.5+AQ42*0.5</f>
        <v>1367.367645114555</v>
      </c>
      <c r="F46" s="23"/>
      <c r="G46" s="279" t="s">
        <v>184</v>
      </c>
      <c r="H46" s="280">
        <f>AH42*AG40+AJ42*0.5+AK42+AM42*AG40+AN42*AG40+AP42*0.5+AQ42*0.5</f>
        <v>2008.0423548854451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311" t="s">
        <v>145</v>
      </c>
      <c r="S46" s="312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87561.32</v>
      </c>
      <c r="C47" s="12"/>
      <c r="D47" s="279" t="s">
        <v>187</v>
      </c>
      <c r="E47" s="280">
        <f>K44*0.5</f>
        <v>43780.66</v>
      </c>
      <c r="F47" s="24"/>
      <c r="G47" s="279" t="s">
        <v>185</v>
      </c>
      <c r="H47" s="280">
        <f>K44*0.5</f>
        <v>43780.66</v>
      </c>
      <c r="I47" s="12"/>
      <c r="J47" s="275" t="s">
        <v>198</v>
      </c>
      <c r="K47" s="276">
        <v>39030.54</v>
      </c>
      <c r="L47" s="12"/>
      <c r="M47" s="12"/>
      <c r="N47" s="12"/>
      <c r="O47" s="12"/>
      <c r="P47" s="12"/>
      <c r="Q47" s="12"/>
      <c r="R47" s="311" t="s">
        <v>148</v>
      </c>
      <c r="S47" s="312"/>
      <c r="T47" s="247">
        <f>$G$39</f>
        <v>169264.10994618721</v>
      </c>
      <c r="U47" s="249">
        <f>T47/40000</f>
        <v>4.2316027486546801</v>
      </c>
    </row>
    <row r="48" spans="1:43" ht="24" thickBot="1" x14ac:dyDescent="0.3">
      <c r="A48" s="279" t="s">
        <v>186</v>
      </c>
      <c r="B48" s="280">
        <f>K47</f>
        <v>39030.54</v>
      </c>
      <c r="C48" s="12"/>
      <c r="D48" s="279" t="s">
        <v>186</v>
      </c>
      <c r="E48" s="280">
        <f>K47*0.5</f>
        <v>19515.27</v>
      </c>
      <c r="F48" s="23"/>
      <c r="G48" s="279" t="s">
        <v>186</v>
      </c>
      <c r="H48" s="280">
        <f>K47*0.5</f>
        <v>19515.27</v>
      </c>
      <c r="I48" s="12"/>
      <c r="J48" s="12"/>
      <c r="K48" s="86"/>
      <c r="L48" s="12"/>
      <c r="M48" s="12"/>
      <c r="N48" s="12"/>
      <c r="O48" s="12"/>
      <c r="P48" s="12"/>
      <c r="Q48" s="12"/>
      <c r="R48" s="311" t="s">
        <v>150</v>
      </c>
      <c r="S48" s="312"/>
      <c r="T48" s="247">
        <f>$L$39</f>
        <v>4.7019362449646197E-2</v>
      </c>
      <c r="U48" s="249">
        <f>T48*9.34*0.107</f>
        <v>4.6990210444927412E-2</v>
      </c>
    </row>
    <row r="49" spans="1:25" ht="48" thickTop="1" thickBot="1" x14ac:dyDescent="0.3">
      <c r="A49" s="284" t="s">
        <v>194</v>
      </c>
      <c r="B49" s="285">
        <f>AD40</f>
        <v>682.8967945059137</v>
      </c>
      <c r="C49" s="12"/>
      <c r="D49" s="284" t="s">
        <v>195</v>
      </c>
      <c r="E49" s="285">
        <f>AF40</f>
        <v>218.74021346734975</v>
      </c>
      <c r="F49" s="23"/>
      <c r="G49" s="284" t="s">
        <v>196</v>
      </c>
      <c r="H49" s="285">
        <f>AE40</f>
        <v>454.16704316233097</v>
      </c>
      <c r="I49" s="12"/>
      <c r="J49" s="12"/>
      <c r="K49" s="86"/>
      <c r="L49" s="12"/>
      <c r="M49" s="12"/>
      <c r="N49" s="12"/>
      <c r="O49" s="12"/>
      <c r="P49" s="12"/>
      <c r="Q49" s="12"/>
      <c r="R49" s="311" t="s">
        <v>152</v>
      </c>
      <c r="S49" s="312"/>
      <c r="T49" s="247">
        <f>$E$39+$K$39</f>
        <v>1792.5679414053752</v>
      </c>
      <c r="U49" s="249">
        <f>(T49*8.34*1.04)/45000</f>
        <v>0.34551149547941473</v>
      </c>
    </row>
    <row r="50" spans="1:25" ht="48" thickTop="1" thickBot="1" x14ac:dyDescent="0.3">
      <c r="A50" s="284" t="s">
        <v>190</v>
      </c>
      <c r="B50" s="286">
        <f>(SUM(B44:B48)/AD40)</f>
        <v>639.25370729848748</v>
      </c>
      <c r="C50" s="12"/>
      <c r="D50" s="284" t="s">
        <v>188</v>
      </c>
      <c r="E50" s="286">
        <f>SUM(E44:E48)/AF40</f>
        <v>1135.6245662875547</v>
      </c>
      <c r="F50" s="23"/>
      <c r="G50" s="284" t="s">
        <v>189</v>
      </c>
      <c r="H50" s="286">
        <f>SUM(H44:H48)/AE40</f>
        <v>412.60578909256373</v>
      </c>
      <c r="I50" s="12"/>
      <c r="J50" s="12"/>
      <c r="K50" s="86"/>
      <c r="L50" s="12"/>
      <c r="M50" s="12"/>
      <c r="N50" s="12"/>
      <c r="O50" s="12"/>
      <c r="P50" s="12"/>
      <c r="Q50" s="12"/>
      <c r="R50" s="311" t="s">
        <v>153</v>
      </c>
      <c r="S50" s="312"/>
      <c r="T50" s="247">
        <f>$U$39+$V$39+$AB$39</f>
        <v>22130.95350239013</v>
      </c>
      <c r="U50" s="249">
        <f>T50/2000/8</f>
        <v>1.3831845938993832</v>
      </c>
    </row>
    <row r="51" spans="1:25" ht="47.25" customHeight="1" thickTop="1" thickBot="1" x14ac:dyDescent="0.3">
      <c r="A51" s="274" t="s">
        <v>191</v>
      </c>
      <c r="B51" s="287">
        <f>B50/1000</f>
        <v>0.63925370729848752</v>
      </c>
      <c r="C51" s="12"/>
      <c r="D51" s="274" t="s">
        <v>192</v>
      </c>
      <c r="E51" s="287">
        <f>E50/1000</f>
        <v>1.1356245662875546</v>
      </c>
      <c r="F51" s="12"/>
      <c r="G51" s="274" t="s">
        <v>193</v>
      </c>
      <c r="H51" s="287">
        <f>H50/1000</f>
        <v>0.41260578909256374</v>
      </c>
      <c r="I51" s="12"/>
      <c r="J51" s="12"/>
      <c r="K51" s="86"/>
      <c r="L51" s="12"/>
      <c r="M51" s="12"/>
      <c r="N51" s="12"/>
      <c r="O51" s="12"/>
      <c r="P51" s="12"/>
      <c r="Q51" s="12"/>
      <c r="R51" s="311" t="s">
        <v>154</v>
      </c>
      <c r="S51" s="312"/>
      <c r="T51" s="247">
        <f>$C$39+$J$39+$S$39+$T$39</f>
        <v>46868.630608034102</v>
      </c>
      <c r="U51" s="249">
        <f>(T51*8.34*1.4)/45000</f>
        <v>12.160847355097916</v>
      </c>
    </row>
    <row r="52" spans="1:25" ht="16.5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1" t="s">
        <v>155</v>
      </c>
      <c r="S52" s="312"/>
      <c r="T52" s="247">
        <f>$H$39</f>
        <v>2233.0011419097586</v>
      </c>
      <c r="U52" s="249">
        <f>(T52*8.34*1.135)/45000</f>
        <v>0.46971923353785733</v>
      </c>
    </row>
    <row r="53" spans="1:25" ht="48" customHeight="1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12">
        <f>E44/E49</f>
        <v>726.38202250760844</v>
      </c>
      <c r="J53" s="12"/>
      <c r="K53" s="86"/>
      <c r="L53" s="12"/>
      <c r="M53" s="12"/>
      <c r="N53" s="12"/>
      <c r="O53" s="12"/>
      <c r="P53" s="12"/>
      <c r="Q53" s="12"/>
      <c r="R53" s="311" t="s">
        <v>156</v>
      </c>
      <c r="S53" s="312"/>
      <c r="T53" s="247">
        <f>$B$39+$I$39+$AC$39</f>
        <v>18573.891685438146</v>
      </c>
      <c r="U53" s="249">
        <f>(T53*8.34*1.029*0.03)/3300</f>
        <v>1.4490776190872197</v>
      </c>
    </row>
    <row r="54" spans="1:25" ht="42.75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54"/>
      <c r="T54" s="251">
        <f>$D$39+$Y$39+$Z$39</f>
        <v>70731.275316977539</v>
      </c>
      <c r="U54" s="252">
        <f>(T54*1.54*8.34)/45000</f>
        <v>20.187649059136284</v>
      </c>
    </row>
    <row r="55" spans="1:25" ht="24" thickTop="1" x14ac:dyDescent="0.25">
      <c r="A55" s="589"/>
      <c r="B55" s="59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1"/>
      <c r="B56" s="59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7"/>
      <c r="B57" s="58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8"/>
      <c r="B58" s="58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7"/>
      <c r="B59" s="58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8"/>
      <c r="B60" s="588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</row>
  </sheetData>
  <sheetProtection algorithmName="SHA-512" hashValue="owU+dLMtrHA5hEXOKn7SPboz1JK8WjeqPBKL0aKNAYLf+yxsL64fHKUS3jOdVqKE0ISUzzSIxNmNCkikRM3qTA==" saltValue="XXtYOQSwMvW8ubx6BRLC7w==" spinCount="100000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75"/>
  <sheetViews>
    <sheetView topLeftCell="A37" zoomScale="75" zoomScaleNormal="75" workbookViewId="0">
      <selection activeCell="C45" sqref="C45"/>
    </sheetView>
  </sheetViews>
  <sheetFormatPr defaultRowHeight="15" x14ac:dyDescent="0.25"/>
  <cols>
    <col min="1" max="1" width="38.7109375" customWidth="1"/>
    <col min="2" max="2" width="28.7109375" bestFit="1" customWidth="1"/>
    <col min="3" max="3" width="25.28515625" customWidth="1"/>
    <col min="4" max="4" width="38.7109375" customWidth="1"/>
    <col min="5" max="5" width="26.42578125" bestFit="1" customWidth="1"/>
    <col min="6" max="6" width="16.7109375" customWidth="1"/>
    <col min="7" max="7" width="43.710937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3.42578125" bestFit="1" customWidth="1"/>
    <col min="35" max="38" width="18.85546875" bestFit="1" customWidth="1"/>
    <col min="39" max="39" width="23.42578125" bestFit="1" customWidth="1"/>
    <col min="40" max="43" width="18.85546875" bestFit="1" customWidth="1"/>
  </cols>
  <sheetData>
    <row r="1" spans="1:58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8" ht="15" customHeight="1" x14ac:dyDescent="0.25">
      <c r="A2" s="1" t="s">
        <v>2</v>
      </c>
      <c r="B2" s="5"/>
      <c r="O2" s="4"/>
      <c r="P2" s="4"/>
      <c r="Q2" s="4"/>
      <c r="R2" s="4"/>
    </row>
    <row r="3" spans="1:58" ht="15.75" thickBot="1" x14ac:dyDescent="0.3">
      <c r="A3" s="6"/>
      <c r="BE3" t="s">
        <v>169</v>
      </c>
      <c r="BF3" s="253" t="s">
        <v>206</v>
      </c>
    </row>
    <row r="4" spans="1:58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</row>
    <row r="5" spans="1:58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</row>
    <row r="6" spans="1:58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8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58" x14ac:dyDescent="0.25">
      <c r="A8" s="11">
        <v>41518</v>
      </c>
      <c r="B8" s="49"/>
      <c r="C8" s="50">
        <v>151.01828042666097</v>
      </c>
      <c r="D8" s="50">
        <v>1810.927374521895</v>
      </c>
      <c r="E8" s="50">
        <v>27.988060365617255</v>
      </c>
      <c r="F8" s="50">
        <v>0</v>
      </c>
      <c r="G8" s="50">
        <v>5329.9494125366082</v>
      </c>
      <c r="H8" s="51">
        <v>71.213647695382505</v>
      </c>
      <c r="I8" s="49">
        <v>561.25520197550566</v>
      </c>
      <c r="J8" s="50">
        <v>1321.9009739557932</v>
      </c>
      <c r="K8" s="50">
        <v>29.199194173018057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415.90917812284601</v>
      </c>
      <c r="V8" s="54">
        <v>200.82933938407348</v>
      </c>
      <c r="W8" s="54">
        <v>34.735872450039643</v>
      </c>
      <c r="X8" s="54">
        <v>16.772850141360482</v>
      </c>
      <c r="Y8" s="54">
        <v>318.76910141636387</v>
      </c>
      <c r="Z8" s="54">
        <v>153.92347998291635</v>
      </c>
      <c r="AA8" s="55">
        <v>0</v>
      </c>
      <c r="AB8" s="56">
        <v>0</v>
      </c>
      <c r="AC8" s="57">
        <v>0</v>
      </c>
      <c r="AD8" s="57">
        <v>21.892443602614918</v>
      </c>
      <c r="AE8" s="58">
        <v>14.499312945163716</v>
      </c>
      <c r="AF8" s="58">
        <v>7.0012579511772577</v>
      </c>
      <c r="AG8" s="58">
        <v>0.6743687418844887</v>
      </c>
      <c r="AH8" s="57">
        <v>204.83128463427227</v>
      </c>
      <c r="AI8" s="57">
        <v>764.26830202738449</v>
      </c>
      <c r="AJ8" s="57">
        <v>3319.0768742879231</v>
      </c>
      <c r="AK8" s="57">
        <v>576.93398097356169</v>
      </c>
      <c r="AL8" s="57">
        <v>6147.9176333109544</v>
      </c>
      <c r="AM8" s="57">
        <v>2899.8889278411866</v>
      </c>
      <c r="AN8" s="57">
        <v>677.14614016215</v>
      </c>
      <c r="AO8" s="57">
        <v>2570.0960254669189</v>
      </c>
      <c r="AP8" s="57">
        <v>585.9648529688518</v>
      </c>
      <c r="AQ8" s="57">
        <v>968.20437952677412</v>
      </c>
    </row>
    <row r="9" spans="1:58" x14ac:dyDescent="0.25">
      <c r="A9" s="11">
        <v>41519</v>
      </c>
      <c r="B9" s="59"/>
      <c r="C9" s="60">
        <v>150.84306338628099</v>
      </c>
      <c r="D9" s="60">
        <v>1811.566045252481</v>
      </c>
      <c r="E9" s="60">
        <v>27.878427205483153</v>
      </c>
      <c r="F9" s="60">
        <v>0</v>
      </c>
      <c r="G9" s="60">
        <v>5330.0065203348813</v>
      </c>
      <c r="H9" s="61">
        <v>71.22415221134824</v>
      </c>
      <c r="I9" s="59">
        <v>640.89444195429689</v>
      </c>
      <c r="J9" s="60">
        <v>1487.2252715428669</v>
      </c>
      <c r="K9" s="60">
        <v>32.664059497912739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469.41912017954121</v>
      </c>
      <c r="V9" s="62">
        <v>200.82630760908697</v>
      </c>
      <c r="W9" s="62">
        <v>39.470894132273386</v>
      </c>
      <c r="X9" s="62">
        <v>16.886389126164776</v>
      </c>
      <c r="Y9" s="66">
        <v>359.39061403904174</v>
      </c>
      <c r="Z9" s="66">
        <v>153.75404815044189</v>
      </c>
      <c r="AA9" s="67">
        <v>0</v>
      </c>
      <c r="AB9" s="68">
        <v>0</v>
      </c>
      <c r="AC9" s="69">
        <v>0</v>
      </c>
      <c r="AD9" s="69">
        <v>23.770577686362813</v>
      </c>
      <c r="AE9" s="68">
        <v>16.361873016848609</v>
      </c>
      <c r="AF9" s="68">
        <v>6.9999162843764973</v>
      </c>
      <c r="AG9" s="68">
        <v>0.70036900024565252</v>
      </c>
      <c r="AH9" s="69">
        <v>272.20329181353247</v>
      </c>
      <c r="AI9" s="69">
        <v>847.84580618540463</v>
      </c>
      <c r="AJ9" s="69">
        <v>3336.5057048797598</v>
      </c>
      <c r="AK9" s="69">
        <v>590.02397766113279</v>
      </c>
      <c r="AL9" s="69">
        <v>6179.6669039408371</v>
      </c>
      <c r="AM9" s="69">
        <v>2913.9699282328288</v>
      </c>
      <c r="AN9" s="69">
        <v>693.33292833964038</v>
      </c>
      <c r="AO9" s="69">
        <v>2909.3267553965247</v>
      </c>
      <c r="AP9" s="69">
        <v>591.16542078653981</v>
      </c>
      <c r="AQ9" s="69">
        <v>1012.3765238444009</v>
      </c>
    </row>
    <row r="10" spans="1:58" x14ac:dyDescent="0.25">
      <c r="A10" s="11">
        <v>41520</v>
      </c>
      <c r="B10" s="59"/>
      <c r="C10" s="60">
        <v>151.10189384619372</v>
      </c>
      <c r="D10" s="60">
        <v>1813.8248608907038</v>
      </c>
      <c r="E10" s="60">
        <v>27.951110593477857</v>
      </c>
      <c r="F10" s="60">
        <v>0</v>
      </c>
      <c r="G10" s="60">
        <v>5333.0770200093493</v>
      </c>
      <c r="H10" s="61">
        <v>71.679547293980931</v>
      </c>
      <c r="I10" s="59">
        <v>665.3618581136077</v>
      </c>
      <c r="J10" s="60">
        <v>1567.4868569691976</v>
      </c>
      <c r="K10" s="60">
        <v>34.436539216836422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490.93944069104322</v>
      </c>
      <c r="V10" s="62">
        <v>199.79231422652646</v>
      </c>
      <c r="W10" s="62">
        <v>40.805079424656171</v>
      </c>
      <c r="X10" s="62">
        <v>16.60600182982612</v>
      </c>
      <c r="Y10" s="66">
        <v>373.64825742295278</v>
      </c>
      <c r="Z10" s="66">
        <v>152.05958998152784</v>
      </c>
      <c r="AA10" s="67">
        <v>0</v>
      </c>
      <c r="AB10" s="68">
        <v>0</v>
      </c>
      <c r="AC10" s="69">
        <v>0</v>
      </c>
      <c r="AD10" s="69">
        <v>24.343337361680174</v>
      </c>
      <c r="AE10" s="68">
        <v>17.08986878580923</v>
      </c>
      <c r="AF10" s="68">
        <v>6.9548790574625308</v>
      </c>
      <c r="AG10" s="68">
        <v>0.71075267235922979</v>
      </c>
      <c r="AH10" s="69">
        <v>244.75971639951069</v>
      </c>
      <c r="AI10" s="69">
        <v>823.60529975891109</v>
      </c>
      <c r="AJ10" s="69">
        <v>3395.2746159871417</v>
      </c>
      <c r="AK10" s="69">
        <v>600.09636554718031</v>
      </c>
      <c r="AL10" s="69">
        <v>6270.0966983159369</v>
      </c>
      <c r="AM10" s="69">
        <v>3004.5904783884685</v>
      </c>
      <c r="AN10" s="69">
        <v>729.10824801127126</v>
      </c>
      <c r="AO10" s="69">
        <v>3041.8102001190191</v>
      </c>
      <c r="AP10" s="69">
        <v>594.47040402094524</v>
      </c>
      <c r="AQ10" s="69">
        <v>1045.9375187555947</v>
      </c>
    </row>
    <row r="11" spans="1:58" x14ac:dyDescent="0.25">
      <c r="A11" s="11">
        <v>41521</v>
      </c>
      <c r="B11" s="59"/>
      <c r="C11" s="60">
        <v>150.98061196804011</v>
      </c>
      <c r="D11" s="60">
        <v>1811.9483821868894</v>
      </c>
      <c r="E11" s="60">
        <v>27.99263707747064</v>
      </c>
      <c r="F11" s="60">
        <v>0</v>
      </c>
      <c r="G11" s="60">
        <v>5332.5475769043014</v>
      </c>
      <c r="H11" s="61">
        <v>71.272700842221653</v>
      </c>
      <c r="I11" s="59">
        <v>685.7025883356747</v>
      </c>
      <c r="J11" s="60">
        <v>1631.3246524810788</v>
      </c>
      <c r="K11" s="60">
        <v>35.722056806087586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510.01198858011708</v>
      </c>
      <c r="V11" s="62">
        <v>195.19190069447893</v>
      </c>
      <c r="W11" s="62">
        <v>42.642962605663108</v>
      </c>
      <c r="X11" s="62">
        <v>16.320324048491333</v>
      </c>
      <c r="Y11" s="66">
        <v>388.96788595376091</v>
      </c>
      <c r="Z11" s="66">
        <v>148.86587505481981</v>
      </c>
      <c r="AA11" s="67">
        <v>0</v>
      </c>
      <c r="AB11" s="68">
        <v>0</v>
      </c>
      <c r="AC11" s="69">
        <v>0</v>
      </c>
      <c r="AD11" s="69">
        <v>24.836130446857879</v>
      </c>
      <c r="AE11" s="68">
        <v>17.757105026057324</v>
      </c>
      <c r="AF11" s="68">
        <v>6.7960031498811269</v>
      </c>
      <c r="AG11" s="68">
        <v>0.72321210409763625</v>
      </c>
      <c r="AH11" s="69">
        <v>290.50422954559326</v>
      </c>
      <c r="AI11" s="69">
        <v>876.16021464665732</v>
      </c>
      <c r="AJ11" s="69">
        <v>3353.2065335591633</v>
      </c>
      <c r="AK11" s="69">
        <v>597.63588981628413</v>
      </c>
      <c r="AL11" s="69">
        <v>4967.2445699055997</v>
      </c>
      <c r="AM11" s="69">
        <v>3097.8971529642745</v>
      </c>
      <c r="AN11" s="69">
        <v>722.89024089177451</v>
      </c>
      <c r="AO11" s="69">
        <v>3156.4028471628826</v>
      </c>
      <c r="AP11" s="69">
        <v>603.06975138982136</v>
      </c>
      <c r="AQ11" s="69">
        <v>985.08919197718296</v>
      </c>
    </row>
    <row r="12" spans="1:58" x14ac:dyDescent="0.25">
      <c r="A12" s="11">
        <v>41522</v>
      </c>
      <c r="B12" s="59"/>
      <c r="C12" s="60">
        <v>150.90206352869677</v>
      </c>
      <c r="D12" s="60">
        <v>1812.5260837554924</v>
      </c>
      <c r="E12" s="60">
        <v>28.327802378932546</v>
      </c>
      <c r="F12" s="60">
        <v>0</v>
      </c>
      <c r="G12" s="60">
        <v>5328.4597946167087</v>
      </c>
      <c r="H12" s="61">
        <v>71.279638719558662</v>
      </c>
      <c r="I12" s="59">
        <v>636.31769917806093</v>
      </c>
      <c r="J12" s="60">
        <v>1576.6876461029037</v>
      </c>
      <c r="K12" s="60">
        <v>34.110955353577971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497.17822074545131</v>
      </c>
      <c r="V12" s="62">
        <v>194.65672726446678</v>
      </c>
      <c r="W12" s="62">
        <v>41.908744703183316</v>
      </c>
      <c r="X12" s="62">
        <v>16.408239032377921</v>
      </c>
      <c r="Y12" s="66">
        <v>412.28696957545571</v>
      </c>
      <c r="Z12" s="66">
        <v>161.41984673224897</v>
      </c>
      <c r="AA12" s="67">
        <v>0</v>
      </c>
      <c r="AB12" s="68">
        <v>0</v>
      </c>
      <c r="AC12" s="69">
        <v>0</v>
      </c>
      <c r="AD12" s="69">
        <v>24.375213470061595</v>
      </c>
      <c r="AE12" s="68">
        <v>17.309294515970628</v>
      </c>
      <c r="AF12" s="68">
        <v>6.7769875693342128</v>
      </c>
      <c r="AG12" s="68">
        <v>0.71863704222459113</v>
      </c>
      <c r="AH12" s="69">
        <v>242.97466880480451</v>
      </c>
      <c r="AI12" s="69">
        <v>815.40053224563599</v>
      </c>
      <c r="AJ12" s="69">
        <v>3339.2271321614576</v>
      </c>
      <c r="AK12" s="69">
        <v>596.95365972518903</v>
      </c>
      <c r="AL12" s="69">
        <v>4756.9875452677416</v>
      </c>
      <c r="AM12" s="69">
        <v>3290.9007185618088</v>
      </c>
      <c r="AN12" s="69">
        <v>715.30659580230713</v>
      </c>
      <c r="AO12" s="69">
        <v>2975.3179865519205</v>
      </c>
      <c r="AP12" s="69">
        <v>619.33114906946821</v>
      </c>
      <c r="AQ12" s="69">
        <v>1007.1155426979064</v>
      </c>
    </row>
    <row r="13" spans="1:58" x14ac:dyDescent="0.25">
      <c r="A13" s="11">
        <v>41523</v>
      </c>
      <c r="B13" s="59"/>
      <c r="C13" s="60">
        <v>151.12507882118186</v>
      </c>
      <c r="D13" s="60">
        <v>1814.3254034678137</v>
      </c>
      <c r="E13" s="60">
        <v>28.036243721346043</v>
      </c>
      <c r="F13" s="60">
        <v>0</v>
      </c>
      <c r="G13" s="60">
        <v>5330.7637578328477</v>
      </c>
      <c r="H13" s="61">
        <v>71.386313315232712</v>
      </c>
      <c r="I13" s="59">
        <v>633.72391023635987</v>
      </c>
      <c r="J13" s="60">
        <v>1577.1129147847512</v>
      </c>
      <c r="K13" s="60">
        <v>34.179716291527029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502.41916681805088</v>
      </c>
      <c r="V13" s="62">
        <v>201.0227437773141</v>
      </c>
      <c r="W13" s="62">
        <v>42.467093655613859</v>
      </c>
      <c r="X13" s="62">
        <v>16.991492862355813</v>
      </c>
      <c r="Y13" s="66">
        <v>417.53846317987706</v>
      </c>
      <c r="Z13" s="66">
        <v>167.0611573849024</v>
      </c>
      <c r="AA13" s="67">
        <v>0</v>
      </c>
      <c r="AB13" s="68">
        <v>0</v>
      </c>
      <c r="AC13" s="69">
        <v>0</v>
      </c>
      <c r="AD13" s="69">
        <v>24.80728795793317</v>
      </c>
      <c r="AE13" s="68">
        <v>17.495386104562456</v>
      </c>
      <c r="AF13" s="68">
        <v>7.0000723508549907</v>
      </c>
      <c r="AG13" s="68">
        <v>0.71422978820358241</v>
      </c>
      <c r="AH13" s="69">
        <v>290.70805810292563</v>
      </c>
      <c r="AI13" s="69">
        <v>884.19679807027171</v>
      </c>
      <c r="AJ13" s="69">
        <v>3394.4331236521402</v>
      </c>
      <c r="AK13" s="69">
        <v>601.22019720077526</v>
      </c>
      <c r="AL13" s="69">
        <v>4690.4417363484708</v>
      </c>
      <c r="AM13" s="69">
        <v>3091.727072906494</v>
      </c>
      <c r="AN13" s="69">
        <v>734.00108222961433</v>
      </c>
      <c r="AO13" s="69">
        <v>3090.6257595062257</v>
      </c>
      <c r="AP13" s="69">
        <v>628.94179293314619</v>
      </c>
      <c r="AQ13" s="69">
        <v>1021.5574520746867</v>
      </c>
    </row>
    <row r="14" spans="1:58" x14ac:dyDescent="0.25">
      <c r="A14" s="11">
        <v>41524</v>
      </c>
      <c r="B14" s="59"/>
      <c r="C14" s="60">
        <v>151.03183364073394</v>
      </c>
      <c r="D14" s="60">
        <v>1813.6819281260152</v>
      </c>
      <c r="E14" s="60">
        <v>28.093673542141833</v>
      </c>
      <c r="F14" s="60">
        <v>0</v>
      </c>
      <c r="G14" s="60">
        <v>5329.7787231445309</v>
      </c>
      <c r="H14" s="61">
        <v>71.408054796854728</v>
      </c>
      <c r="I14" s="59">
        <v>648.43467626571817</v>
      </c>
      <c r="J14" s="60">
        <v>1613.1408842086798</v>
      </c>
      <c r="K14" s="60">
        <v>35.290855771303214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494.40470863166053</v>
      </c>
      <c r="V14" s="62">
        <v>193.34389175591085</v>
      </c>
      <c r="W14" s="62">
        <v>41.44543928480757</v>
      </c>
      <c r="X14" s="62">
        <v>16.207820004457098</v>
      </c>
      <c r="Y14" s="66">
        <v>412.49338056119365</v>
      </c>
      <c r="Z14" s="66">
        <v>161.31131870079031</v>
      </c>
      <c r="AA14" s="67">
        <v>0</v>
      </c>
      <c r="AB14" s="68">
        <v>0</v>
      </c>
      <c r="AC14" s="69">
        <v>0</v>
      </c>
      <c r="AD14" s="69">
        <v>24.379049879974808</v>
      </c>
      <c r="AE14" s="68">
        <v>17.214932190518624</v>
      </c>
      <c r="AF14" s="68">
        <v>6.732140547853664</v>
      </c>
      <c r="AG14" s="68">
        <v>0.71887417633862938</v>
      </c>
      <c r="AH14" s="69">
        <v>238.7438052495321</v>
      </c>
      <c r="AI14" s="69">
        <v>820.74205392201748</v>
      </c>
      <c r="AJ14" s="69">
        <v>3389.6710993448896</v>
      </c>
      <c r="AK14" s="69">
        <v>599.64402367273965</v>
      </c>
      <c r="AL14" s="69">
        <v>4611.9089068094891</v>
      </c>
      <c r="AM14" s="69">
        <v>2819.7792507171625</v>
      </c>
      <c r="AN14" s="69">
        <v>737.79212026596088</v>
      </c>
      <c r="AO14" s="69">
        <v>3250.4308687845869</v>
      </c>
      <c r="AP14" s="69">
        <v>631.75718615849826</v>
      </c>
      <c r="AQ14" s="69">
        <v>968.4414379755658</v>
      </c>
    </row>
    <row r="15" spans="1:58" x14ac:dyDescent="0.25">
      <c r="A15" s="11">
        <v>41525</v>
      </c>
      <c r="B15" s="59"/>
      <c r="C15" s="60">
        <v>151.04353518485985</v>
      </c>
      <c r="D15" s="60">
        <v>1814.7209234873471</v>
      </c>
      <c r="E15" s="60">
        <v>28.153336998820294</v>
      </c>
      <c r="F15" s="60">
        <v>0</v>
      </c>
      <c r="G15" s="60">
        <v>5332.0516484578393</v>
      </c>
      <c r="H15" s="61">
        <v>71.387044600645808</v>
      </c>
      <c r="I15" s="59">
        <v>649.7892505009977</v>
      </c>
      <c r="J15" s="60">
        <v>1615.0585146586097</v>
      </c>
      <c r="K15" s="60">
        <v>35.288650965690636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502.29584242485288</v>
      </c>
      <c r="V15" s="62">
        <v>200.94343806390467</v>
      </c>
      <c r="W15" s="62">
        <v>42.491205881074997</v>
      </c>
      <c r="X15" s="62">
        <v>16.998605753942332</v>
      </c>
      <c r="Y15" s="66">
        <v>419.16200557798851</v>
      </c>
      <c r="Z15" s="66">
        <v>167.68574890046733</v>
      </c>
      <c r="AA15" s="67">
        <v>0</v>
      </c>
      <c r="AB15" s="68">
        <v>0</v>
      </c>
      <c r="AC15" s="69">
        <v>0</v>
      </c>
      <c r="AD15" s="69">
        <v>24.974362558788751</v>
      </c>
      <c r="AE15" s="68">
        <v>17.499894024004213</v>
      </c>
      <c r="AF15" s="68">
        <v>7.000832127061611</v>
      </c>
      <c r="AG15" s="68">
        <v>0.71426021890550939</v>
      </c>
      <c r="AH15" s="69">
        <v>211.25128235816956</v>
      </c>
      <c r="AI15" s="69">
        <v>793.71218792597449</v>
      </c>
      <c r="AJ15" s="69">
        <v>3365.4046924591066</v>
      </c>
      <c r="AK15" s="69">
        <v>597.73638118108101</v>
      </c>
      <c r="AL15" s="69">
        <v>4774.1466369628906</v>
      </c>
      <c r="AM15" s="69">
        <v>2785.5558183034259</v>
      </c>
      <c r="AN15" s="69">
        <v>727.78646545410163</v>
      </c>
      <c r="AO15" s="69">
        <v>3169.1798197428384</v>
      </c>
      <c r="AP15" s="69">
        <v>643.86940520604458</v>
      </c>
      <c r="AQ15" s="69">
        <v>946.01298996607443</v>
      </c>
    </row>
    <row r="16" spans="1:58" x14ac:dyDescent="0.25">
      <c r="A16" s="11">
        <v>41526</v>
      </c>
      <c r="B16" s="59"/>
      <c r="C16" s="60">
        <v>146.15099745591479</v>
      </c>
      <c r="D16" s="60">
        <v>1754.5977146148682</v>
      </c>
      <c r="E16" s="60">
        <v>27.340409228205679</v>
      </c>
      <c r="F16" s="60">
        <v>0</v>
      </c>
      <c r="G16" s="60">
        <v>5255.4011919657378</v>
      </c>
      <c r="H16" s="61">
        <v>69.044328753153593</v>
      </c>
      <c r="I16" s="59">
        <v>612.87444435755424</v>
      </c>
      <c r="J16" s="60">
        <v>1443.7380165100087</v>
      </c>
      <c r="K16" s="60">
        <v>33.400628278652789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477.4757744625125</v>
      </c>
      <c r="V16" s="62">
        <v>193.64006992496482</v>
      </c>
      <c r="W16" s="62">
        <v>40.116219122542603</v>
      </c>
      <c r="X16" s="62">
        <v>16.269113306866313</v>
      </c>
      <c r="Y16" s="66">
        <v>398.20924176240038</v>
      </c>
      <c r="Z16" s="66">
        <v>161.49356583889352</v>
      </c>
      <c r="AA16" s="67">
        <v>0</v>
      </c>
      <c r="AB16" s="68">
        <v>0</v>
      </c>
      <c r="AC16" s="69">
        <v>0</v>
      </c>
      <c r="AD16" s="69">
        <v>23.82535328533913</v>
      </c>
      <c r="AE16" s="68">
        <v>16.639414366704976</v>
      </c>
      <c r="AF16" s="68">
        <v>6.7481064669851332</v>
      </c>
      <c r="AG16" s="68">
        <v>0.71146550696966671</v>
      </c>
      <c r="AH16" s="69">
        <v>286.153128528595</v>
      </c>
      <c r="AI16" s="69">
        <v>848.30152390797934</v>
      </c>
      <c r="AJ16" s="69">
        <v>3348.9304537455241</v>
      </c>
      <c r="AK16" s="69">
        <v>589.5620427449544</v>
      </c>
      <c r="AL16" s="69">
        <v>4646.7337556203211</v>
      </c>
      <c r="AM16" s="69">
        <v>2826.5630842844644</v>
      </c>
      <c r="AN16" s="69">
        <v>694.17415660222377</v>
      </c>
      <c r="AO16" s="69">
        <v>2883.7681636810303</v>
      </c>
      <c r="AP16" s="69">
        <v>543.7759355862936</v>
      </c>
      <c r="AQ16" s="69">
        <v>945.61157903671256</v>
      </c>
    </row>
    <row r="17" spans="1:43" x14ac:dyDescent="0.25">
      <c r="A17" s="11">
        <v>41527</v>
      </c>
      <c r="B17" s="49"/>
      <c r="C17" s="50">
        <v>139.18536313374844</v>
      </c>
      <c r="D17" s="50">
        <v>1674.5368000030542</v>
      </c>
      <c r="E17" s="50">
        <v>25.946470886468951</v>
      </c>
      <c r="F17" s="50">
        <v>0</v>
      </c>
      <c r="G17" s="50">
        <v>4979.8226038615003</v>
      </c>
      <c r="H17" s="51">
        <v>65.868480646610266</v>
      </c>
      <c r="I17" s="49">
        <v>539.26989364624035</v>
      </c>
      <c r="J17" s="50">
        <v>1265.4376393000277</v>
      </c>
      <c r="K17" s="50">
        <v>30.799245278040541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440.89667447393703</v>
      </c>
      <c r="V17" s="66">
        <v>180.71666840462007</v>
      </c>
      <c r="W17" s="62">
        <v>37.569752739571953</v>
      </c>
      <c r="X17" s="62">
        <v>15.399255519406603</v>
      </c>
      <c r="Y17" s="66">
        <v>359.00084069218929</v>
      </c>
      <c r="Z17" s="66">
        <v>147.14884380055659</v>
      </c>
      <c r="AA17" s="67">
        <v>0</v>
      </c>
      <c r="AB17" s="68">
        <v>0</v>
      </c>
      <c r="AC17" s="69">
        <v>0</v>
      </c>
      <c r="AD17" s="69">
        <v>22.047495833370405</v>
      </c>
      <c r="AE17" s="68">
        <v>15.35461174362522</v>
      </c>
      <c r="AF17" s="68">
        <v>6.2936158052569633</v>
      </c>
      <c r="AG17" s="68">
        <v>0.70927800943306618</v>
      </c>
      <c r="AH17" s="69">
        <v>232.93167303403214</v>
      </c>
      <c r="AI17" s="69">
        <v>793.89564059575389</v>
      </c>
      <c r="AJ17" s="69">
        <v>3257.0957664489747</v>
      </c>
      <c r="AK17" s="69">
        <v>574.51252934137995</v>
      </c>
      <c r="AL17" s="69">
        <v>4615.6132141113285</v>
      </c>
      <c r="AM17" s="69">
        <v>2760.2226393381761</v>
      </c>
      <c r="AN17" s="69">
        <v>622.43111715316775</v>
      </c>
      <c r="AO17" s="69">
        <v>2683.2635286966965</v>
      </c>
      <c r="AP17" s="69">
        <v>454.31196384429933</v>
      </c>
      <c r="AQ17" s="69">
        <v>939.40967798233032</v>
      </c>
    </row>
    <row r="18" spans="1:43" x14ac:dyDescent="0.25">
      <c r="A18" s="11">
        <v>41528</v>
      </c>
      <c r="B18" s="59"/>
      <c r="C18" s="60">
        <v>134.26685776710531</v>
      </c>
      <c r="D18" s="60">
        <v>1615.449877866112</v>
      </c>
      <c r="E18" s="60">
        <v>24.98554211805267</v>
      </c>
      <c r="F18" s="60">
        <v>0</v>
      </c>
      <c r="G18" s="60">
        <v>4907.2028358459365</v>
      </c>
      <c r="H18" s="61">
        <v>63.537606668472257</v>
      </c>
      <c r="I18" s="59">
        <v>478.11269416809051</v>
      </c>
      <c r="J18" s="60">
        <v>1031.3607689539599</v>
      </c>
      <c r="K18" s="60">
        <v>24.254951829711526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329.53789809374189</v>
      </c>
      <c r="V18" s="62">
        <v>180.65438307827097</v>
      </c>
      <c r="W18" s="62">
        <v>28.005318703027321</v>
      </c>
      <c r="X18" s="62">
        <v>15.352660809187347</v>
      </c>
      <c r="Y18" s="66">
        <v>252.15456546890871</v>
      </c>
      <c r="Z18" s="66">
        <v>138.23243920854597</v>
      </c>
      <c r="AA18" s="67">
        <v>0</v>
      </c>
      <c r="AB18" s="68">
        <v>0</v>
      </c>
      <c r="AC18" s="69">
        <v>0</v>
      </c>
      <c r="AD18" s="69">
        <v>17.850864479276826</v>
      </c>
      <c r="AE18" s="68">
        <v>11.355758355349021</v>
      </c>
      <c r="AF18" s="68">
        <v>6.2252855648424656</v>
      </c>
      <c r="AG18" s="68">
        <v>0.64590921943532342</v>
      </c>
      <c r="AH18" s="69">
        <v>275.27621784210203</v>
      </c>
      <c r="AI18" s="69">
        <v>839.05985476175942</v>
      </c>
      <c r="AJ18" s="69">
        <v>3261.7436484018958</v>
      </c>
      <c r="AK18" s="69">
        <v>564.37194128036492</v>
      </c>
      <c r="AL18" s="69">
        <v>4743.3460631688431</v>
      </c>
      <c r="AM18" s="69">
        <v>2763.2845846811933</v>
      </c>
      <c r="AN18" s="69">
        <v>580.94271341959632</v>
      </c>
      <c r="AO18" s="69">
        <v>2125.3747675577797</v>
      </c>
      <c r="AP18" s="69">
        <v>451.86479756037392</v>
      </c>
      <c r="AQ18" s="69">
        <v>1006.0346245447795</v>
      </c>
    </row>
    <row r="19" spans="1:43" x14ac:dyDescent="0.25">
      <c r="A19" s="11">
        <v>41529</v>
      </c>
      <c r="B19" s="59"/>
      <c r="C19" s="60">
        <v>116.9777669747666</v>
      </c>
      <c r="D19" s="60">
        <v>1405.7402158737184</v>
      </c>
      <c r="E19" s="60">
        <v>22.186884320278949</v>
      </c>
      <c r="F19" s="60">
        <v>0</v>
      </c>
      <c r="G19" s="60">
        <v>4281.6494992574108</v>
      </c>
      <c r="H19" s="61">
        <v>53.393287614981226</v>
      </c>
      <c r="I19" s="59">
        <v>403.04382101694756</v>
      </c>
      <c r="J19" s="60">
        <v>868.26858342488617</v>
      </c>
      <c r="K19" s="60">
        <v>19.27069333593046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264.37438911878445</v>
      </c>
      <c r="V19" s="62">
        <v>157.85535170220146</v>
      </c>
      <c r="W19" s="62">
        <v>22.359577170826967</v>
      </c>
      <c r="X19" s="62">
        <v>13.350683967453259</v>
      </c>
      <c r="Y19" s="66">
        <v>193.6965319312776</v>
      </c>
      <c r="Z19" s="66">
        <v>115.65429720112029</v>
      </c>
      <c r="AA19" s="67">
        <v>0</v>
      </c>
      <c r="AB19" s="68">
        <v>0</v>
      </c>
      <c r="AC19" s="69">
        <v>0</v>
      </c>
      <c r="AD19" s="69">
        <v>14.726821104685477</v>
      </c>
      <c r="AE19" s="68">
        <v>9.0953647693785893</v>
      </c>
      <c r="AF19" s="68">
        <v>5.4307529913004577</v>
      </c>
      <c r="AG19" s="68">
        <v>0.62613871918338437</v>
      </c>
      <c r="AH19" s="69">
        <v>245.4884366671244</v>
      </c>
      <c r="AI19" s="69">
        <v>802.77158101399743</v>
      </c>
      <c r="AJ19" s="69">
        <v>3105.183809407552</v>
      </c>
      <c r="AK19" s="69">
        <v>565.66935256322233</v>
      </c>
      <c r="AL19" s="69">
        <v>3892.5838982899982</v>
      </c>
      <c r="AM19" s="69">
        <v>2772.3419347127283</v>
      </c>
      <c r="AN19" s="69">
        <v>557.50826559066775</v>
      </c>
      <c r="AO19" s="69">
        <v>1862.8157235463461</v>
      </c>
      <c r="AP19" s="69">
        <v>428.35492734909059</v>
      </c>
      <c r="AQ19" s="69">
        <v>939.04570074081425</v>
      </c>
    </row>
    <row r="20" spans="1:43" x14ac:dyDescent="0.25">
      <c r="A20" s="11">
        <v>41530</v>
      </c>
      <c r="B20" s="59"/>
      <c r="C20" s="60">
        <v>48.216666156053492</v>
      </c>
      <c r="D20" s="60">
        <v>576.69888774553942</v>
      </c>
      <c r="E20" s="60">
        <v>9.4072960143288018</v>
      </c>
      <c r="F20" s="60">
        <v>0</v>
      </c>
      <c r="G20" s="60">
        <v>1715.464385604859</v>
      </c>
      <c r="H20" s="61">
        <v>22.676196118195858</v>
      </c>
      <c r="I20" s="59">
        <v>319.05188272794078</v>
      </c>
      <c r="J20" s="60">
        <v>754.83546384572958</v>
      </c>
      <c r="K20" s="60">
        <v>16.600112482905327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240.93008435862131</v>
      </c>
      <c r="V20" s="62">
        <v>66.263758670985325</v>
      </c>
      <c r="W20" s="62">
        <v>20.301608198663018</v>
      </c>
      <c r="X20" s="62">
        <v>5.5836151383515054</v>
      </c>
      <c r="Y20" s="66">
        <v>167.8879421341712</v>
      </c>
      <c r="Z20" s="66">
        <v>46.174748624533827</v>
      </c>
      <c r="AA20" s="67">
        <v>0</v>
      </c>
      <c r="AB20" s="68">
        <v>0</v>
      </c>
      <c r="AC20" s="69">
        <v>0</v>
      </c>
      <c r="AD20" s="69">
        <v>10.363515798250834</v>
      </c>
      <c r="AE20" s="68">
        <v>7.8830702225123312</v>
      </c>
      <c r="AF20" s="68">
        <v>2.1681055904727065</v>
      </c>
      <c r="AG20" s="68">
        <v>0.78429333733554363</v>
      </c>
      <c r="AH20" s="69">
        <v>295.7901818672816</v>
      </c>
      <c r="AI20" s="69">
        <v>833.01355177561436</v>
      </c>
      <c r="AJ20" s="69">
        <v>1890.6655698140462</v>
      </c>
      <c r="AK20" s="69">
        <v>575.47839892705281</v>
      </c>
      <c r="AL20" s="69">
        <v>2441.3838301340734</v>
      </c>
      <c r="AM20" s="69">
        <v>2666.9076408386231</v>
      </c>
      <c r="AN20" s="69">
        <v>557.73305355707794</v>
      </c>
      <c r="AO20" s="69">
        <v>1547.6343060811359</v>
      </c>
      <c r="AP20" s="69">
        <v>223.86075253883996</v>
      </c>
      <c r="AQ20" s="69">
        <v>932.85486971537284</v>
      </c>
    </row>
    <row r="21" spans="1:43" x14ac:dyDescent="0.25">
      <c r="A21" s="11">
        <v>41531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431.95652281443301</v>
      </c>
      <c r="J21" s="60">
        <v>961.16245533625204</v>
      </c>
      <c r="K21" s="60">
        <v>20.972677964965527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306.11116715338306</v>
      </c>
      <c r="V21" s="62">
        <v>0</v>
      </c>
      <c r="W21" s="62">
        <v>26.389826238155386</v>
      </c>
      <c r="X21" s="62">
        <v>0</v>
      </c>
      <c r="Y21" s="66">
        <v>206.76396147410054</v>
      </c>
      <c r="Z21" s="66">
        <v>0</v>
      </c>
      <c r="AA21" s="67">
        <v>0</v>
      </c>
      <c r="AB21" s="68">
        <v>0</v>
      </c>
      <c r="AC21" s="69">
        <v>0</v>
      </c>
      <c r="AD21" s="69">
        <v>10.013576652606325</v>
      </c>
      <c r="AE21" s="68">
        <v>9.6074368181419185</v>
      </c>
      <c r="AF21" s="68">
        <v>0</v>
      </c>
      <c r="AG21" s="68">
        <v>1</v>
      </c>
      <c r="AH21" s="69">
        <v>229.32448544502259</v>
      </c>
      <c r="AI21" s="69">
        <v>748.38689057032263</v>
      </c>
      <c r="AJ21" s="69">
        <v>1145.0875876744587</v>
      </c>
      <c r="AK21" s="69">
        <v>586.74257949193327</v>
      </c>
      <c r="AL21" s="69">
        <v>1479.9007784525554</v>
      </c>
      <c r="AM21" s="69">
        <v>2290.4281831105554</v>
      </c>
      <c r="AN21" s="69">
        <v>562.96499379475927</v>
      </c>
      <c r="AO21" s="69">
        <v>1414.7351079305013</v>
      </c>
      <c r="AP21" s="69">
        <v>189.76651918490731</v>
      </c>
      <c r="AQ21" s="69">
        <v>894.25189104080187</v>
      </c>
    </row>
    <row r="22" spans="1:43" x14ac:dyDescent="0.25">
      <c r="A22" s="11">
        <v>41532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453.53817847569803</v>
      </c>
      <c r="J22" s="60">
        <v>1100.2853322982794</v>
      </c>
      <c r="K22" s="60">
        <v>24.094524705409992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357.47334387037483</v>
      </c>
      <c r="V22" s="62">
        <v>0</v>
      </c>
      <c r="W22" s="62">
        <v>31.753026398022904</v>
      </c>
      <c r="X22" s="62">
        <v>0</v>
      </c>
      <c r="Y22" s="66">
        <v>275.44404675960612</v>
      </c>
      <c r="Z22" s="66">
        <v>0</v>
      </c>
      <c r="AA22" s="67">
        <v>0</v>
      </c>
      <c r="AB22" s="68">
        <v>0</v>
      </c>
      <c r="AC22" s="69">
        <v>0</v>
      </c>
      <c r="AD22" s="69">
        <v>12.318003115389075</v>
      </c>
      <c r="AE22" s="68">
        <v>11.999904493201974</v>
      </c>
      <c r="AF22" s="68">
        <v>0</v>
      </c>
      <c r="AG22" s="68">
        <v>1</v>
      </c>
      <c r="AH22" s="69">
        <v>211.20593462785084</v>
      </c>
      <c r="AI22" s="69">
        <v>728.08406499226885</v>
      </c>
      <c r="AJ22" s="69">
        <v>1131.4865191141762</v>
      </c>
      <c r="AK22" s="69">
        <v>577.01123717625944</v>
      </c>
      <c r="AL22" s="69">
        <v>1545.6217846552527</v>
      </c>
      <c r="AM22" s="69">
        <v>2310.3537150065108</v>
      </c>
      <c r="AN22" s="69">
        <v>556.34502121607466</v>
      </c>
      <c r="AO22" s="69">
        <v>1630.568319829305</v>
      </c>
      <c r="AP22" s="69">
        <v>96.756135356426228</v>
      </c>
      <c r="AQ22" s="69">
        <v>775.3719125747682</v>
      </c>
    </row>
    <row r="23" spans="1:43" x14ac:dyDescent="0.25">
      <c r="A23" s="11">
        <v>41533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438.21623999277773</v>
      </c>
      <c r="J23" s="60">
        <v>1086.0184108098356</v>
      </c>
      <c r="K23" s="60">
        <v>23.753000844518358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347.34204750060633</v>
      </c>
      <c r="V23" s="62">
        <v>0</v>
      </c>
      <c r="W23" s="62">
        <v>30.623409108320885</v>
      </c>
      <c r="X23" s="62">
        <v>0</v>
      </c>
      <c r="Y23" s="66">
        <v>291.71995890935239</v>
      </c>
      <c r="Z23" s="66">
        <v>0</v>
      </c>
      <c r="AA23" s="67">
        <v>0</v>
      </c>
      <c r="AB23" s="68">
        <v>0</v>
      </c>
      <c r="AC23" s="69">
        <v>0</v>
      </c>
      <c r="AD23" s="69">
        <v>12.385982439253063</v>
      </c>
      <c r="AE23" s="68">
        <v>11.999088282023175</v>
      </c>
      <c r="AF23" s="68">
        <v>0</v>
      </c>
      <c r="AG23" s="68">
        <v>1</v>
      </c>
      <c r="AH23" s="69">
        <v>284.75842242240907</v>
      </c>
      <c r="AI23" s="69">
        <v>798.44131526947024</v>
      </c>
      <c r="AJ23" s="69">
        <v>1136.1434464136762</v>
      </c>
      <c r="AK23" s="69">
        <v>580.23442592620847</v>
      </c>
      <c r="AL23" s="69">
        <v>1608.4702507019042</v>
      </c>
      <c r="AM23" s="69">
        <v>2248.042333221435</v>
      </c>
      <c r="AN23" s="69">
        <v>567.04833078384399</v>
      </c>
      <c r="AO23" s="69">
        <v>1723.2370053609211</v>
      </c>
      <c r="AP23" s="69">
        <v>289.4741457462311</v>
      </c>
      <c r="AQ23" s="69">
        <v>875.48626670837405</v>
      </c>
    </row>
    <row r="24" spans="1:43" x14ac:dyDescent="0.25">
      <c r="A24" s="11">
        <v>41534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447.74940484364828</v>
      </c>
      <c r="J24" s="60">
        <v>1085.9540733973183</v>
      </c>
      <c r="K24" s="60">
        <v>23.915903550386393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352.78888011508582</v>
      </c>
      <c r="V24" s="62">
        <v>0</v>
      </c>
      <c r="W24" s="62">
        <v>30.080700906117738</v>
      </c>
      <c r="X24" s="62">
        <v>0</v>
      </c>
      <c r="Y24" s="66">
        <v>291.49976901213347</v>
      </c>
      <c r="Z24" s="66">
        <v>0</v>
      </c>
      <c r="AA24" s="67">
        <v>0</v>
      </c>
      <c r="AB24" s="68">
        <v>0</v>
      </c>
      <c r="AC24" s="69">
        <v>0</v>
      </c>
      <c r="AD24" s="69">
        <v>12.375992262032288</v>
      </c>
      <c r="AE24" s="68">
        <v>12.00044242863213</v>
      </c>
      <c r="AF24" s="68">
        <v>0</v>
      </c>
      <c r="AG24" s="68">
        <v>1</v>
      </c>
      <c r="AH24" s="69">
        <v>233.86065392494203</v>
      </c>
      <c r="AI24" s="69">
        <v>747.07551142374666</v>
      </c>
      <c r="AJ24" s="69">
        <v>1167.6194018681845</v>
      </c>
      <c r="AK24" s="69">
        <v>574.04028164545696</v>
      </c>
      <c r="AL24" s="69">
        <v>1635.1551324844359</v>
      </c>
      <c r="AM24" s="69">
        <v>2219.8127160390222</v>
      </c>
      <c r="AN24" s="69">
        <v>594.00187908808402</v>
      </c>
      <c r="AO24" s="69">
        <v>1711.312425104777</v>
      </c>
      <c r="AP24" s="69">
        <v>312.02830231984456</v>
      </c>
      <c r="AQ24" s="69">
        <v>917.0843300819397</v>
      </c>
    </row>
    <row r="25" spans="1:43" x14ac:dyDescent="0.25">
      <c r="A25" s="11">
        <v>41535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447.82803853352897</v>
      </c>
      <c r="J25" s="60">
        <v>1084.0875918706265</v>
      </c>
      <c r="K25" s="60">
        <v>23.672468047340626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353.90340412987655</v>
      </c>
      <c r="V25" s="62">
        <v>0</v>
      </c>
      <c r="W25" s="62">
        <v>30.002937912941004</v>
      </c>
      <c r="X25" s="62">
        <v>0</v>
      </c>
      <c r="Y25" s="66">
        <v>290.06793035666146</v>
      </c>
      <c r="Z25" s="66">
        <v>0</v>
      </c>
      <c r="AA25" s="67">
        <v>0</v>
      </c>
      <c r="AB25" s="68">
        <v>0</v>
      </c>
      <c r="AC25" s="69">
        <v>0</v>
      </c>
      <c r="AD25" s="69">
        <v>12.277322945329868</v>
      </c>
      <c r="AE25" s="68">
        <v>11.999760452214723</v>
      </c>
      <c r="AF25" s="68">
        <v>0</v>
      </c>
      <c r="AG25" s="68">
        <v>1</v>
      </c>
      <c r="AH25" s="69">
        <v>262.55896020730341</v>
      </c>
      <c r="AI25" s="69">
        <v>783.1423400878906</v>
      </c>
      <c r="AJ25" s="69">
        <v>1196.4217622121178</v>
      </c>
      <c r="AK25" s="69">
        <v>573.36698188781725</v>
      </c>
      <c r="AL25" s="69">
        <v>1549.3196682612102</v>
      </c>
      <c r="AM25" s="69">
        <v>2246.048416773478</v>
      </c>
      <c r="AN25" s="69">
        <v>615.15486771265671</v>
      </c>
      <c r="AO25" s="69">
        <v>1655.5664122263588</v>
      </c>
      <c r="AP25" s="69">
        <v>318.51396535237626</v>
      </c>
      <c r="AQ25" s="69">
        <v>958.93617788950587</v>
      </c>
    </row>
    <row r="26" spans="1:43" x14ac:dyDescent="0.25">
      <c r="A26" s="11">
        <v>41536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458.54994935989419</v>
      </c>
      <c r="J26" s="60">
        <v>1125.280964660644</v>
      </c>
      <c r="K26" s="60">
        <v>24.630334582924867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374.90855634476964</v>
      </c>
      <c r="V26" s="62">
        <v>0</v>
      </c>
      <c r="W26" s="62">
        <v>32.406491943200479</v>
      </c>
      <c r="X26" s="62">
        <v>0</v>
      </c>
      <c r="Y26" s="66">
        <v>304.2584553003307</v>
      </c>
      <c r="Z26" s="66">
        <v>0</v>
      </c>
      <c r="AA26" s="67">
        <v>0</v>
      </c>
      <c r="AB26" s="68">
        <v>0</v>
      </c>
      <c r="AC26" s="69">
        <v>0</v>
      </c>
      <c r="AD26" s="69">
        <v>12.872788456413479</v>
      </c>
      <c r="AE26" s="68">
        <v>12.476815689317936</v>
      </c>
      <c r="AF26" s="68">
        <v>0</v>
      </c>
      <c r="AG26" s="68">
        <v>1</v>
      </c>
      <c r="AH26" s="69">
        <v>233.73600624402368</v>
      </c>
      <c r="AI26" s="69">
        <v>747.43112532297789</v>
      </c>
      <c r="AJ26" s="69">
        <v>1272.6099116007488</v>
      </c>
      <c r="AK26" s="69">
        <v>565.32041556040451</v>
      </c>
      <c r="AL26" s="69">
        <v>1555.9045520146685</v>
      </c>
      <c r="AM26" s="69">
        <v>2200.6717764536534</v>
      </c>
      <c r="AN26" s="69">
        <v>567.72277100880956</v>
      </c>
      <c r="AO26" s="69">
        <v>1702.0157309214273</v>
      </c>
      <c r="AP26" s="69">
        <v>323.68365338643389</v>
      </c>
      <c r="AQ26" s="69">
        <v>779.9208443005881</v>
      </c>
    </row>
    <row r="27" spans="1:43" x14ac:dyDescent="0.25">
      <c r="A27" s="11">
        <v>41537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510.67694562276239</v>
      </c>
      <c r="J27" s="60">
        <v>1339.6620888074253</v>
      </c>
      <c r="K27" s="60">
        <v>29.275030887126778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437.79773926205377</v>
      </c>
      <c r="V27" s="62">
        <v>0</v>
      </c>
      <c r="W27" s="62">
        <v>37.593930713335695</v>
      </c>
      <c r="X27" s="62">
        <v>0</v>
      </c>
      <c r="Y27" s="62">
        <v>351.15487426122081</v>
      </c>
      <c r="Z27" s="62">
        <v>0</v>
      </c>
      <c r="AA27" s="72">
        <v>0</v>
      </c>
      <c r="AB27" s="69">
        <v>0</v>
      </c>
      <c r="AC27" s="69">
        <v>0</v>
      </c>
      <c r="AD27" s="69">
        <v>14.847793261872386</v>
      </c>
      <c r="AE27" s="69">
        <v>14.581937909900482</v>
      </c>
      <c r="AF27" s="69">
        <v>0</v>
      </c>
      <c r="AG27" s="69">
        <v>1</v>
      </c>
      <c r="AH27" s="69">
        <v>282.72804897626236</v>
      </c>
      <c r="AI27" s="69">
        <v>789.78727607727046</v>
      </c>
      <c r="AJ27" s="69">
        <v>1160.2593041737875</v>
      </c>
      <c r="AK27" s="69">
        <v>578.39037233988438</v>
      </c>
      <c r="AL27" s="69">
        <v>1549.4795572280887</v>
      </c>
      <c r="AM27" s="69">
        <v>2237.5230846405034</v>
      </c>
      <c r="AN27" s="69">
        <v>564.30752433141072</v>
      </c>
      <c r="AO27" s="69">
        <v>1983.1474136352538</v>
      </c>
      <c r="AP27" s="69">
        <v>319.75439860026052</v>
      </c>
      <c r="AQ27" s="69">
        <v>827.16404349009213</v>
      </c>
    </row>
    <row r="28" spans="1:43" x14ac:dyDescent="0.25">
      <c r="A28" s="11">
        <v>41538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512.91133823394853</v>
      </c>
      <c r="J28" s="60">
        <v>1336.2342421849564</v>
      </c>
      <c r="K28" s="60">
        <v>29.093472421169139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444.02521991729725</v>
      </c>
      <c r="V28" s="62">
        <v>0</v>
      </c>
      <c r="W28" s="62">
        <v>38.294444994131688</v>
      </c>
      <c r="X28" s="62">
        <v>0</v>
      </c>
      <c r="Y28" s="66">
        <v>359.15920612017351</v>
      </c>
      <c r="Z28" s="66">
        <v>0</v>
      </c>
      <c r="AA28" s="67">
        <v>0</v>
      </c>
      <c r="AB28" s="68">
        <v>0</v>
      </c>
      <c r="AC28" s="69">
        <v>0</v>
      </c>
      <c r="AD28" s="69">
        <v>15.207215850883046</v>
      </c>
      <c r="AE28" s="68">
        <v>15.001382301627149</v>
      </c>
      <c r="AF28" s="68">
        <v>0</v>
      </c>
      <c r="AG28" s="68">
        <v>1</v>
      </c>
      <c r="AH28" s="69">
        <v>216.58925863901771</v>
      </c>
      <c r="AI28" s="69">
        <v>737.64602651596056</v>
      </c>
      <c r="AJ28" s="69">
        <v>1189.2982297897338</v>
      </c>
      <c r="AK28" s="69">
        <v>583.10869998931889</v>
      </c>
      <c r="AL28" s="69">
        <v>1309.337186304728</v>
      </c>
      <c r="AM28" s="69">
        <v>2050.8683066050212</v>
      </c>
      <c r="AN28" s="69">
        <v>572.50943756103527</v>
      </c>
      <c r="AO28" s="69">
        <v>2084.8371739705408</v>
      </c>
      <c r="AP28" s="69">
        <v>299.5391069253285</v>
      </c>
      <c r="AQ28" s="69">
        <v>843.38623129526786</v>
      </c>
    </row>
    <row r="29" spans="1:43" x14ac:dyDescent="0.25">
      <c r="A29" s="11">
        <v>41539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512.40546773274764</v>
      </c>
      <c r="J29" s="60">
        <v>1336.1278719584134</v>
      </c>
      <c r="K29" s="60">
        <v>29.100230236848091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435.20745345221411</v>
      </c>
      <c r="V29" s="62">
        <v>0</v>
      </c>
      <c r="W29" s="62">
        <v>37.738678248723311</v>
      </c>
      <c r="X29" s="62">
        <v>0</v>
      </c>
      <c r="Y29" s="66">
        <v>366.89343608220446</v>
      </c>
      <c r="Z29" s="66">
        <v>0</v>
      </c>
      <c r="AA29" s="67">
        <v>0</v>
      </c>
      <c r="AB29" s="68">
        <v>0</v>
      </c>
      <c r="AC29" s="69">
        <v>0</v>
      </c>
      <c r="AD29" s="69">
        <v>15.211015355586984</v>
      </c>
      <c r="AE29" s="68">
        <v>14.996843595921142</v>
      </c>
      <c r="AF29" s="68">
        <v>0</v>
      </c>
      <c r="AG29" s="68">
        <v>1</v>
      </c>
      <c r="AH29" s="69">
        <v>187.76704239050548</v>
      </c>
      <c r="AI29" s="69">
        <v>700.08855403264363</v>
      </c>
      <c r="AJ29" s="69">
        <v>1141.5528525670368</v>
      </c>
      <c r="AK29" s="69">
        <v>584.79994147618606</v>
      </c>
      <c r="AL29" s="69">
        <v>1329.0695189793905</v>
      </c>
      <c r="AM29" s="69">
        <v>2044.9638490041093</v>
      </c>
      <c r="AN29" s="69">
        <v>591.28427766164145</v>
      </c>
      <c r="AO29" s="69">
        <v>2078.9739512125652</v>
      </c>
      <c r="AP29" s="69">
        <v>304.57433207829791</v>
      </c>
      <c r="AQ29" s="69">
        <v>854.7662220637003</v>
      </c>
    </row>
    <row r="30" spans="1:43" x14ac:dyDescent="0.25">
      <c r="A30" s="11">
        <v>41540</v>
      </c>
      <c r="B30" s="59"/>
      <c r="C30" s="60">
        <v>54.14494364261634</v>
      </c>
      <c r="D30" s="60">
        <v>648.0357954720655</v>
      </c>
      <c r="E30" s="60">
        <v>10.41116863737504</v>
      </c>
      <c r="F30" s="60">
        <v>0</v>
      </c>
      <c r="G30" s="60">
        <v>2129.0278671264673</v>
      </c>
      <c r="H30" s="61">
        <v>25.258691038688013</v>
      </c>
      <c r="I30" s="59">
        <v>445.31887904802937</v>
      </c>
      <c r="J30" s="60">
        <v>1207.8039964675891</v>
      </c>
      <c r="K30" s="60">
        <v>26.15423137247565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395.7331504523342</v>
      </c>
      <c r="V30" s="62">
        <v>49.414125313402764</v>
      </c>
      <c r="W30" s="62">
        <v>32.831604619348504</v>
      </c>
      <c r="X30" s="62">
        <v>4.0995934332167874</v>
      </c>
      <c r="Y30" s="66">
        <v>331.1517113935401</v>
      </c>
      <c r="Z30" s="66">
        <v>41.350016155695194</v>
      </c>
      <c r="AA30" s="67">
        <v>0</v>
      </c>
      <c r="AB30" s="68">
        <v>0</v>
      </c>
      <c r="AC30" s="69">
        <v>0</v>
      </c>
      <c r="AD30" s="69">
        <v>15.089199619160775</v>
      </c>
      <c r="AE30" s="68">
        <v>13.315246958961515</v>
      </c>
      <c r="AF30" s="68">
        <v>1.6626387783205967</v>
      </c>
      <c r="AG30" s="68">
        <v>0.88899376003503294</v>
      </c>
      <c r="AH30" s="69">
        <v>302.63707350889842</v>
      </c>
      <c r="AI30" s="69">
        <v>841.20005931854234</v>
      </c>
      <c r="AJ30" s="69">
        <v>2288.0034422556564</v>
      </c>
      <c r="AK30" s="69">
        <v>572.70404599507651</v>
      </c>
      <c r="AL30" s="69">
        <v>2307.9855548858641</v>
      </c>
      <c r="AM30" s="69">
        <v>2326.3211391448972</v>
      </c>
      <c r="AN30" s="69">
        <v>559.17329365412388</v>
      </c>
      <c r="AO30" s="69">
        <v>2119.5396654764809</v>
      </c>
      <c r="AP30" s="69">
        <v>371.5751759211222</v>
      </c>
      <c r="AQ30" s="69">
        <v>733.07759345372506</v>
      </c>
    </row>
    <row r="31" spans="1:43" x14ac:dyDescent="0.25">
      <c r="A31" s="11">
        <v>41541</v>
      </c>
      <c r="B31" s="59"/>
      <c r="C31" s="60">
        <v>89.131499747435413</v>
      </c>
      <c r="D31" s="60">
        <v>1047.6374313354495</v>
      </c>
      <c r="E31" s="60">
        <v>16.862828668455265</v>
      </c>
      <c r="F31" s="60">
        <v>0</v>
      </c>
      <c r="G31" s="60">
        <v>3054.9993614196806</v>
      </c>
      <c r="H31" s="61">
        <v>45.184910692771311</v>
      </c>
      <c r="I31" s="59">
        <v>392.45665804545098</v>
      </c>
      <c r="J31" s="60">
        <v>998.65478967030901</v>
      </c>
      <c r="K31" s="60">
        <v>21.444387001792585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315.1138275151651</v>
      </c>
      <c r="V31" s="62">
        <v>120.1537118694673</v>
      </c>
      <c r="W31" s="62">
        <v>27.463224927031074</v>
      </c>
      <c r="X31" s="62">
        <v>10.471798209902603</v>
      </c>
      <c r="Y31" s="66">
        <v>283.57084118923927</v>
      </c>
      <c r="Z31" s="66">
        <v>108.12629015841767</v>
      </c>
      <c r="AA31" s="67">
        <v>0</v>
      </c>
      <c r="AB31" s="68">
        <v>0</v>
      </c>
      <c r="AC31" s="69">
        <v>0</v>
      </c>
      <c r="AD31" s="69">
        <v>15.394139191839422</v>
      </c>
      <c r="AE31" s="68">
        <v>10.998379291455745</v>
      </c>
      <c r="AF31" s="68">
        <v>4.1937102755450848</v>
      </c>
      <c r="AG31" s="68">
        <v>0.72395434761954258</v>
      </c>
      <c r="AH31" s="69">
        <v>263.81142925421398</v>
      </c>
      <c r="AI31" s="69">
        <v>836.30122528076174</v>
      </c>
      <c r="AJ31" s="69">
        <v>2971.479194005331</v>
      </c>
      <c r="AK31" s="69">
        <v>563.25987011591587</v>
      </c>
      <c r="AL31" s="69">
        <v>3289.8101566314699</v>
      </c>
      <c r="AM31" s="69">
        <v>2595.2148139953615</v>
      </c>
      <c r="AN31" s="69">
        <v>558.5156070709229</v>
      </c>
      <c r="AO31" s="69">
        <v>2068.8368574778237</v>
      </c>
      <c r="AP31" s="69">
        <v>423.91645406087252</v>
      </c>
      <c r="AQ31" s="69">
        <v>877.18441492716477</v>
      </c>
    </row>
    <row r="32" spans="1:43" x14ac:dyDescent="0.25">
      <c r="A32" s="11">
        <v>41542</v>
      </c>
      <c r="B32" s="59"/>
      <c r="C32" s="60">
        <v>95.981949333349945</v>
      </c>
      <c r="D32" s="60">
        <v>1125.1592144012441</v>
      </c>
      <c r="E32" s="60">
        <v>17.916398706535471</v>
      </c>
      <c r="F32" s="60">
        <v>0</v>
      </c>
      <c r="G32" s="60">
        <v>3172.276793289187</v>
      </c>
      <c r="H32" s="61">
        <v>45.59734024405487</v>
      </c>
      <c r="I32" s="59">
        <v>418.89962304433215</v>
      </c>
      <c r="J32" s="60">
        <v>997.93822746276896</v>
      </c>
      <c r="K32" s="60">
        <v>21.440957163771014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301.19823207977788</v>
      </c>
      <c r="V32" s="62">
        <v>127.59052545636777</v>
      </c>
      <c r="W32" s="62">
        <v>25.92256946318032</v>
      </c>
      <c r="X32" s="62">
        <v>10.981054689956895</v>
      </c>
      <c r="Y32" s="66">
        <v>246.91776499759877</v>
      </c>
      <c r="Z32" s="66">
        <v>104.59678718237315</v>
      </c>
      <c r="AA32" s="67">
        <v>0</v>
      </c>
      <c r="AB32" s="68">
        <v>0</v>
      </c>
      <c r="AC32" s="69">
        <v>0</v>
      </c>
      <c r="AD32" s="69">
        <v>15.19522861142956</v>
      </c>
      <c r="AE32" s="68">
        <v>10.53610538771502</v>
      </c>
      <c r="AF32" s="68">
        <v>4.4631975871829228</v>
      </c>
      <c r="AG32" s="68">
        <v>0.70243966705304239</v>
      </c>
      <c r="AH32" s="69">
        <v>292.61441006660459</v>
      </c>
      <c r="AI32" s="69">
        <v>867.88253205617298</v>
      </c>
      <c r="AJ32" s="69">
        <v>3015.4027128855387</v>
      </c>
      <c r="AK32" s="69">
        <v>568.32377761205043</v>
      </c>
      <c r="AL32" s="69">
        <v>3420.7072311401362</v>
      </c>
      <c r="AM32" s="69">
        <v>2659.1995001475016</v>
      </c>
      <c r="AN32" s="69">
        <v>591.26657587687168</v>
      </c>
      <c r="AO32" s="69">
        <v>2067.8797940572103</v>
      </c>
      <c r="AP32" s="69">
        <v>385.06639259656276</v>
      </c>
      <c r="AQ32" s="69">
        <v>956.98781073888119</v>
      </c>
    </row>
    <row r="33" spans="1:43" x14ac:dyDescent="0.25">
      <c r="A33" s="11">
        <v>41543</v>
      </c>
      <c r="B33" s="59"/>
      <c r="C33" s="60">
        <v>95.771740245819061</v>
      </c>
      <c r="D33" s="60">
        <v>1075.1963923136404</v>
      </c>
      <c r="E33" s="60">
        <v>17.936850701769171</v>
      </c>
      <c r="F33" s="60">
        <v>0</v>
      </c>
      <c r="G33" s="60">
        <v>3096.8975190480633</v>
      </c>
      <c r="H33" s="61">
        <v>45.728878366947164</v>
      </c>
      <c r="I33" s="59">
        <v>421.60444806416814</v>
      </c>
      <c r="J33" s="60">
        <v>997.29893086751451</v>
      </c>
      <c r="K33" s="60">
        <v>21.739087118705076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315.64453314600951</v>
      </c>
      <c r="V33" s="62">
        <v>129.14800787046434</v>
      </c>
      <c r="W33" s="62">
        <v>27.016141620810437</v>
      </c>
      <c r="X33" s="62">
        <v>11.053829559151723</v>
      </c>
      <c r="Y33" s="66">
        <v>251.7102442439668</v>
      </c>
      <c r="Z33" s="66">
        <v>102.98887891607795</v>
      </c>
      <c r="AA33" s="67">
        <v>0</v>
      </c>
      <c r="AB33" s="68">
        <v>0</v>
      </c>
      <c r="AC33" s="69">
        <v>0</v>
      </c>
      <c r="AD33" s="69">
        <v>15.498946836921901</v>
      </c>
      <c r="AE33" s="68">
        <v>10.868653113661869</v>
      </c>
      <c r="AF33" s="68">
        <v>4.4469799108329511</v>
      </c>
      <c r="AG33" s="68">
        <v>0.70964439382161071</v>
      </c>
      <c r="AH33" s="69">
        <v>246.46321408748628</v>
      </c>
      <c r="AI33" s="69">
        <v>819.86428006490075</v>
      </c>
      <c r="AJ33" s="69">
        <v>3063.983828353882</v>
      </c>
      <c r="AK33" s="69">
        <v>571.00797589619958</v>
      </c>
      <c r="AL33" s="69">
        <v>3449.7351037343342</v>
      </c>
      <c r="AM33" s="69">
        <v>2734.3691940307617</v>
      </c>
      <c r="AN33" s="69">
        <v>580.4843548774719</v>
      </c>
      <c r="AO33" s="69">
        <v>2144.8911056518555</v>
      </c>
      <c r="AP33" s="69">
        <v>381.59304366111752</v>
      </c>
      <c r="AQ33" s="69">
        <v>820.33821309407551</v>
      </c>
    </row>
    <row r="34" spans="1:43" x14ac:dyDescent="0.25">
      <c r="A34" s="11">
        <v>41544</v>
      </c>
      <c r="B34" s="59"/>
      <c r="C34" s="60">
        <v>95.879539116223867</v>
      </c>
      <c r="D34" s="60">
        <v>1065.0899296442692</v>
      </c>
      <c r="E34" s="60">
        <v>17.93042812397082</v>
      </c>
      <c r="F34" s="60">
        <v>0</v>
      </c>
      <c r="G34" s="60">
        <v>2929.4482437133879</v>
      </c>
      <c r="H34" s="61">
        <v>45.755755428473222</v>
      </c>
      <c r="I34" s="59">
        <v>365.39446986516361</v>
      </c>
      <c r="J34" s="60">
        <v>855.5077075322472</v>
      </c>
      <c r="K34" s="60">
        <v>18.664386756221464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270.31001291808315</v>
      </c>
      <c r="V34" s="62">
        <v>129.23365394270778</v>
      </c>
      <c r="W34" s="62">
        <v>24.061889071051016</v>
      </c>
      <c r="X34" s="62">
        <v>11.503850012239054</v>
      </c>
      <c r="Y34" s="66">
        <v>218.15598380465937</v>
      </c>
      <c r="Z34" s="66">
        <v>104.29911423623869</v>
      </c>
      <c r="AA34" s="67">
        <v>0</v>
      </c>
      <c r="AB34" s="68">
        <v>0</v>
      </c>
      <c r="AC34" s="69">
        <v>0</v>
      </c>
      <c r="AD34" s="69">
        <v>14.093632190095041</v>
      </c>
      <c r="AE34" s="68">
        <v>9.4121529946174611</v>
      </c>
      <c r="AF34" s="68">
        <v>4.4998959151795495</v>
      </c>
      <c r="AG34" s="68">
        <v>0.67654685917538171</v>
      </c>
      <c r="AH34" s="69">
        <v>325.24571625391644</v>
      </c>
      <c r="AI34" s="69">
        <v>895.54933954874684</v>
      </c>
      <c r="AJ34" s="69">
        <v>3045.8654991149901</v>
      </c>
      <c r="AK34" s="69">
        <v>559.26787296930945</v>
      </c>
      <c r="AL34" s="69">
        <v>3497.3537338256838</v>
      </c>
      <c r="AM34" s="69">
        <v>2707.3576766967772</v>
      </c>
      <c r="AN34" s="69">
        <v>562.76846119562788</v>
      </c>
      <c r="AO34" s="69">
        <v>1953.1435221354168</v>
      </c>
      <c r="AP34" s="69">
        <v>377.59595489501953</v>
      </c>
      <c r="AQ34" s="69">
        <v>637.66765756607049</v>
      </c>
    </row>
    <row r="35" spans="1:43" x14ac:dyDescent="0.25">
      <c r="A35" s="11">
        <v>41545</v>
      </c>
      <c r="B35" s="59"/>
      <c r="C35" s="60">
        <v>96.130912903944875</v>
      </c>
      <c r="D35" s="60">
        <v>1064.2773131688441</v>
      </c>
      <c r="E35" s="60">
        <v>18.233862356344872</v>
      </c>
      <c r="F35" s="60">
        <v>0</v>
      </c>
      <c r="G35" s="60">
        <v>2913.0679518381785</v>
      </c>
      <c r="H35" s="61">
        <v>45.570623075962082</v>
      </c>
      <c r="I35" s="59">
        <v>350.55639985402439</v>
      </c>
      <c r="J35" s="60">
        <v>819.08601938883351</v>
      </c>
      <c r="K35" s="60">
        <v>17.650960825880414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257.16763374728754</v>
      </c>
      <c r="V35" s="62">
        <v>128.61296762702173</v>
      </c>
      <c r="W35" s="62">
        <v>22.837504269615071</v>
      </c>
      <c r="X35" s="62">
        <v>11.421340837145504</v>
      </c>
      <c r="Y35" s="66">
        <v>208.68396712867735</v>
      </c>
      <c r="Z35" s="66">
        <v>104.36563854288733</v>
      </c>
      <c r="AA35" s="67">
        <v>0</v>
      </c>
      <c r="AB35" s="68">
        <v>0</v>
      </c>
      <c r="AC35" s="69">
        <v>0</v>
      </c>
      <c r="AD35" s="69">
        <v>13.670838291115254</v>
      </c>
      <c r="AE35" s="68">
        <v>8.9993220320392453</v>
      </c>
      <c r="AF35" s="68">
        <v>4.5006811172403784</v>
      </c>
      <c r="AG35" s="68">
        <v>0.66661629130949196</v>
      </c>
      <c r="AH35" s="69">
        <v>286.44158415794368</v>
      </c>
      <c r="AI35" s="69">
        <v>858.1332555135092</v>
      </c>
      <c r="AJ35" s="69">
        <v>3048.9337477366125</v>
      </c>
      <c r="AK35" s="69">
        <v>560.19927533467603</v>
      </c>
      <c r="AL35" s="69">
        <v>3306.1484788258872</v>
      </c>
      <c r="AM35" s="69">
        <v>2731.379113133748</v>
      </c>
      <c r="AN35" s="69">
        <v>561.78430856068917</v>
      </c>
      <c r="AO35" s="69">
        <v>2002.3500321706135</v>
      </c>
      <c r="AP35" s="69">
        <v>377.59595489501953</v>
      </c>
      <c r="AQ35" s="69">
        <v>725.53327366511041</v>
      </c>
    </row>
    <row r="36" spans="1:43" x14ac:dyDescent="0.25">
      <c r="A36" s="11">
        <v>41546</v>
      </c>
      <c r="B36" s="59"/>
      <c r="C36" s="60">
        <v>95.850251499812131</v>
      </c>
      <c r="D36" s="60">
        <v>1061.4911432266238</v>
      </c>
      <c r="E36" s="60">
        <v>18.251590904593488</v>
      </c>
      <c r="F36" s="60">
        <v>0</v>
      </c>
      <c r="G36" s="60">
        <v>2914.8039824167822</v>
      </c>
      <c r="H36" s="61">
        <v>45.441315289338569</v>
      </c>
      <c r="I36" s="59">
        <v>374.96166566212958</v>
      </c>
      <c r="J36" s="60">
        <v>876.86189530690399</v>
      </c>
      <c r="K36" s="60">
        <v>18.999407685796434</v>
      </c>
      <c r="L36" s="50">
        <v>2.1494472026825223E-2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255.98134975208509</v>
      </c>
      <c r="V36" s="62">
        <v>118.79160553839134</v>
      </c>
      <c r="W36" s="62">
        <v>22.266025776436255</v>
      </c>
      <c r="X36" s="62">
        <v>10.332850238908955</v>
      </c>
      <c r="Y36" s="66">
        <v>208.62940569847197</v>
      </c>
      <c r="Z36" s="66">
        <v>96.817295828170089</v>
      </c>
      <c r="AA36" s="67">
        <v>0</v>
      </c>
      <c r="AB36" s="68">
        <v>0</v>
      </c>
      <c r="AC36" s="69">
        <v>0</v>
      </c>
      <c r="AD36" s="69">
        <v>13.332255286971737</v>
      </c>
      <c r="AE36" s="68">
        <v>8.9567691314955216</v>
      </c>
      <c r="AF36" s="68">
        <v>4.1565097871290888</v>
      </c>
      <c r="AG36" s="68">
        <v>0.6830304752211398</v>
      </c>
      <c r="AH36" s="69">
        <v>227.6860054254532</v>
      </c>
      <c r="AI36" s="69">
        <v>798.21511373519888</v>
      </c>
      <c r="AJ36" s="69">
        <v>3033.1757991790769</v>
      </c>
      <c r="AK36" s="69">
        <v>568.25856965382889</v>
      </c>
      <c r="AL36" s="69">
        <v>3274.2181906382248</v>
      </c>
      <c r="AM36" s="69">
        <v>2791.104830932617</v>
      </c>
      <c r="AN36" s="69">
        <v>555.93092498779288</v>
      </c>
      <c r="AO36" s="69">
        <v>1836.7763820648195</v>
      </c>
      <c r="AP36" s="69">
        <v>375.4223037083944</v>
      </c>
      <c r="AQ36" s="69">
        <v>816.31708478927624</v>
      </c>
    </row>
    <row r="37" spans="1:43" x14ac:dyDescent="0.25">
      <c r="A37" s="11">
        <v>41547</v>
      </c>
      <c r="B37" s="59"/>
      <c r="C37" s="60">
        <v>96.031961731116056</v>
      </c>
      <c r="D37" s="60">
        <v>1064.0109393437722</v>
      </c>
      <c r="E37" s="60">
        <v>17.919434347748734</v>
      </c>
      <c r="F37" s="60">
        <v>0</v>
      </c>
      <c r="G37" s="60">
        <v>2915.3396324157675</v>
      </c>
      <c r="H37" s="61">
        <v>45.242003065347802</v>
      </c>
      <c r="I37" s="59">
        <v>423.92449563344326</v>
      </c>
      <c r="J37" s="60">
        <v>1001.7767465591426</v>
      </c>
      <c r="K37" s="60">
        <v>22.046145466963438</v>
      </c>
      <c r="L37" s="60">
        <v>3.1606447696686447E-2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311.88953043589493</v>
      </c>
      <c r="V37" s="62">
        <v>128.40782807698017</v>
      </c>
      <c r="W37" s="62">
        <v>27.324164588538917</v>
      </c>
      <c r="X37" s="62">
        <v>11.249613361271106</v>
      </c>
      <c r="Y37" s="66">
        <v>255.04367200882172</v>
      </c>
      <c r="Z37" s="66">
        <v>105.00385807006683</v>
      </c>
      <c r="AA37" s="67">
        <v>0</v>
      </c>
      <c r="AB37" s="68">
        <v>0</v>
      </c>
      <c r="AC37" s="69">
        <v>0</v>
      </c>
      <c r="AD37" s="69">
        <v>15.731021018822993</v>
      </c>
      <c r="AE37" s="68">
        <v>10.93016282337725</v>
      </c>
      <c r="AF37" s="68">
        <v>4.5000499590867209</v>
      </c>
      <c r="AG37" s="68">
        <v>0.7083611209690569</v>
      </c>
      <c r="AH37" s="69">
        <v>199.05205869674683</v>
      </c>
      <c r="AI37" s="69">
        <v>781.88425833384201</v>
      </c>
      <c r="AJ37" s="69">
        <v>3091.8083875020347</v>
      </c>
      <c r="AK37" s="69">
        <v>573.45526329676306</v>
      </c>
      <c r="AL37" s="69">
        <v>3325.3691885630292</v>
      </c>
      <c r="AM37" s="69">
        <v>2757.1138809204094</v>
      </c>
      <c r="AN37" s="69">
        <v>573.70907834370928</v>
      </c>
      <c r="AO37" s="69">
        <v>1942.8306017557782</v>
      </c>
      <c r="AP37" s="69">
        <v>349.19002628326416</v>
      </c>
      <c r="AQ37" s="69">
        <v>883.56077473958328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2511.7668105105554</v>
      </c>
      <c r="D39" s="30">
        <f t="shared" si="0"/>
        <v>29681.442656697833</v>
      </c>
      <c r="E39" s="30">
        <f t="shared" si="0"/>
        <v>469.75045689741751</v>
      </c>
      <c r="F39" s="30">
        <f t="shared" si="0"/>
        <v>0</v>
      </c>
      <c r="G39" s="30">
        <f t="shared" si="0"/>
        <v>86912.036321640029</v>
      </c>
      <c r="H39" s="31">
        <f t="shared" si="0"/>
        <v>1189.1505164782209</v>
      </c>
      <c r="I39" s="29">
        <f t="shared" si="0"/>
        <v>14880.781087303174</v>
      </c>
      <c r="J39" s="30">
        <f t="shared" si="0"/>
        <v>35963.31953131756</v>
      </c>
      <c r="K39" s="30">
        <f t="shared" si="0"/>
        <v>791.86486591349023</v>
      </c>
      <c r="L39" s="30">
        <f t="shared" si="0"/>
        <v>5.3100919723511671E-2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11468.388568493458</v>
      </c>
      <c r="V39" s="255">
        <f t="shared" si="0"/>
        <v>3297.0893202516077</v>
      </c>
      <c r="W39" s="255">
        <f t="shared" si="0"/>
        <v>978.9263388709046</v>
      </c>
      <c r="X39" s="255">
        <f t="shared" si="0"/>
        <v>280.26098188203355</v>
      </c>
      <c r="Y39" s="255">
        <f t="shared" si="0"/>
        <v>9214.0310284563402</v>
      </c>
      <c r="Z39" s="255">
        <f t="shared" si="0"/>
        <v>2642.3328386516914</v>
      </c>
      <c r="AA39" s="263">
        <f t="shared" si="0"/>
        <v>0</v>
      </c>
      <c r="AB39" s="266">
        <f t="shared" si="0"/>
        <v>0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I39" si="1">SUM(AH8:AH38)</f>
        <v>7618.0962791760767</v>
      </c>
      <c r="AI39" s="266">
        <f t="shared" si="1"/>
        <v>24222.086514981587</v>
      </c>
      <c r="AJ39" s="266">
        <f t="shared" ref="AJ39:AQ39" si="2">SUM(AJ8:AJ38)</f>
        <v>75855.550650596619</v>
      </c>
      <c r="AK39" s="266">
        <f t="shared" si="2"/>
        <v>17369.330327002212</v>
      </c>
      <c r="AL39" s="266">
        <f t="shared" si="2"/>
        <v>102171.65745951334</v>
      </c>
      <c r="AM39" s="266">
        <f t="shared" si="2"/>
        <v>78844.401761627203</v>
      </c>
      <c r="AN39" s="266">
        <f t="shared" si="2"/>
        <v>18485.124835205075</v>
      </c>
      <c r="AO39" s="266">
        <f t="shared" si="2"/>
        <v>67386.688253275555</v>
      </c>
      <c r="AP39" s="266">
        <f t="shared" si="2"/>
        <v>12496.784204383692</v>
      </c>
      <c r="AQ39" s="266">
        <f t="shared" si="2"/>
        <v>26894.726231257118</v>
      </c>
    </row>
    <row r="40" spans="1:43" ht="15.75" thickBot="1" x14ac:dyDescent="0.3">
      <c r="A40" s="47" t="s">
        <v>172</v>
      </c>
      <c r="B40" s="32">
        <f>Projection!$AC$30</f>
        <v>0.91139353199999984</v>
      </c>
      <c r="C40" s="33">
        <f>Projection!$AC$28</f>
        <v>1.4375491199999999</v>
      </c>
      <c r="D40" s="33">
        <f>Projection!$AC$31</f>
        <v>2.0999286000000001</v>
      </c>
      <c r="E40" s="33">
        <f>Projection!$AC$26</f>
        <v>3.8734129199999998</v>
      </c>
      <c r="F40" s="33">
        <f>Projection!$AC$23</f>
        <v>5.8379999999999994E-2</v>
      </c>
      <c r="G40" s="33">
        <f>Projection!$AC$24</f>
        <v>5.3200000000000004E-2</v>
      </c>
      <c r="H40" s="34">
        <f>Projection!$AC$29</f>
        <v>3.6371774160000006</v>
      </c>
      <c r="I40" s="32">
        <f>Projection!$AC$30</f>
        <v>0.91139353199999984</v>
      </c>
      <c r="J40" s="33">
        <f>Projection!$AC$28</f>
        <v>1.4375491199999999</v>
      </c>
      <c r="K40" s="33">
        <f>Projection!$AC$26</f>
        <v>3.8734129199999998</v>
      </c>
      <c r="L40" s="33">
        <f>Projection!$AC$25</f>
        <v>0.37613399999999997</v>
      </c>
      <c r="M40" s="33">
        <f>Projection!$AC$23</f>
        <v>5.8379999999999994E-2</v>
      </c>
      <c r="N40" s="34">
        <f>Projection!$AC$23</f>
        <v>5.8379999999999994E-2</v>
      </c>
      <c r="O40" s="257">
        <v>15.77</v>
      </c>
      <c r="P40" s="258">
        <v>15.77</v>
      </c>
      <c r="Q40" s="258">
        <v>15.77</v>
      </c>
      <c r="R40" s="258">
        <v>15.77</v>
      </c>
      <c r="S40" s="258">
        <f>Projection!$AC$28</f>
        <v>1.4375491199999999</v>
      </c>
      <c r="T40" s="259">
        <f>Projection!$AC$28</f>
        <v>1.4375491199999999</v>
      </c>
      <c r="U40" s="257">
        <f>Projection!$AC$27</f>
        <v>0.26250000000000001</v>
      </c>
      <c r="V40" s="258">
        <f>Projection!$AC$27</f>
        <v>0.26250000000000001</v>
      </c>
      <c r="W40" s="258">
        <f>Projection!$AC$22</f>
        <v>1.2186999999999999</v>
      </c>
      <c r="X40" s="258">
        <f>Projection!$AC$22</f>
        <v>1.2186999999999999</v>
      </c>
      <c r="Y40" s="258">
        <f>Projection!$AC$31</f>
        <v>2.0999286000000001</v>
      </c>
      <c r="Z40" s="258">
        <f>Projection!$AC$31</f>
        <v>2.0999286000000001</v>
      </c>
      <c r="AA40" s="264">
        <v>0</v>
      </c>
      <c r="AB40" s="267">
        <f>Projection!$AC$27</f>
        <v>0.26250000000000001</v>
      </c>
      <c r="AC40" s="267">
        <f>Projection!$AC$30</f>
        <v>0.91139353199999984</v>
      </c>
      <c r="AD40" s="270">
        <f>SUM(AD8:AD38)</f>
        <v>517.70740485091994</v>
      </c>
      <c r="AE40" s="270">
        <f>SUM(AE8:AE38)</f>
        <v>394.23628977080921</v>
      </c>
      <c r="AF40" s="270">
        <f>SUM(AF8:AF38)</f>
        <v>114.55161878737691</v>
      </c>
      <c r="AG40" s="270">
        <f>IF(SUM(AE40:AF40)&gt;0, AE40/(AE40+AF40), "")</f>
        <v>0.77485388929152088</v>
      </c>
      <c r="AH40" s="306">
        <v>7.4999999999999997E-2</v>
      </c>
      <c r="AI40" s="306">
        <f t="shared" ref="AI40:AQ40" si="3">$AH$40</f>
        <v>7.4999999999999997E-2</v>
      </c>
      <c r="AJ40" s="306">
        <f t="shared" si="3"/>
        <v>7.4999999999999997E-2</v>
      </c>
      <c r="AK40" s="306">
        <f t="shared" si="3"/>
        <v>7.4999999999999997E-2</v>
      </c>
      <c r="AL40" s="306">
        <f t="shared" si="3"/>
        <v>7.4999999999999997E-2</v>
      </c>
      <c r="AM40" s="306">
        <f t="shared" si="3"/>
        <v>7.4999999999999997E-2</v>
      </c>
      <c r="AN40" s="306">
        <f t="shared" si="3"/>
        <v>7.4999999999999997E-2</v>
      </c>
      <c r="AO40" s="306">
        <f t="shared" si="3"/>
        <v>7.4999999999999997E-2</v>
      </c>
      <c r="AP40" s="306">
        <f t="shared" si="3"/>
        <v>7.4999999999999997E-2</v>
      </c>
      <c r="AQ40" s="306">
        <f t="shared" si="3"/>
        <v>7.4999999999999997E-2</v>
      </c>
    </row>
    <row r="41" spans="1:43" ht="16.5" thickTop="1" thickBot="1" x14ac:dyDescent="0.3">
      <c r="A41" s="48" t="s">
        <v>26</v>
      </c>
      <c r="B41" s="35">
        <f t="shared" ref="B41:AC41" si="4">B40*B39</f>
        <v>0</v>
      </c>
      <c r="C41" s="36">
        <f t="shared" si="4"/>
        <v>3610.7881680946552</v>
      </c>
      <c r="D41" s="36">
        <f t="shared" si="4"/>
        <v>62328.910324059761</v>
      </c>
      <c r="E41" s="36">
        <f t="shared" si="4"/>
        <v>1819.5374889223599</v>
      </c>
      <c r="F41" s="36">
        <f t="shared" si="4"/>
        <v>0</v>
      </c>
      <c r="G41" s="36">
        <f t="shared" si="4"/>
        <v>4623.7203323112499</v>
      </c>
      <c r="H41" s="37">
        <f t="shared" si="4"/>
        <v>4325.1514027593212</v>
      </c>
      <c r="I41" s="35">
        <f t="shared" si="4"/>
        <v>13562.247634076039</v>
      </c>
      <c r="J41" s="36">
        <f t="shared" si="4"/>
        <v>51699.038344524364</v>
      </c>
      <c r="K41" s="36">
        <f t="shared" si="4"/>
        <v>3067.2196025233807</v>
      </c>
      <c r="L41" s="36">
        <f t="shared" si="4"/>
        <v>1.9973061339283338E-2</v>
      </c>
      <c r="M41" s="36">
        <f t="shared" si="4"/>
        <v>0</v>
      </c>
      <c r="N41" s="37">
        <f t="shared" si="4"/>
        <v>0</v>
      </c>
      <c r="O41" s="260">
        <f t="shared" si="4"/>
        <v>0</v>
      </c>
      <c r="P41" s="261">
        <f t="shared" si="4"/>
        <v>0</v>
      </c>
      <c r="Q41" s="261">
        <f t="shared" si="4"/>
        <v>0</v>
      </c>
      <c r="R41" s="261">
        <f t="shared" si="4"/>
        <v>0</v>
      </c>
      <c r="S41" s="261">
        <f t="shared" si="4"/>
        <v>0</v>
      </c>
      <c r="T41" s="262">
        <f t="shared" si="4"/>
        <v>0</v>
      </c>
      <c r="U41" s="260">
        <f t="shared" si="4"/>
        <v>3010.4519992295327</v>
      </c>
      <c r="V41" s="261">
        <f t="shared" si="4"/>
        <v>865.48594656604701</v>
      </c>
      <c r="W41" s="261">
        <f t="shared" si="4"/>
        <v>1193.0175291819714</v>
      </c>
      <c r="X41" s="261">
        <f t="shared" si="4"/>
        <v>341.55405861963425</v>
      </c>
      <c r="Y41" s="261">
        <f t="shared" si="4"/>
        <v>19348.807277942884</v>
      </c>
      <c r="Z41" s="261">
        <f t="shared" si="4"/>
        <v>5548.7102986038726</v>
      </c>
      <c r="AA41" s="265">
        <f t="shared" si="4"/>
        <v>0</v>
      </c>
      <c r="AB41" s="268">
        <f t="shared" si="4"/>
        <v>0</v>
      </c>
      <c r="AC41" s="268">
        <f t="shared" si="4"/>
        <v>0</v>
      </c>
      <c r="AH41" s="271">
        <f t="shared" ref="AH41:AI41" si="5">AH40*AH39</f>
        <v>571.35722093820573</v>
      </c>
      <c r="AI41" s="271">
        <f t="shared" si="5"/>
        <v>1816.656488623619</v>
      </c>
      <c r="AJ41" s="271">
        <f t="shared" ref="AJ41:AQ41" si="6">AJ40*AJ39</f>
        <v>5689.1662987947466</v>
      </c>
      <c r="AK41" s="271">
        <f t="shared" si="6"/>
        <v>1302.6997745251658</v>
      </c>
      <c r="AL41" s="271">
        <f t="shared" si="6"/>
        <v>7662.8743094635001</v>
      </c>
      <c r="AM41" s="271">
        <f t="shared" si="6"/>
        <v>5913.3301321220397</v>
      </c>
      <c r="AN41" s="271">
        <f t="shared" si="6"/>
        <v>1386.3843626403807</v>
      </c>
      <c r="AO41" s="271">
        <f t="shared" si="6"/>
        <v>5054.0016189956668</v>
      </c>
      <c r="AP41" s="271">
        <f t="shared" si="6"/>
        <v>937.25881532877679</v>
      </c>
      <c r="AQ41" s="271">
        <f t="shared" si="6"/>
        <v>2017.1044673442839</v>
      </c>
    </row>
    <row r="42" spans="1:43" ht="49.5" customHeight="1" thickTop="1" thickBot="1" x14ac:dyDescent="0.3">
      <c r="A42" s="562" t="s">
        <v>234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212.86</v>
      </c>
      <c r="AI42" s="271" t="s">
        <v>197</v>
      </c>
      <c r="AJ42" s="271">
        <v>380.21</v>
      </c>
      <c r="AK42" s="271">
        <v>39.880000000000003</v>
      </c>
      <c r="AL42" s="271">
        <v>337.02</v>
      </c>
      <c r="AM42" s="271">
        <v>2339.5100000000002</v>
      </c>
      <c r="AN42" s="271">
        <v>126.86</v>
      </c>
      <c r="AO42" s="271" t="s">
        <v>197</v>
      </c>
      <c r="AP42" s="271">
        <v>39.880000000000003</v>
      </c>
      <c r="AQ42" s="271">
        <v>168.31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61.5" customHeight="1" thickTop="1" thickBot="1" x14ac:dyDescent="0.3">
      <c r="A44" s="275" t="s">
        <v>135</v>
      </c>
      <c r="B44" s="276">
        <f>SUM(B41:AC41)</f>
        <v>175344.66038047639</v>
      </c>
      <c r="C44" s="12"/>
      <c r="D44" s="275" t="s">
        <v>135</v>
      </c>
      <c r="E44" s="276">
        <f>SUM(B41:H41)+P41+R41+T41+V41+X41+Z41</f>
        <v>83463.858019936888</v>
      </c>
      <c r="F44" s="12"/>
      <c r="G44" s="275" t="s">
        <v>135</v>
      </c>
      <c r="H44" s="276">
        <f>SUM(I41:N41)+O41+Q41+S41+U41+W41+Y41</f>
        <v>91880.802360539528</v>
      </c>
      <c r="I44" s="12"/>
      <c r="J44" s="275" t="s">
        <v>198</v>
      </c>
      <c r="K44" s="276">
        <v>88165.85</v>
      </c>
      <c r="L44" s="12"/>
      <c r="M44" s="12"/>
      <c r="N44" s="12"/>
      <c r="O44" s="12"/>
      <c r="P44" s="12"/>
      <c r="Q44" s="12"/>
      <c r="R44" s="294" t="s">
        <v>135</v>
      </c>
      <c r="S44" s="295"/>
      <c r="T44" s="290" t="s">
        <v>167</v>
      </c>
      <c r="U44" s="248" t="s">
        <v>168</v>
      </c>
    </row>
    <row r="45" spans="1:43" ht="60" customHeight="1" thickBot="1" x14ac:dyDescent="0.4">
      <c r="A45" s="277" t="s">
        <v>183</v>
      </c>
      <c r="B45" s="278">
        <f>SUM(AH41:AQ41)</f>
        <v>32350.833488776381</v>
      </c>
      <c r="C45" s="12"/>
      <c r="D45" s="277" t="s">
        <v>183</v>
      </c>
      <c r="E45" s="278">
        <f>AH41*(1-$AG$40)+AI41+AJ41*0.5+AL41+AM41*(1-$AG$40)+AN41*(1-$AG$40)+AO41*(1-$AG$40)+AP41*0.5+AQ41*0.5</f>
        <v>16711.325580749766</v>
      </c>
      <c r="F45" s="24"/>
      <c r="G45" s="277" t="s">
        <v>183</v>
      </c>
      <c r="H45" s="278">
        <f>AH41*AG40+AJ41*0.5+AK41+AM41*AG40+AN41*AG40+AO41*AG40+AP41*0.5+AQ41*0.5</f>
        <v>15639.507908026619</v>
      </c>
      <c r="I45" s="12"/>
      <c r="J45" s="12"/>
      <c r="K45" s="281"/>
      <c r="L45" s="12"/>
      <c r="M45" s="12"/>
      <c r="N45" s="12"/>
      <c r="O45" s="12"/>
      <c r="P45" s="12"/>
      <c r="Q45" s="12"/>
      <c r="R45" s="292" t="s">
        <v>141</v>
      </c>
      <c r="S45" s="293"/>
      <c r="T45" s="247">
        <f>$W$39+$X$39</f>
        <v>1259.1873207529381</v>
      </c>
      <c r="U45" s="249">
        <f>(T45*8.34*0.895)/27000</f>
        <v>0.3481093303072651</v>
      </c>
    </row>
    <row r="46" spans="1:43" ht="32.25" thickBot="1" x14ac:dyDescent="0.3">
      <c r="A46" s="279" t="s">
        <v>184</v>
      </c>
      <c r="B46" s="280">
        <f>SUM(AH42:AQ42)</f>
        <v>3644.53</v>
      </c>
      <c r="C46" s="12"/>
      <c r="D46" s="279" t="s">
        <v>184</v>
      </c>
      <c r="E46" s="280">
        <f>AH42*(1-$AG$40)+AJ42*0.5+AL42+AM42*(1-$AG$40)+AN42*(1-$AG$40)+AP42*0.5+AQ42*0.5</f>
        <v>1234.4382141934784</v>
      </c>
      <c r="F46" s="23"/>
      <c r="G46" s="279" t="s">
        <v>184</v>
      </c>
      <c r="H46" s="280">
        <f>AH42*AG40+AJ42*0.5+AK42+AM42*AG40+AN42*AG40+AP42*0.5+AQ42*0.5</f>
        <v>2410.0917858065218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292" t="s">
        <v>145</v>
      </c>
      <c r="S46" s="293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88165.85</v>
      </c>
      <c r="C47" s="12"/>
      <c r="D47" s="279" t="s">
        <v>187</v>
      </c>
      <c r="E47" s="280">
        <f>K44*0.5</f>
        <v>44082.925000000003</v>
      </c>
      <c r="F47" s="24"/>
      <c r="G47" s="279" t="s">
        <v>185</v>
      </c>
      <c r="H47" s="280">
        <f>K44*0.5</f>
        <v>44082.925000000003</v>
      </c>
      <c r="I47" s="12"/>
      <c r="J47" s="275" t="s">
        <v>198</v>
      </c>
      <c r="K47" s="276">
        <v>49980.83</v>
      </c>
      <c r="L47" s="12"/>
      <c r="M47" s="12"/>
      <c r="N47" s="12"/>
      <c r="O47" s="12"/>
      <c r="P47" s="12"/>
      <c r="Q47" s="12"/>
      <c r="R47" s="292" t="s">
        <v>148</v>
      </c>
      <c r="S47" s="293"/>
      <c r="T47" s="247">
        <f>$G$39</f>
        <v>86912.036321640029</v>
      </c>
      <c r="U47" s="249">
        <f>T47/40000</f>
        <v>2.1728009080410007</v>
      </c>
    </row>
    <row r="48" spans="1:43" ht="24" thickBot="1" x14ac:dyDescent="0.3">
      <c r="A48" s="279" t="s">
        <v>186</v>
      </c>
      <c r="B48" s="280">
        <f>K47</f>
        <v>49980.83</v>
      </c>
      <c r="C48" s="12"/>
      <c r="D48" s="279" t="s">
        <v>186</v>
      </c>
      <c r="E48" s="280">
        <f>K47*0.5</f>
        <v>24990.415000000001</v>
      </c>
      <c r="F48" s="23"/>
      <c r="G48" s="279" t="s">
        <v>186</v>
      </c>
      <c r="H48" s="280">
        <f>K47*0.5</f>
        <v>24990.415000000001</v>
      </c>
      <c r="I48" s="12"/>
      <c r="J48" s="12"/>
      <c r="K48" s="86"/>
      <c r="L48" s="12"/>
      <c r="M48" s="12"/>
      <c r="N48" s="12"/>
      <c r="O48" s="12"/>
      <c r="P48" s="12"/>
      <c r="Q48" s="12"/>
      <c r="R48" s="292" t="s">
        <v>150</v>
      </c>
      <c r="S48" s="293"/>
      <c r="T48" s="247">
        <f>$L$39</f>
        <v>5.3100919723511671E-2</v>
      </c>
      <c r="U48" s="249">
        <f>T48*9.34*0.107</f>
        <v>5.3067997153283086E-2</v>
      </c>
    </row>
    <row r="49" spans="1:21" ht="46.5" customHeight="1" thickTop="1" thickBot="1" x14ac:dyDescent="0.3">
      <c r="A49" s="284" t="s">
        <v>194</v>
      </c>
      <c r="B49" s="285">
        <f>AD40</f>
        <v>517.70740485091994</v>
      </c>
      <c r="C49" s="12"/>
      <c r="D49" s="284" t="s">
        <v>195</v>
      </c>
      <c r="E49" s="285">
        <f>AF40</f>
        <v>114.55161878737691</v>
      </c>
      <c r="F49" s="23"/>
      <c r="G49" s="284" t="s">
        <v>196</v>
      </c>
      <c r="H49" s="285">
        <f>AE40</f>
        <v>394.23628977080921</v>
      </c>
      <c r="I49" s="12"/>
      <c r="J49" s="12"/>
      <c r="K49" s="86"/>
      <c r="L49" s="12"/>
      <c r="M49" s="12"/>
      <c r="N49" s="12"/>
      <c r="O49" s="12"/>
      <c r="P49" s="12"/>
      <c r="Q49" s="12"/>
      <c r="R49" s="292" t="s">
        <v>152</v>
      </c>
      <c r="S49" s="293"/>
      <c r="T49" s="247">
        <f>$E$39+$K$39</f>
        <v>1261.6153228109079</v>
      </c>
      <c r="U49" s="249">
        <f>(T49*8.34*1.04)/45000</f>
        <v>0.24317214808739313</v>
      </c>
    </row>
    <row r="50" spans="1:21" ht="48" customHeight="1" thickTop="1" thickBot="1" x14ac:dyDescent="0.3">
      <c r="A50" s="284" t="s">
        <v>190</v>
      </c>
      <c r="B50" s="286">
        <f>(SUM(B44:B48)/AD40)</f>
        <v>675.06607128768349</v>
      </c>
      <c r="C50" s="12"/>
      <c r="D50" s="284" t="s">
        <v>188</v>
      </c>
      <c r="E50" s="286">
        <f>SUM(E44:E48)/AF40</f>
        <v>1488.2632268280665</v>
      </c>
      <c r="F50" s="23"/>
      <c r="G50" s="284" t="s">
        <v>189</v>
      </c>
      <c r="H50" s="286">
        <f>SUM(H44:H48)/AE40</f>
        <v>454.05191429342335</v>
      </c>
      <c r="I50" s="12"/>
      <c r="J50" s="12"/>
      <c r="K50" s="86"/>
      <c r="L50" s="12"/>
      <c r="M50" s="12"/>
      <c r="N50" s="12"/>
      <c r="O50" s="12"/>
      <c r="P50" s="12"/>
      <c r="Q50" s="12"/>
      <c r="R50" s="292" t="s">
        <v>153</v>
      </c>
      <c r="S50" s="293"/>
      <c r="T50" s="247">
        <f>$U$39+$V$39+$AB$39</f>
        <v>14765.477888745065</v>
      </c>
      <c r="U50" s="249">
        <f>T50/2000/8</f>
        <v>0.9228423680465665</v>
      </c>
    </row>
    <row r="51" spans="1:21" ht="48" customHeight="1" thickTop="1" thickBot="1" x14ac:dyDescent="0.3">
      <c r="A51" s="274" t="s">
        <v>191</v>
      </c>
      <c r="B51" s="287">
        <f>B50/1000</f>
        <v>0.67506607128768348</v>
      </c>
      <c r="C51" s="12"/>
      <c r="D51" s="274" t="s">
        <v>192</v>
      </c>
      <c r="E51" s="287">
        <f>E50/1000</f>
        <v>1.4882632268280664</v>
      </c>
      <c r="F51" s="12"/>
      <c r="G51" s="274" t="s">
        <v>193</v>
      </c>
      <c r="H51" s="287">
        <f>H50/1000</f>
        <v>0.45405191429342334</v>
      </c>
      <c r="I51" s="12"/>
      <c r="J51" s="12"/>
      <c r="K51" s="86"/>
      <c r="L51" s="12"/>
      <c r="M51" s="12"/>
      <c r="N51" s="12"/>
      <c r="O51" s="12"/>
      <c r="P51" s="12"/>
      <c r="Q51" s="12"/>
      <c r="R51" s="292" t="s">
        <v>154</v>
      </c>
      <c r="S51" s="293"/>
      <c r="T51" s="247">
        <f>$C$39+$J$39+$S$39+$T$39</f>
        <v>38475.086341828115</v>
      </c>
      <c r="U51" s="249">
        <f>(T51*8.34*1.4)/45000</f>
        <v>9.9830024028263331</v>
      </c>
    </row>
    <row r="52" spans="1:21" ht="48" customHeight="1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292" t="s">
        <v>155</v>
      </c>
      <c r="S52" s="293"/>
      <c r="T52" s="247">
        <f>$H$39</f>
        <v>1189.1505164782209</v>
      </c>
      <c r="U52" s="249">
        <f>(T52*8.34*1.135)/45000</f>
        <v>0.25014177497624868</v>
      </c>
    </row>
    <row r="53" spans="1:21" ht="47.25" customHeight="1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2" t="s">
        <v>156</v>
      </c>
      <c r="S53" s="293"/>
      <c r="T53" s="247">
        <f>$B$39+$I$39+$AC$39</f>
        <v>14880.781087303174</v>
      </c>
      <c r="U53" s="249">
        <f>(T53*8.34*1.029*0.03)/3300</f>
        <v>1.160952545289851</v>
      </c>
    </row>
    <row r="54" spans="1:21" ht="78.75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54"/>
      <c r="T54" s="251">
        <f>$D$39+$Y$39+$Z$39</f>
        <v>41537.806523805863</v>
      </c>
      <c r="U54" s="252">
        <f>(T54*1.54*8.34)/45000</f>
        <v>11.855443819314511</v>
      </c>
    </row>
    <row r="55" spans="1:21" ht="71.25" customHeight="1" thickTop="1" x14ac:dyDescent="0.25">
      <c r="A55" s="297"/>
      <c r="B55" s="297"/>
      <c r="C55" s="297"/>
      <c r="D55" s="297"/>
      <c r="E55" s="29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21" ht="94.5" customHeight="1" x14ac:dyDescent="0.25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21" ht="46.5" customHeight="1" x14ac:dyDescent="0.25">
      <c r="A57" s="593"/>
      <c r="B57" s="594"/>
      <c r="C57" s="594"/>
      <c r="D57" s="594"/>
      <c r="E57" s="594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21" ht="18.75" x14ac:dyDescent="0.25">
      <c r="A58" s="593"/>
      <c r="B58" s="594"/>
      <c r="C58" s="594"/>
      <c r="D58" s="594"/>
      <c r="E58" s="594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1" ht="15" customHeight="1" x14ac:dyDescent="0.25">
      <c r="A59" s="272"/>
      <c r="B59" s="273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21" x14ac:dyDescent="0.25">
      <c r="A60" s="273"/>
      <c r="B60" s="273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21" ht="15" customHeight="1" x14ac:dyDescent="0.25">
      <c r="A61" s="272"/>
      <c r="B61" s="273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21" x14ac:dyDescent="0.25">
      <c r="A62" s="273"/>
      <c r="B62" s="273"/>
      <c r="C62" s="12"/>
      <c r="D62" s="12"/>
      <c r="E62" s="12"/>
      <c r="F62" s="12"/>
      <c r="G62" s="12"/>
      <c r="H62" s="12"/>
      <c r="I62" s="12"/>
      <c r="J62" s="12"/>
      <c r="K62" s="12"/>
    </row>
    <row r="63" spans="1:21" x14ac:dyDescent="0.25">
      <c r="A63" s="12"/>
      <c r="B63" s="12"/>
      <c r="C63" s="12"/>
      <c r="D63" s="12"/>
      <c r="E63" s="12"/>
      <c r="F63" s="12"/>
      <c r="G63" s="12"/>
    </row>
    <row r="64" spans="1:21" x14ac:dyDescent="0.25">
      <c r="A64" s="12"/>
      <c r="B64" s="12"/>
      <c r="C64" s="12"/>
      <c r="D64" s="12"/>
      <c r="E64" s="12"/>
      <c r="F64" s="12"/>
      <c r="G64" s="12"/>
    </row>
    <row r="65" spans="1:25" x14ac:dyDescent="0.25">
      <c r="A65" s="12"/>
      <c r="B65" s="12"/>
      <c r="C65" s="12"/>
      <c r="D65" s="12"/>
      <c r="E65" s="12"/>
      <c r="F65" s="12"/>
      <c r="G65" s="12"/>
    </row>
    <row r="67" spans="1:25" x14ac:dyDescent="0.25">
      <c r="A67" s="45"/>
      <c r="B67" s="45"/>
      <c r="C67" s="45"/>
      <c r="D67" s="45"/>
      <c r="E67" s="45"/>
      <c r="F67" s="45"/>
      <c r="G67" s="45"/>
      <c r="H67" s="45"/>
    </row>
    <row r="68" spans="1:25" x14ac:dyDescent="0.25">
      <c r="A68" s="12"/>
      <c r="B68" s="12"/>
      <c r="S68" s="12"/>
      <c r="T68" s="12"/>
      <c r="U68" s="12"/>
      <c r="V68" s="12"/>
      <c r="W68" s="12"/>
      <c r="X68" s="12"/>
      <c r="Y68" s="12"/>
    </row>
    <row r="69" spans="1:25" x14ac:dyDescent="0.25">
      <c r="A69" s="12"/>
      <c r="B69" s="12"/>
      <c r="S69" s="12"/>
      <c r="T69" s="12"/>
      <c r="U69" s="12"/>
      <c r="V69" s="12"/>
      <c r="W69" s="12"/>
      <c r="X69" s="12"/>
      <c r="Y69" s="12"/>
    </row>
    <row r="70" spans="1:25" ht="93" customHeight="1" x14ac:dyDescent="0.25">
      <c r="A70" s="12"/>
      <c r="B70" s="12"/>
      <c r="S70" s="12"/>
      <c r="T70" s="12"/>
      <c r="U70" s="12"/>
      <c r="V70" s="12"/>
      <c r="W70" s="12"/>
      <c r="X70" s="12"/>
      <c r="Y70" s="12"/>
    </row>
    <row r="71" spans="1:25" ht="75" customHeight="1" x14ac:dyDescent="0.25">
      <c r="A71" s="12"/>
      <c r="B71" s="12"/>
    </row>
    <row r="72" spans="1:25" ht="51.75" customHeight="1" x14ac:dyDescent="0.25">
      <c r="A72" s="12"/>
      <c r="B72" s="12"/>
    </row>
    <row r="73" spans="1:25" x14ac:dyDescent="0.25">
      <c r="A73" s="12"/>
      <c r="B73" s="12"/>
      <c r="C73" s="12"/>
      <c r="D73" s="12"/>
    </row>
    <row r="74" spans="1:25" x14ac:dyDescent="0.25">
      <c r="A74" s="12"/>
      <c r="B74" s="12"/>
      <c r="C74" s="12"/>
      <c r="D74" s="12"/>
      <c r="E74" s="12"/>
    </row>
    <row r="75" spans="1:25" x14ac:dyDescent="0.25">
      <c r="A75" s="12"/>
      <c r="B75" s="12"/>
      <c r="C75" s="12"/>
      <c r="D75" s="12"/>
      <c r="E75" s="12"/>
    </row>
  </sheetData>
  <sheetProtection password="A25B" sheet="1" objects="1" scenarios="1" selectLockedCells="1" selectUnlockedCells="1"/>
  <mergeCells count="32">
    <mergeCell ref="R54:S54"/>
    <mergeCell ref="A54:E54"/>
    <mergeCell ref="A57:E57"/>
    <mergeCell ref="A58:E58"/>
    <mergeCell ref="J46:K46"/>
    <mergeCell ref="A53:E53"/>
    <mergeCell ref="B4:H5"/>
    <mergeCell ref="I4:N5"/>
    <mergeCell ref="J43:K43"/>
    <mergeCell ref="A42:K42"/>
    <mergeCell ref="AD4:AD5"/>
    <mergeCell ref="R43:U43"/>
    <mergeCell ref="A43:B43"/>
    <mergeCell ref="D43:E43"/>
    <mergeCell ref="G43:H43"/>
    <mergeCell ref="AE4:AE5"/>
    <mergeCell ref="AF4:AF5"/>
    <mergeCell ref="AG4:AG5"/>
    <mergeCell ref="O4:T5"/>
    <mergeCell ref="U4:AA5"/>
    <mergeCell ref="AB4:AB5"/>
    <mergeCell ref="AC4:AC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</mergeCells>
  <printOptions horizontalCentered="1"/>
  <pageMargins left="0.33" right="0.19" top="0.75" bottom="0.75" header="0.3" footer="0.3"/>
  <pageSetup paperSize="17" scale="68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6"/>
  <sheetViews>
    <sheetView topLeftCell="AI17" zoomScale="75" zoomScaleNormal="75" workbookViewId="0">
      <selection activeCell="I46" sqref="I46"/>
    </sheetView>
  </sheetViews>
  <sheetFormatPr defaultRowHeight="15" x14ac:dyDescent="0.25"/>
  <cols>
    <col min="1" max="1" width="26.2851562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5"/>
      <c r="O2" s="4"/>
      <c r="P2" s="4"/>
      <c r="Q2" s="4"/>
      <c r="R2" s="4"/>
    </row>
    <row r="3" spans="1:53" ht="15.75" thickBot="1" x14ac:dyDescent="0.3">
      <c r="A3" s="6"/>
      <c r="AZ3" t="s">
        <v>169</v>
      </c>
      <c r="BA3" s="253" t="s">
        <v>206</v>
      </c>
    </row>
    <row r="4" spans="1:53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</row>
    <row r="5" spans="1:53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0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53" x14ac:dyDescent="0.25">
      <c r="A8" s="11">
        <v>41548</v>
      </c>
      <c r="B8" s="49"/>
      <c r="C8" s="50">
        <v>95.918062281608883</v>
      </c>
      <c r="D8" s="50">
        <v>1063.3953321456938</v>
      </c>
      <c r="E8" s="50">
        <v>17.865078875919167</v>
      </c>
      <c r="F8" s="50">
        <v>0</v>
      </c>
      <c r="G8" s="50">
        <v>2914.2751664479556</v>
      </c>
      <c r="H8" s="51">
        <v>45.304195737838725</v>
      </c>
      <c r="I8" s="49">
        <v>385.55627427101018</v>
      </c>
      <c r="J8" s="50">
        <v>917.27033443451035</v>
      </c>
      <c r="K8" s="50">
        <v>20.088936036825192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285.82210235481921</v>
      </c>
      <c r="V8" s="54">
        <v>128.7956577100496</v>
      </c>
      <c r="W8" s="54">
        <v>25.124692349779586</v>
      </c>
      <c r="X8" s="54">
        <v>11.321557182920051</v>
      </c>
      <c r="Y8" s="54">
        <v>233.27759990698334</v>
      </c>
      <c r="Z8" s="54">
        <v>105.11832941367047</v>
      </c>
      <c r="AA8" s="55">
        <v>0</v>
      </c>
      <c r="AB8" s="56">
        <v>0</v>
      </c>
      <c r="AC8" s="57">
        <v>0</v>
      </c>
      <c r="AD8" s="57">
        <v>14.777824268738438</v>
      </c>
      <c r="AE8" s="58">
        <v>9.9870203384422016</v>
      </c>
      <c r="AF8" s="58">
        <v>4.5002987608582936</v>
      </c>
      <c r="AG8" s="58">
        <v>0.68936290213448903</v>
      </c>
      <c r="AH8" s="57">
        <v>194.20839955012002</v>
      </c>
      <c r="AI8" s="57">
        <v>774.07536713282286</v>
      </c>
      <c r="AJ8" s="57">
        <v>3072.2257578531899</v>
      </c>
      <c r="AK8" s="57">
        <v>575.08250745137536</v>
      </c>
      <c r="AL8" s="57">
        <v>3211.6263031005865</v>
      </c>
      <c r="AM8" s="57">
        <v>2733.5789375305176</v>
      </c>
      <c r="AN8" s="57">
        <v>572.764919535319</v>
      </c>
      <c r="AO8" s="57">
        <v>1833.9044027964269</v>
      </c>
      <c r="AP8" s="57">
        <v>332.15946871439616</v>
      </c>
      <c r="AQ8" s="57">
        <v>842.77566754023223</v>
      </c>
    </row>
    <row r="9" spans="1:53" x14ac:dyDescent="0.25">
      <c r="A9" s="11">
        <v>41549</v>
      </c>
      <c r="B9" s="59"/>
      <c r="C9" s="60">
        <v>95.777342828115394</v>
      </c>
      <c r="D9" s="60">
        <v>1064.303833007815</v>
      </c>
      <c r="E9" s="60">
        <v>17.867310100297136</v>
      </c>
      <c r="F9" s="60">
        <v>0</v>
      </c>
      <c r="G9" s="60">
        <v>2847.0335328419974</v>
      </c>
      <c r="H9" s="61">
        <v>45.419431030750317</v>
      </c>
      <c r="I9" s="59">
        <v>367.44163338343225</v>
      </c>
      <c r="J9" s="60">
        <v>873.89107519785773</v>
      </c>
      <c r="K9" s="60">
        <v>19.049266968170823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272.86970577817107</v>
      </c>
      <c r="V9" s="62">
        <v>129.267308356554</v>
      </c>
      <c r="W9" s="62">
        <v>23.934585625997169</v>
      </c>
      <c r="X9" s="62">
        <v>11.33859638862714</v>
      </c>
      <c r="Y9" s="66">
        <v>221.91337298029299</v>
      </c>
      <c r="Z9" s="66">
        <v>105.1276261381938</v>
      </c>
      <c r="AA9" s="67">
        <v>0</v>
      </c>
      <c r="AB9" s="68">
        <v>0</v>
      </c>
      <c r="AC9" s="69">
        <v>0</v>
      </c>
      <c r="AD9" s="69">
        <v>14.282972857024903</v>
      </c>
      <c r="AE9" s="68">
        <v>9.4996404410807038</v>
      </c>
      <c r="AF9" s="68">
        <v>4.5002905202377601</v>
      </c>
      <c r="AG9" s="68">
        <v>0.67854909194395496</v>
      </c>
      <c r="AH9" s="69">
        <v>203.23539524873098</v>
      </c>
      <c r="AI9" s="69">
        <v>777.28993822733548</v>
      </c>
      <c r="AJ9" s="69">
        <v>3072.9919994354245</v>
      </c>
      <c r="AK9" s="69">
        <v>575.4507942199707</v>
      </c>
      <c r="AL9" s="69">
        <v>3228.2292996724441</v>
      </c>
      <c r="AM9" s="69">
        <v>2706.5746316274008</v>
      </c>
      <c r="AN9" s="69">
        <v>575.55478003819792</v>
      </c>
      <c r="AO9" s="69">
        <v>1772.5673535664876</v>
      </c>
      <c r="AP9" s="69">
        <v>344.45556046168014</v>
      </c>
      <c r="AQ9" s="69">
        <v>805.49010893503805</v>
      </c>
    </row>
    <row r="10" spans="1:53" x14ac:dyDescent="0.25">
      <c r="A10" s="11">
        <v>41550</v>
      </c>
      <c r="B10" s="59"/>
      <c r="C10" s="60">
        <v>95.770848596095945</v>
      </c>
      <c r="D10" s="60">
        <v>1065.0066295623806</v>
      </c>
      <c r="E10" s="60">
        <v>16.137314614653626</v>
      </c>
      <c r="F10" s="60">
        <v>0</v>
      </c>
      <c r="G10" s="60">
        <v>2731.3779141743926</v>
      </c>
      <c r="H10" s="61">
        <v>50.244834717114756</v>
      </c>
      <c r="I10" s="59">
        <v>378.17754170099875</v>
      </c>
      <c r="J10" s="60">
        <v>873.29479910532677</v>
      </c>
      <c r="K10" s="60">
        <v>19.065211940805121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272.47594239662396</v>
      </c>
      <c r="V10" s="62">
        <v>129.1457593949269</v>
      </c>
      <c r="W10" s="62">
        <v>24.302376627154906</v>
      </c>
      <c r="X10" s="62">
        <v>11.518627505274864</v>
      </c>
      <c r="Y10" s="66">
        <v>221.90822664882799</v>
      </c>
      <c r="Z10" s="66">
        <v>105.17811662369914</v>
      </c>
      <c r="AA10" s="67">
        <v>0</v>
      </c>
      <c r="AB10" s="68">
        <v>0</v>
      </c>
      <c r="AC10" s="69">
        <v>0</v>
      </c>
      <c r="AD10" s="69">
        <v>14.281290537781196</v>
      </c>
      <c r="AE10" s="68">
        <v>9.495025057139026</v>
      </c>
      <c r="AF10" s="68">
        <v>4.5003687690457621</v>
      </c>
      <c r="AG10" s="68">
        <v>0.67843929045956797</v>
      </c>
      <c r="AH10" s="69">
        <v>216.87718807061512</v>
      </c>
      <c r="AI10" s="69">
        <v>785.95955034891767</v>
      </c>
      <c r="AJ10" s="69">
        <v>3051.531370798748</v>
      </c>
      <c r="AK10" s="69">
        <v>567.65321388244615</v>
      </c>
      <c r="AL10" s="69">
        <v>3162.4409755706788</v>
      </c>
      <c r="AM10" s="69">
        <v>2657.074825922648</v>
      </c>
      <c r="AN10" s="69">
        <v>574.61110299428299</v>
      </c>
      <c r="AO10" s="69">
        <v>1751.4619412740071</v>
      </c>
      <c r="AP10" s="69">
        <v>345.58534240722656</v>
      </c>
      <c r="AQ10" s="69">
        <v>738.73593600591016</v>
      </c>
    </row>
    <row r="11" spans="1:53" x14ac:dyDescent="0.25">
      <c r="A11" s="11">
        <v>41551</v>
      </c>
      <c r="B11" s="59"/>
      <c r="C11" s="60">
        <v>96.052506081263488</v>
      </c>
      <c r="D11" s="60">
        <v>1064.725122261051</v>
      </c>
      <c r="E11" s="60">
        <v>13.996442023913067</v>
      </c>
      <c r="F11" s="60">
        <v>0</v>
      </c>
      <c r="G11" s="60">
        <v>2713.7587589263871</v>
      </c>
      <c r="H11" s="61">
        <v>56.682321906089705</v>
      </c>
      <c r="I11" s="59">
        <v>377.92131071090768</v>
      </c>
      <c r="J11" s="60">
        <v>815.38861888249596</v>
      </c>
      <c r="K11" s="60">
        <v>17.476827199260377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226.02218561375486</v>
      </c>
      <c r="V11" s="62">
        <v>123.01015449956681</v>
      </c>
      <c r="W11" s="62">
        <v>20.038288397267081</v>
      </c>
      <c r="X11" s="62">
        <v>10.905623910154311</v>
      </c>
      <c r="Y11" s="66">
        <v>184.50896248486907</v>
      </c>
      <c r="Z11" s="66">
        <v>100.41702729396711</v>
      </c>
      <c r="AA11" s="67">
        <v>0</v>
      </c>
      <c r="AB11" s="68">
        <v>0</v>
      </c>
      <c r="AC11" s="69">
        <v>0</v>
      </c>
      <c r="AD11" s="69">
        <v>12.452769893738949</v>
      </c>
      <c r="AE11" s="68">
        <v>7.9026914157186772</v>
      </c>
      <c r="AF11" s="68">
        <v>4.3009551888467161</v>
      </c>
      <c r="AG11" s="68">
        <v>0.64756803206365166</v>
      </c>
      <c r="AH11" s="69">
        <v>265.52790483633675</v>
      </c>
      <c r="AI11" s="69">
        <v>848.88649832407634</v>
      </c>
      <c r="AJ11" s="69">
        <v>3035.6414404551188</v>
      </c>
      <c r="AK11" s="69">
        <v>549.63632863362648</v>
      </c>
      <c r="AL11" s="69">
        <v>3225.3705824534095</v>
      </c>
      <c r="AM11" s="69">
        <v>2744.0340872446691</v>
      </c>
      <c r="AN11" s="69">
        <v>550.0875702222188</v>
      </c>
      <c r="AO11" s="69">
        <v>2024.7568071365356</v>
      </c>
      <c r="AP11" s="69">
        <v>345.58534240722656</v>
      </c>
      <c r="AQ11" s="69">
        <v>698.42003011703491</v>
      </c>
    </row>
    <row r="12" spans="1:53" x14ac:dyDescent="0.25">
      <c r="A12" s="11">
        <v>41552</v>
      </c>
      <c r="B12" s="59"/>
      <c r="C12" s="60">
        <v>96.131482831636831</v>
      </c>
      <c r="D12" s="60">
        <v>1064.892321268718</v>
      </c>
      <c r="E12" s="60">
        <v>13.90307118395965</v>
      </c>
      <c r="F12" s="60">
        <v>0</v>
      </c>
      <c r="G12" s="60">
        <v>2793.0067508697466</v>
      </c>
      <c r="H12" s="61">
        <v>56.766398370265897</v>
      </c>
      <c r="I12" s="59">
        <v>333.03341509501183</v>
      </c>
      <c r="J12" s="60">
        <v>731.59482555389297</v>
      </c>
      <c r="K12" s="60">
        <v>14.269493005673104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228.53915718397286</v>
      </c>
      <c r="V12" s="62">
        <v>128.56794722344159</v>
      </c>
      <c r="W12" s="62">
        <v>20.311515788018035</v>
      </c>
      <c r="X12" s="62">
        <v>11.426531549513992</v>
      </c>
      <c r="Y12" s="66">
        <v>181.01608196454234</v>
      </c>
      <c r="Z12" s="66">
        <v>101.83316661956933</v>
      </c>
      <c r="AA12" s="67">
        <v>0</v>
      </c>
      <c r="AB12" s="68">
        <v>0</v>
      </c>
      <c r="AC12" s="69">
        <v>0</v>
      </c>
      <c r="AD12" s="69">
        <v>12.678702494833191</v>
      </c>
      <c r="AE12" s="68">
        <v>7.9988406261124716</v>
      </c>
      <c r="AF12" s="68">
        <v>4.4998613460313761</v>
      </c>
      <c r="AG12" s="68">
        <v>0.63997370638484508</v>
      </c>
      <c r="AH12" s="69">
        <v>301.10121758778882</v>
      </c>
      <c r="AI12" s="69">
        <v>898.09546162287359</v>
      </c>
      <c r="AJ12" s="69">
        <v>3049.3137006123866</v>
      </c>
      <c r="AK12" s="69">
        <v>554.88196531931555</v>
      </c>
      <c r="AL12" s="69">
        <v>3158.5989741007484</v>
      </c>
      <c r="AM12" s="69">
        <v>2736.1901032765704</v>
      </c>
      <c r="AN12" s="69">
        <v>551.37977304458616</v>
      </c>
      <c r="AO12" s="69">
        <v>2247.8442003885903</v>
      </c>
      <c r="AP12" s="69">
        <v>351.13817308743796</v>
      </c>
      <c r="AQ12" s="69">
        <v>642.04667024612422</v>
      </c>
    </row>
    <row r="13" spans="1:53" x14ac:dyDescent="0.25">
      <c r="A13" s="11">
        <v>41553</v>
      </c>
      <c r="B13" s="59"/>
      <c r="C13" s="60">
        <v>96.046834611892749</v>
      </c>
      <c r="D13" s="60">
        <v>1066.6481974919641</v>
      </c>
      <c r="E13" s="60">
        <v>13.926999371747188</v>
      </c>
      <c r="F13" s="60">
        <v>0</v>
      </c>
      <c r="G13" s="60">
        <v>2851.9058703104615</v>
      </c>
      <c r="H13" s="61">
        <v>56.867222579320163</v>
      </c>
      <c r="I13" s="59">
        <v>331.90241457621323</v>
      </c>
      <c r="J13" s="60">
        <v>731.37301015853825</v>
      </c>
      <c r="K13" s="60">
        <v>14.318326632181856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228.55953341921955</v>
      </c>
      <c r="V13" s="62">
        <v>128.56354348592637</v>
      </c>
      <c r="W13" s="62">
        <v>20.459142818167958</v>
      </c>
      <c r="X13" s="62">
        <v>11.508160950625799</v>
      </c>
      <c r="Y13" s="66">
        <v>178.59381295233359</v>
      </c>
      <c r="Z13" s="66">
        <v>100.45808675895724</v>
      </c>
      <c r="AA13" s="67">
        <v>0</v>
      </c>
      <c r="AB13" s="68">
        <v>0</v>
      </c>
      <c r="AC13" s="69">
        <v>0</v>
      </c>
      <c r="AD13" s="69">
        <v>12.663606454928715</v>
      </c>
      <c r="AE13" s="68">
        <v>8.0003359050206271</v>
      </c>
      <c r="AF13" s="68">
        <v>4.5001471504607427</v>
      </c>
      <c r="AG13" s="68">
        <v>0.64000213987830967</v>
      </c>
      <c r="AH13" s="69">
        <v>254.9436350981394</v>
      </c>
      <c r="AI13" s="69">
        <v>835.79484526316344</v>
      </c>
      <c r="AJ13" s="69">
        <v>3033.5235752105709</v>
      </c>
      <c r="AK13" s="69">
        <v>581.65343011220295</v>
      </c>
      <c r="AL13" s="69">
        <v>3083.8732551574708</v>
      </c>
      <c r="AM13" s="69">
        <v>2669.2026749928796</v>
      </c>
      <c r="AN13" s="69">
        <v>540.62257912953703</v>
      </c>
      <c r="AO13" s="69">
        <v>2263.933568445842</v>
      </c>
      <c r="AP13" s="69">
        <v>358.09358477592468</v>
      </c>
      <c r="AQ13" s="69">
        <v>709.6281697591146</v>
      </c>
    </row>
    <row r="14" spans="1:53" x14ac:dyDescent="0.25">
      <c r="A14" s="11">
        <v>41554</v>
      </c>
      <c r="B14" s="59"/>
      <c r="C14" s="60">
        <v>96.408220287164141</v>
      </c>
      <c r="D14" s="60">
        <v>1065.9537834167495</v>
      </c>
      <c r="E14" s="60">
        <v>13.973906906445826</v>
      </c>
      <c r="F14" s="60">
        <v>0</v>
      </c>
      <c r="G14" s="60">
        <v>2867.1105875651083</v>
      </c>
      <c r="H14" s="61">
        <v>56.792455677191271</v>
      </c>
      <c r="I14" s="59">
        <v>332.03083066940383</v>
      </c>
      <c r="J14" s="60">
        <v>731.09708442688009</v>
      </c>
      <c r="K14" s="60">
        <v>14.454674176375093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228.67175827004937</v>
      </c>
      <c r="V14" s="62">
        <v>128.60558119901103</v>
      </c>
      <c r="W14" s="62">
        <v>20.236664246579135</v>
      </c>
      <c r="X14" s="62">
        <v>11.381151685058912</v>
      </c>
      <c r="Y14" s="66">
        <v>178.85951609488231</v>
      </c>
      <c r="Z14" s="66">
        <v>100.59104890946637</v>
      </c>
      <c r="AA14" s="67">
        <v>0</v>
      </c>
      <c r="AB14" s="68">
        <v>0</v>
      </c>
      <c r="AC14" s="69">
        <v>0</v>
      </c>
      <c r="AD14" s="69">
        <v>12.668807966179333</v>
      </c>
      <c r="AE14" s="68">
        <v>8.0004447001857315</v>
      </c>
      <c r="AF14" s="68">
        <v>4.4994705437251863</v>
      </c>
      <c r="AG14" s="68">
        <v>0.64003991579726804</v>
      </c>
      <c r="AH14" s="69">
        <v>220.31330328782403</v>
      </c>
      <c r="AI14" s="69">
        <v>805.23271910349524</v>
      </c>
      <c r="AJ14" s="69">
        <v>3059.2686796824146</v>
      </c>
      <c r="AK14" s="69">
        <v>571.55879065195734</v>
      </c>
      <c r="AL14" s="69">
        <v>3191.2196043650301</v>
      </c>
      <c r="AM14" s="69">
        <v>2708.4385485331213</v>
      </c>
      <c r="AN14" s="69">
        <v>552.24161275227868</v>
      </c>
      <c r="AO14" s="69">
        <v>1958.6145086924232</v>
      </c>
      <c r="AP14" s="69">
        <v>340.81151917775486</v>
      </c>
      <c r="AQ14" s="69">
        <v>839.22512286504093</v>
      </c>
    </row>
    <row r="15" spans="1:53" x14ac:dyDescent="0.25">
      <c r="A15" s="11">
        <v>41555</v>
      </c>
      <c r="B15" s="59"/>
      <c r="C15" s="60">
        <v>96.167368976275071</v>
      </c>
      <c r="D15" s="60">
        <v>1042.1972250620524</v>
      </c>
      <c r="E15" s="60">
        <v>13.999420612057047</v>
      </c>
      <c r="F15" s="60">
        <v>0</v>
      </c>
      <c r="G15" s="60">
        <v>2753.1878568013581</v>
      </c>
      <c r="H15" s="61">
        <v>56.841093786557451</v>
      </c>
      <c r="I15" s="59">
        <v>335.30093731880243</v>
      </c>
      <c r="J15" s="60">
        <v>730.58642117182353</v>
      </c>
      <c r="K15" s="60">
        <v>14.378960500160902</v>
      </c>
      <c r="L15" s="50">
        <v>3.9750814437866787E-2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228.45246320746736</v>
      </c>
      <c r="V15" s="62">
        <v>128.50486626708704</v>
      </c>
      <c r="W15" s="62">
        <v>19.937052044563451</v>
      </c>
      <c r="X15" s="62">
        <v>11.214622818139249</v>
      </c>
      <c r="Y15" s="66">
        <v>178.95670595960667</v>
      </c>
      <c r="Z15" s="66">
        <v>100.66342574758453</v>
      </c>
      <c r="AA15" s="67">
        <v>0</v>
      </c>
      <c r="AB15" s="68">
        <v>0</v>
      </c>
      <c r="AC15" s="69">
        <v>0</v>
      </c>
      <c r="AD15" s="69">
        <v>12.669542021221558</v>
      </c>
      <c r="AE15" s="68">
        <v>8.000350863538344</v>
      </c>
      <c r="AF15" s="68">
        <v>4.5002098177209096</v>
      </c>
      <c r="AG15" s="68">
        <v>0.63999936223120057</v>
      </c>
      <c r="AH15" s="69">
        <v>205.3939679304759</v>
      </c>
      <c r="AI15" s="69">
        <v>799.39308862686153</v>
      </c>
      <c r="AJ15" s="69">
        <v>3052.6259728749592</v>
      </c>
      <c r="AK15" s="69">
        <v>571.32770900726325</v>
      </c>
      <c r="AL15" s="69">
        <v>2965.2854897816974</v>
      </c>
      <c r="AM15" s="69">
        <v>2705.2383703867595</v>
      </c>
      <c r="AN15" s="69">
        <v>555.59343134562175</v>
      </c>
      <c r="AO15" s="69">
        <v>1776.1598252614338</v>
      </c>
      <c r="AP15" s="69">
        <v>341.65003423690797</v>
      </c>
      <c r="AQ15" s="69">
        <v>885.12524881362913</v>
      </c>
    </row>
    <row r="16" spans="1:53" x14ac:dyDescent="0.25">
      <c r="A16" s="11">
        <v>41556</v>
      </c>
      <c r="B16" s="59"/>
      <c r="C16" s="60">
        <v>96.238566728433184</v>
      </c>
      <c r="D16" s="60">
        <v>1038.0105461120618</v>
      </c>
      <c r="E16" s="60">
        <v>14.022635313371845</v>
      </c>
      <c r="F16" s="60">
        <v>0</v>
      </c>
      <c r="G16" s="60">
        <v>2599.0782082875589</v>
      </c>
      <c r="H16" s="61">
        <v>56.890640079975114</v>
      </c>
      <c r="I16" s="59">
        <v>343.93382380803456</v>
      </c>
      <c r="J16" s="60">
        <v>751.90978326797654</v>
      </c>
      <c r="K16" s="60">
        <v>15.053411156932555</v>
      </c>
      <c r="L16" s="50">
        <v>3.1521737575531547E-2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215.82964321355306</v>
      </c>
      <c r="V16" s="62">
        <v>116.52678073664136</v>
      </c>
      <c r="W16" s="62">
        <v>18.867545430829743</v>
      </c>
      <c r="X16" s="62">
        <v>10.186618931123995</v>
      </c>
      <c r="Y16" s="66">
        <v>169.38943971670506</v>
      </c>
      <c r="Z16" s="66">
        <v>91.453638189267693</v>
      </c>
      <c r="AA16" s="67">
        <v>0</v>
      </c>
      <c r="AB16" s="68">
        <v>0</v>
      </c>
      <c r="AC16" s="69">
        <v>0</v>
      </c>
      <c r="AD16" s="69">
        <v>11.798102914624749</v>
      </c>
      <c r="AE16" s="68">
        <v>7.5489838010308707</v>
      </c>
      <c r="AF16" s="68">
        <v>4.0757088186297068</v>
      </c>
      <c r="AG16" s="68">
        <v>0.64939212141088754</v>
      </c>
      <c r="AH16" s="69">
        <v>226.04250047206878</v>
      </c>
      <c r="AI16" s="69">
        <v>810.42293443679796</v>
      </c>
      <c r="AJ16" s="69">
        <v>3048.7267241160075</v>
      </c>
      <c r="AK16" s="69">
        <v>570.45602671305323</v>
      </c>
      <c r="AL16" s="69">
        <v>2977.6432272593174</v>
      </c>
      <c r="AM16" s="69">
        <v>2771.4445546468096</v>
      </c>
      <c r="AN16" s="69">
        <v>557.12325690587363</v>
      </c>
      <c r="AO16" s="69">
        <v>1749.8295003255209</v>
      </c>
      <c r="AP16" s="69">
        <v>341.52139492034911</v>
      </c>
      <c r="AQ16" s="69">
        <v>749.82399651209528</v>
      </c>
    </row>
    <row r="17" spans="1:43" x14ac:dyDescent="0.25">
      <c r="A17" s="11">
        <v>41557</v>
      </c>
      <c r="B17" s="49"/>
      <c r="C17" s="50">
        <v>96.212777503331509</v>
      </c>
      <c r="D17" s="50">
        <v>1039.5574240366602</v>
      </c>
      <c r="E17" s="50">
        <v>14.018804314235876</v>
      </c>
      <c r="F17" s="50">
        <v>0</v>
      </c>
      <c r="G17" s="50">
        <v>2589.6017138163229</v>
      </c>
      <c r="H17" s="51">
        <v>56.994479497273701</v>
      </c>
      <c r="I17" s="49">
        <v>349.95340472857191</v>
      </c>
      <c r="J17" s="50">
        <v>756.47659616470332</v>
      </c>
      <c r="K17" s="50">
        <v>15.826530045270927</v>
      </c>
      <c r="L17" s="50">
        <v>3.2849431037903422E-2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246.06185691628249</v>
      </c>
      <c r="V17" s="66">
        <v>127.20554255372909</v>
      </c>
      <c r="W17" s="62">
        <v>21.733343268846163</v>
      </c>
      <c r="X17" s="62">
        <v>11.235393232688686</v>
      </c>
      <c r="Y17" s="66">
        <v>193.32567920750901</v>
      </c>
      <c r="Z17" s="66">
        <v>99.942747004166208</v>
      </c>
      <c r="AA17" s="67">
        <v>0</v>
      </c>
      <c r="AB17" s="68">
        <v>0</v>
      </c>
      <c r="AC17" s="69">
        <v>0</v>
      </c>
      <c r="AD17" s="69">
        <v>13.299586215946389</v>
      </c>
      <c r="AE17" s="68">
        <v>8.6064901389127328</v>
      </c>
      <c r="AF17" s="68">
        <v>4.4492602848892364</v>
      </c>
      <c r="AG17" s="68">
        <v>0.65921068184807063</v>
      </c>
      <c r="AH17" s="69">
        <v>237.50159345467887</v>
      </c>
      <c r="AI17" s="69">
        <v>816.12753963470459</v>
      </c>
      <c r="AJ17" s="69">
        <v>3022.0214916229252</v>
      </c>
      <c r="AK17" s="69">
        <v>562.12856728235897</v>
      </c>
      <c r="AL17" s="69">
        <v>3101.6810714721682</v>
      </c>
      <c r="AM17" s="69">
        <v>2736.0752024332683</v>
      </c>
      <c r="AN17" s="69">
        <v>558.59563728968294</v>
      </c>
      <c r="AO17" s="69">
        <v>1902.0333374023437</v>
      </c>
      <c r="AP17" s="69">
        <v>339.08681149482732</v>
      </c>
      <c r="AQ17" s="69">
        <v>734.52141415278106</v>
      </c>
    </row>
    <row r="18" spans="1:43" x14ac:dyDescent="0.25">
      <c r="A18" s="11">
        <v>41558</v>
      </c>
      <c r="B18" s="59"/>
      <c r="C18" s="60">
        <v>96.127095512549388</v>
      </c>
      <c r="D18" s="60">
        <v>1034.5521369934072</v>
      </c>
      <c r="E18" s="60">
        <v>14.001050786674053</v>
      </c>
      <c r="F18" s="60">
        <v>0</v>
      </c>
      <c r="G18" s="60">
        <v>2589.5104675292946</v>
      </c>
      <c r="H18" s="61">
        <v>56.698320221900808</v>
      </c>
      <c r="I18" s="59">
        <v>320.70476409594266</v>
      </c>
      <c r="J18" s="60">
        <v>692.82872899373365</v>
      </c>
      <c r="K18" s="60">
        <v>14.333884629607216</v>
      </c>
      <c r="L18" s="50">
        <v>3.7020421028137712E-2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228.58823342049499</v>
      </c>
      <c r="V18" s="62">
        <v>128.57480885991538</v>
      </c>
      <c r="W18" s="62">
        <v>20.205316720236361</v>
      </c>
      <c r="X18" s="62">
        <v>11.364953901540225</v>
      </c>
      <c r="Y18" s="66">
        <v>180.14996616446399</v>
      </c>
      <c r="Z18" s="66">
        <v>101.32957028941905</v>
      </c>
      <c r="AA18" s="67">
        <v>0</v>
      </c>
      <c r="AB18" s="68">
        <v>0</v>
      </c>
      <c r="AC18" s="69">
        <v>0</v>
      </c>
      <c r="AD18" s="69">
        <v>12.742352577050516</v>
      </c>
      <c r="AE18" s="68">
        <v>8.0005617692504334</v>
      </c>
      <c r="AF18" s="68">
        <v>4.5001034605357386</v>
      </c>
      <c r="AG18" s="68">
        <v>0.64001088119590299</v>
      </c>
      <c r="AH18" s="69">
        <v>247.22296913464868</v>
      </c>
      <c r="AI18" s="69">
        <v>828.84203596115117</v>
      </c>
      <c r="AJ18" s="69">
        <v>3000.9586489359535</v>
      </c>
      <c r="AK18" s="69">
        <v>554.97672042846671</v>
      </c>
      <c r="AL18" s="69">
        <v>3153.4792566935207</v>
      </c>
      <c r="AM18" s="69">
        <v>2725.4329065958655</v>
      </c>
      <c r="AN18" s="69">
        <v>564.72435963948567</v>
      </c>
      <c r="AO18" s="69">
        <v>1887.2647675832111</v>
      </c>
      <c r="AP18" s="69">
        <v>352.38281041781113</v>
      </c>
      <c r="AQ18" s="69">
        <v>704.55419301986694</v>
      </c>
    </row>
    <row r="19" spans="1:43" x14ac:dyDescent="0.25">
      <c r="A19" s="11">
        <v>41559</v>
      </c>
      <c r="B19" s="59"/>
      <c r="C19" s="60">
        <v>96.061997048060718</v>
      </c>
      <c r="D19" s="60">
        <v>1033.5567436854044</v>
      </c>
      <c r="E19" s="60">
        <v>13.987567071119955</v>
      </c>
      <c r="F19" s="60">
        <v>0</v>
      </c>
      <c r="G19" s="60">
        <v>2587.9488503774041</v>
      </c>
      <c r="H19" s="61">
        <v>56.683659418423836</v>
      </c>
      <c r="I19" s="59">
        <v>320.61782587369305</v>
      </c>
      <c r="J19" s="60">
        <v>692.80308739344355</v>
      </c>
      <c r="K19" s="60">
        <v>14.306355520089467</v>
      </c>
      <c r="L19" s="50">
        <v>2.9987120628357657E-2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228.63184490301859</v>
      </c>
      <c r="V19" s="62">
        <v>128.58651241628269</v>
      </c>
      <c r="W19" s="62">
        <v>20.341521434342862</v>
      </c>
      <c r="X19" s="62">
        <v>11.440424231334516</v>
      </c>
      <c r="Y19" s="66">
        <v>179.63896273617047</v>
      </c>
      <c r="Z19" s="66">
        <v>101.03206629907989</v>
      </c>
      <c r="AA19" s="67">
        <v>0</v>
      </c>
      <c r="AB19" s="68">
        <v>0</v>
      </c>
      <c r="AC19" s="69">
        <v>0</v>
      </c>
      <c r="AD19" s="69">
        <v>12.740759313768796</v>
      </c>
      <c r="AE19" s="68">
        <v>8.0004235365330754</v>
      </c>
      <c r="AF19" s="68">
        <v>4.4995768671346106</v>
      </c>
      <c r="AG19" s="68">
        <v>0.64003386225376702</v>
      </c>
      <c r="AH19" s="69">
        <v>253.50086553891501</v>
      </c>
      <c r="AI19" s="69">
        <v>840.07625573476173</v>
      </c>
      <c r="AJ19" s="69">
        <v>3015.4778756459555</v>
      </c>
      <c r="AK19" s="69">
        <v>560.68698555628498</v>
      </c>
      <c r="AL19" s="69">
        <v>3154.7371908823648</v>
      </c>
      <c r="AM19" s="69">
        <v>2687.8035320281979</v>
      </c>
      <c r="AN19" s="69">
        <v>562.21676956812541</v>
      </c>
      <c r="AO19" s="69">
        <v>1910.2465140024824</v>
      </c>
      <c r="AP19" s="69">
        <v>347.6862508455913</v>
      </c>
      <c r="AQ19" s="69">
        <v>660.96261514027913</v>
      </c>
    </row>
    <row r="20" spans="1:43" x14ac:dyDescent="0.25">
      <c r="A20" s="11">
        <v>41560</v>
      </c>
      <c r="B20" s="59"/>
      <c r="C20" s="60">
        <v>96.400371090570985</v>
      </c>
      <c r="D20" s="60">
        <v>1032.487335205079</v>
      </c>
      <c r="E20" s="60">
        <v>13.975927582879876</v>
      </c>
      <c r="F20" s="60">
        <v>0</v>
      </c>
      <c r="G20" s="60">
        <v>2588.8258649190361</v>
      </c>
      <c r="H20" s="61">
        <v>56.599107992648925</v>
      </c>
      <c r="I20" s="59">
        <v>320.41570008595846</v>
      </c>
      <c r="J20" s="60">
        <v>692.54779710769731</v>
      </c>
      <c r="K20" s="60">
        <v>14.277968492110634</v>
      </c>
      <c r="L20" s="50">
        <v>4.212348461151174E-2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228.43189445175406</v>
      </c>
      <c r="V20" s="62">
        <v>128.51636958548463</v>
      </c>
      <c r="W20" s="62">
        <v>20.347136441564572</v>
      </c>
      <c r="X20" s="62">
        <v>11.447351138098988</v>
      </c>
      <c r="Y20" s="66">
        <v>179.88725832866905</v>
      </c>
      <c r="Z20" s="66">
        <v>101.20503281983466</v>
      </c>
      <c r="AA20" s="67">
        <v>0</v>
      </c>
      <c r="AB20" s="68">
        <v>0</v>
      </c>
      <c r="AC20" s="69">
        <v>0</v>
      </c>
      <c r="AD20" s="69">
        <v>12.738823550277292</v>
      </c>
      <c r="AE20" s="68">
        <v>7.9991375997184999</v>
      </c>
      <c r="AF20" s="68">
        <v>4.5003353257558878</v>
      </c>
      <c r="AG20" s="68">
        <v>0.63995799242190143</v>
      </c>
      <c r="AH20" s="69">
        <v>245.0479228576024</v>
      </c>
      <c r="AI20" s="69">
        <v>825.4585734685262</v>
      </c>
      <c r="AJ20" s="69">
        <v>3016.2820182800297</v>
      </c>
      <c r="AK20" s="69">
        <v>563.32223409016945</v>
      </c>
      <c r="AL20" s="69">
        <v>3081.9476628621419</v>
      </c>
      <c r="AM20" s="69">
        <v>2709.9440057118732</v>
      </c>
      <c r="AN20" s="69">
        <v>556.43032865524299</v>
      </c>
      <c r="AO20" s="69">
        <v>1873.3322961171468</v>
      </c>
      <c r="AP20" s="69">
        <v>351.45557559331257</v>
      </c>
      <c r="AQ20" s="69">
        <v>734.05394570032763</v>
      </c>
    </row>
    <row r="21" spans="1:43" x14ac:dyDescent="0.25">
      <c r="A21" s="11">
        <v>41561</v>
      </c>
      <c r="B21" s="59"/>
      <c r="C21" s="60">
        <v>95.661230583985585</v>
      </c>
      <c r="D21" s="60">
        <v>1032.8443539301545</v>
      </c>
      <c r="E21" s="60">
        <v>13.989088421066603</v>
      </c>
      <c r="F21" s="60">
        <v>0</v>
      </c>
      <c r="G21" s="60">
        <v>2578.5437601725289</v>
      </c>
      <c r="H21" s="61">
        <v>56.586598583062404</v>
      </c>
      <c r="I21" s="59">
        <v>334.12178130149863</v>
      </c>
      <c r="J21" s="60">
        <v>723.54995622634885</v>
      </c>
      <c r="K21" s="60">
        <v>15.063331473867136</v>
      </c>
      <c r="L21" s="50">
        <v>4.6237695217132356E-2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224.00052776150028</v>
      </c>
      <c r="V21" s="62">
        <v>125.71355046352672</v>
      </c>
      <c r="W21" s="62">
        <v>19.874952990047628</v>
      </c>
      <c r="X21" s="62">
        <v>11.154218834407622</v>
      </c>
      <c r="Y21" s="66">
        <v>176.13527151286792</v>
      </c>
      <c r="Z21" s="66">
        <v>98.850616849062718</v>
      </c>
      <c r="AA21" s="67">
        <v>0</v>
      </c>
      <c r="AB21" s="68">
        <v>0</v>
      </c>
      <c r="AC21" s="69">
        <v>0</v>
      </c>
      <c r="AD21" s="69">
        <v>12.487365708086232</v>
      </c>
      <c r="AE21" s="68">
        <v>7.8404601472792042</v>
      </c>
      <c r="AF21" s="68">
        <v>4.4002221433679214</v>
      </c>
      <c r="AG21" s="68">
        <v>0.64052476496918409</v>
      </c>
      <c r="AH21" s="69">
        <v>248.89510416189827</v>
      </c>
      <c r="AI21" s="69">
        <v>829.80918855667119</v>
      </c>
      <c r="AJ21" s="69">
        <v>3039.203275966644</v>
      </c>
      <c r="AK21" s="69">
        <v>552.06450939178467</v>
      </c>
      <c r="AL21" s="69">
        <v>3185.4984477996827</v>
      </c>
      <c r="AM21" s="69">
        <v>2721.3787462870278</v>
      </c>
      <c r="AN21" s="69">
        <v>542.17737801869703</v>
      </c>
      <c r="AO21" s="69">
        <v>1783.325314203898</v>
      </c>
      <c r="AP21" s="69">
        <v>391.31285843849184</v>
      </c>
      <c r="AQ21" s="69">
        <v>666.56766268412275</v>
      </c>
    </row>
    <row r="22" spans="1:43" x14ac:dyDescent="0.25">
      <c r="A22" s="11">
        <v>41562</v>
      </c>
      <c r="B22" s="59"/>
      <c r="C22" s="60">
        <v>95.95601538419757</v>
      </c>
      <c r="D22" s="60">
        <v>1033.4896242777502</v>
      </c>
      <c r="E22" s="60">
        <v>13.855842669804925</v>
      </c>
      <c r="F22" s="60">
        <v>0</v>
      </c>
      <c r="G22" s="60">
        <v>2586.7509539286316</v>
      </c>
      <c r="H22" s="61">
        <v>56.655960917472754</v>
      </c>
      <c r="I22" s="59">
        <v>305.36724438667301</v>
      </c>
      <c r="J22" s="60">
        <v>677.2071086883534</v>
      </c>
      <c r="K22" s="60">
        <v>14.546106172601435</v>
      </c>
      <c r="L22" s="50">
        <v>4.0438067913056375E-2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207.79661485858858</v>
      </c>
      <c r="V22" s="62">
        <v>123.83747453714474</v>
      </c>
      <c r="W22" s="62">
        <v>18.52072714441962</v>
      </c>
      <c r="X22" s="62">
        <v>11.037523771584548</v>
      </c>
      <c r="Y22" s="66">
        <v>163.19797683491711</v>
      </c>
      <c r="Z22" s="66">
        <v>97.258684000030868</v>
      </c>
      <c r="AA22" s="67">
        <v>0</v>
      </c>
      <c r="AB22" s="68">
        <v>0</v>
      </c>
      <c r="AC22" s="69">
        <v>0</v>
      </c>
      <c r="AD22" s="69">
        <v>11.804832267761258</v>
      </c>
      <c r="AE22" s="68">
        <v>7.2810836821101494</v>
      </c>
      <c r="AF22" s="68">
        <v>4.3391997299847649</v>
      </c>
      <c r="AG22" s="68">
        <v>0.62658400177500573</v>
      </c>
      <c r="AH22" s="69">
        <v>285.377139321963</v>
      </c>
      <c r="AI22" s="69">
        <v>897.33726622263589</v>
      </c>
      <c r="AJ22" s="69">
        <v>3032.2214619954425</v>
      </c>
      <c r="AK22" s="69">
        <v>540.47635599772138</v>
      </c>
      <c r="AL22" s="69">
        <v>3198.9261427561437</v>
      </c>
      <c r="AM22" s="69">
        <v>2781.02044728597</v>
      </c>
      <c r="AN22" s="69">
        <v>555.72611824671424</v>
      </c>
      <c r="AO22" s="69">
        <v>1886.896991475423</v>
      </c>
      <c r="AP22" s="69">
        <v>408.30905098915105</v>
      </c>
      <c r="AQ22" s="69">
        <v>692.00448719660449</v>
      </c>
    </row>
    <row r="23" spans="1:43" x14ac:dyDescent="0.25">
      <c r="A23" s="11">
        <v>41563</v>
      </c>
      <c r="B23" s="59"/>
      <c r="C23" s="60">
        <v>95.660732400417089</v>
      </c>
      <c r="D23" s="60">
        <v>1033.3529918670649</v>
      </c>
      <c r="E23" s="60">
        <v>13.864441237350318</v>
      </c>
      <c r="F23" s="60">
        <v>0</v>
      </c>
      <c r="G23" s="60">
        <v>2450.7786818186451</v>
      </c>
      <c r="H23" s="61">
        <v>56.603006951014109</v>
      </c>
      <c r="I23" s="59">
        <v>275.61521590550785</v>
      </c>
      <c r="J23" s="60">
        <v>602.40114189783606</v>
      </c>
      <c r="K23" s="60">
        <v>12.783569654822319</v>
      </c>
      <c r="L23" s="50">
        <v>3.6144733428955446E-2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202.72708718625938</v>
      </c>
      <c r="V23" s="62">
        <v>130.32407048959186</v>
      </c>
      <c r="W23" s="62">
        <v>17.438019655071169</v>
      </c>
      <c r="X23" s="62">
        <v>11.21011372613663</v>
      </c>
      <c r="Y23" s="66">
        <v>148.88365453257688</v>
      </c>
      <c r="Z23" s="66">
        <v>95.710564174508193</v>
      </c>
      <c r="AA23" s="67">
        <v>0</v>
      </c>
      <c r="AB23" s="68">
        <v>0</v>
      </c>
      <c r="AC23" s="69">
        <v>0</v>
      </c>
      <c r="AD23" s="69">
        <v>11.653963924778813</v>
      </c>
      <c r="AE23" s="68">
        <v>7.0000007876585268</v>
      </c>
      <c r="AF23" s="68">
        <v>4.4999837404058614</v>
      </c>
      <c r="AG23" s="68">
        <v>0.60869653959758219</v>
      </c>
      <c r="AH23" s="69">
        <v>280.82933514912924</v>
      </c>
      <c r="AI23" s="69">
        <v>894.21206808090221</v>
      </c>
      <c r="AJ23" s="69">
        <v>3041.2698140462235</v>
      </c>
      <c r="AK23" s="69">
        <v>561.60870313644409</v>
      </c>
      <c r="AL23" s="69">
        <v>3115.7443145751945</v>
      </c>
      <c r="AM23" s="69">
        <v>2755.0236020406082</v>
      </c>
      <c r="AN23" s="69">
        <v>600.77278944651277</v>
      </c>
      <c r="AO23" s="69">
        <v>1887.3360471089679</v>
      </c>
      <c r="AP23" s="69">
        <v>394.98124720255532</v>
      </c>
      <c r="AQ23" s="69">
        <v>712.29256925582877</v>
      </c>
    </row>
    <row r="24" spans="1:43" x14ac:dyDescent="0.25">
      <c r="A24" s="11">
        <v>41564</v>
      </c>
      <c r="B24" s="59"/>
      <c r="C24" s="60">
        <v>95.536847436428488</v>
      </c>
      <c r="D24" s="60">
        <v>1033.7455129623397</v>
      </c>
      <c r="E24" s="60">
        <v>13.869643803437555</v>
      </c>
      <c r="F24" s="60">
        <v>0</v>
      </c>
      <c r="G24" s="60">
        <v>2308.9857344309444</v>
      </c>
      <c r="H24" s="61">
        <v>56.914914611975206</v>
      </c>
      <c r="I24" s="59">
        <v>286.03359642028835</v>
      </c>
      <c r="J24" s="60">
        <v>602.59843091964524</v>
      </c>
      <c r="K24" s="60">
        <v>12.7948202808698</v>
      </c>
      <c r="L24" s="50">
        <v>2.4592030048371041E-2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205.54267754243278</v>
      </c>
      <c r="V24" s="62">
        <v>132.11315252297993</v>
      </c>
      <c r="W24" s="62">
        <v>17.706275804714878</v>
      </c>
      <c r="X24" s="62">
        <v>11.380760161204616</v>
      </c>
      <c r="Y24" s="66">
        <v>147.54611802923679</v>
      </c>
      <c r="Z24" s="66">
        <v>94.835695576389583</v>
      </c>
      <c r="AA24" s="67">
        <v>0</v>
      </c>
      <c r="AB24" s="68">
        <v>0</v>
      </c>
      <c r="AC24" s="69">
        <v>0</v>
      </c>
      <c r="AD24" s="69">
        <v>11.655687922239286</v>
      </c>
      <c r="AE24" s="68">
        <v>7.0007697008675773</v>
      </c>
      <c r="AF24" s="68">
        <v>4.4997650430920233</v>
      </c>
      <c r="AG24" s="68">
        <v>0.60873427686000214</v>
      </c>
      <c r="AH24" s="69">
        <v>233.3000813325246</v>
      </c>
      <c r="AI24" s="69">
        <v>835.40784266789763</v>
      </c>
      <c r="AJ24" s="69">
        <v>3047.4207492828364</v>
      </c>
      <c r="AK24" s="69">
        <v>560.7650091171264</v>
      </c>
      <c r="AL24" s="69">
        <v>3121.7750475565599</v>
      </c>
      <c r="AM24" s="69">
        <v>2751.7384963989257</v>
      </c>
      <c r="AN24" s="69">
        <v>602.30925134023016</v>
      </c>
      <c r="AO24" s="69">
        <v>1781.5509583791097</v>
      </c>
      <c r="AP24" s="69">
        <v>395.64233465194701</v>
      </c>
      <c r="AQ24" s="69">
        <v>704.44944451649985</v>
      </c>
    </row>
    <row r="25" spans="1:43" x14ac:dyDescent="0.25">
      <c r="A25" s="11">
        <v>41565</v>
      </c>
      <c r="B25" s="59"/>
      <c r="C25" s="60">
        <v>95.513808572292362</v>
      </c>
      <c r="D25" s="60">
        <v>1034.3266582489009</v>
      </c>
      <c r="E25" s="60">
        <v>13.851396312316266</v>
      </c>
      <c r="F25" s="60">
        <v>0</v>
      </c>
      <c r="G25" s="60">
        <v>2310.3971497853613</v>
      </c>
      <c r="H25" s="61">
        <v>56.730299385388662</v>
      </c>
      <c r="I25" s="59">
        <v>301.86988134384148</v>
      </c>
      <c r="J25" s="60">
        <v>602.59222418467061</v>
      </c>
      <c r="K25" s="60">
        <v>12.780906830231331</v>
      </c>
      <c r="L25" s="50">
        <v>4.4750285148620714E-2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197.85835170847668</v>
      </c>
      <c r="V25" s="62">
        <v>121.2003427601316</v>
      </c>
      <c r="W25" s="62">
        <v>17.301991190975823</v>
      </c>
      <c r="X25" s="62">
        <v>10.59852790984919</v>
      </c>
      <c r="Y25" s="66">
        <v>131.44495804047119</v>
      </c>
      <c r="Z25" s="66">
        <v>80.518076851611113</v>
      </c>
      <c r="AA25" s="67">
        <v>0</v>
      </c>
      <c r="AB25" s="68">
        <v>0</v>
      </c>
      <c r="AC25" s="69">
        <v>0</v>
      </c>
      <c r="AD25" s="69">
        <v>11.158509147167202</v>
      </c>
      <c r="AE25" s="68">
        <v>6.8241161834634898</v>
      </c>
      <c r="AF25" s="68">
        <v>4.1801885709093449</v>
      </c>
      <c r="AG25" s="68">
        <v>0.62013151541915956</v>
      </c>
      <c r="AH25" s="69">
        <v>201.83072662353516</v>
      </c>
      <c r="AI25" s="69">
        <v>814.18123210271199</v>
      </c>
      <c r="AJ25" s="69">
        <v>3089.5692142486564</v>
      </c>
      <c r="AK25" s="69">
        <v>569.93821242650336</v>
      </c>
      <c r="AL25" s="69">
        <v>3363.9219219207766</v>
      </c>
      <c r="AM25" s="69">
        <v>2828.8132399241126</v>
      </c>
      <c r="AN25" s="69">
        <v>626.62828826904297</v>
      </c>
      <c r="AO25" s="69">
        <v>1758.4196173350015</v>
      </c>
      <c r="AP25" s="69">
        <v>394.54274962743125</v>
      </c>
      <c r="AQ25" s="69">
        <v>745.5273293177288</v>
      </c>
    </row>
    <row r="26" spans="1:43" x14ac:dyDescent="0.25">
      <c r="A26" s="11">
        <v>41566</v>
      </c>
      <c r="B26" s="59"/>
      <c r="C26" s="60">
        <v>95.669221766790074</v>
      </c>
      <c r="D26" s="60">
        <v>1032.8804594039909</v>
      </c>
      <c r="E26" s="60">
        <v>13.837120759983907</v>
      </c>
      <c r="F26" s="60">
        <v>0</v>
      </c>
      <c r="G26" s="60">
        <v>2310.598868306477</v>
      </c>
      <c r="H26" s="61">
        <v>56.796807412306343</v>
      </c>
      <c r="I26" s="59">
        <v>301.92167425155657</v>
      </c>
      <c r="J26" s="60">
        <v>602.86566499074218</v>
      </c>
      <c r="K26" s="60">
        <v>12.762985684474291</v>
      </c>
      <c r="L26" s="50">
        <v>3.9044415950776117E-2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205.34510445290073</v>
      </c>
      <c r="V26" s="62">
        <v>132.01508180605458</v>
      </c>
      <c r="W26" s="62">
        <v>17.435726431092249</v>
      </c>
      <c r="X26" s="62">
        <v>11.209319342096039</v>
      </c>
      <c r="Y26" s="66">
        <v>129.78635534921523</v>
      </c>
      <c r="Z26" s="66">
        <v>83.438835147230051</v>
      </c>
      <c r="AA26" s="67">
        <v>0</v>
      </c>
      <c r="AB26" s="68">
        <v>0</v>
      </c>
      <c r="AC26" s="69">
        <v>0</v>
      </c>
      <c r="AD26" s="69">
        <v>11.648499205377369</v>
      </c>
      <c r="AE26" s="68">
        <v>7.0003391862275439</v>
      </c>
      <c r="AF26" s="68">
        <v>4.5004742275310869</v>
      </c>
      <c r="AG26" s="68">
        <v>0.6086820935511319</v>
      </c>
      <c r="AH26" s="69">
        <v>201.83072662353516</v>
      </c>
      <c r="AI26" s="69">
        <v>835.12026834487904</v>
      </c>
      <c r="AJ26" s="69">
        <v>3060.76209042867</v>
      </c>
      <c r="AK26" s="69">
        <v>560.46522242228184</v>
      </c>
      <c r="AL26" s="69">
        <v>3380.7923131306966</v>
      </c>
      <c r="AM26" s="69">
        <v>2727.9518455505372</v>
      </c>
      <c r="AN26" s="69">
        <v>613.6665666898092</v>
      </c>
      <c r="AO26" s="69">
        <v>1781.4377316792804</v>
      </c>
      <c r="AP26" s="69">
        <v>391.0024583975474</v>
      </c>
      <c r="AQ26" s="69">
        <v>706.13187592824295</v>
      </c>
    </row>
    <row r="27" spans="1:43" x14ac:dyDescent="0.25">
      <c r="A27" s="11">
        <v>41567</v>
      </c>
      <c r="B27" s="59"/>
      <c r="C27" s="60">
        <v>95.445671443144391</v>
      </c>
      <c r="D27" s="60">
        <v>1032.9089280446372</v>
      </c>
      <c r="E27" s="60">
        <v>13.855735601484797</v>
      </c>
      <c r="F27" s="60">
        <v>0</v>
      </c>
      <c r="G27" s="60">
        <v>2290.4117420196553</v>
      </c>
      <c r="H27" s="61">
        <v>56.735792207717807</v>
      </c>
      <c r="I27" s="59">
        <v>318.80039947827669</v>
      </c>
      <c r="J27" s="60">
        <v>636.43451328277399</v>
      </c>
      <c r="K27" s="60">
        <v>13.36415915240844</v>
      </c>
      <c r="L27" s="50">
        <v>2.5665593147278322E-2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201.86463550212758</v>
      </c>
      <c r="V27" s="62">
        <v>129.21943065574638</v>
      </c>
      <c r="W27" s="62">
        <v>17.124379926930239</v>
      </c>
      <c r="X27" s="62">
        <v>10.961814182986476</v>
      </c>
      <c r="Y27" s="62">
        <v>127.57700044026373</v>
      </c>
      <c r="Z27" s="62">
        <v>81.665752501185551</v>
      </c>
      <c r="AA27" s="72">
        <v>0</v>
      </c>
      <c r="AB27" s="69">
        <v>0</v>
      </c>
      <c r="AC27" s="69">
        <v>0</v>
      </c>
      <c r="AD27" s="69">
        <v>11.405760376320945</v>
      </c>
      <c r="AE27" s="69">
        <v>6.8594104123357011</v>
      </c>
      <c r="AF27" s="69">
        <v>4.3909083228536856</v>
      </c>
      <c r="AG27" s="69">
        <v>0.60970809572536344</v>
      </c>
      <c r="AH27" s="69">
        <v>206.81449530919394</v>
      </c>
      <c r="AI27" s="69">
        <v>845.26330585479741</v>
      </c>
      <c r="AJ27" s="69">
        <v>3037.6408816019689</v>
      </c>
      <c r="AK27" s="69">
        <v>562.47352848052969</v>
      </c>
      <c r="AL27" s="69">
        <v>3449.0902935028075</v>
      </c>
      <c r="AM27" s="69">
        <v>2775.1249303181962</v>
      </c>
      <c r="AN27" s="69">
        <v>593.23246590296412</v>
      </c>
      <c r="AO27" s="69">
        <v>1864.0592521031699</v>
      </c>
      <c r="AP27" s="69">
        <v>388.88142058054603</v>
      </c>
      <c r="AQ27" s="69">
        <v>690.32256701787321</v>
      </c>
    </row>
    <row r="28" spans="1:43" x14ac:dyDescent="0.25">
      <c r="A28" s="11">
        <v>41568</v>
      </c>
      <c r="B28" s="59"/>
      <c r="C28" s="60">
        <v>95.526004640261533</v>
      </c>
      <c r="D28" s="60">
        <v>1032.3310759226474</v>
      </c>
      <c r="E28" s="60">
        <v>13.841560044884705</v>
      </c>
      <c r="F28" s="60">
        <v>0</v>
      </c>
      <c r="G28" s="60">
        <v>2311.6577669779417</v>
      </c>
      <c r="H28" s="61">
        <v>56.658154523372659</v>
      </c>
      <c r="I28" s="59">
        <v>294.4717593987782</v>
      </c>
      <c r="J28" s="60">
        <v>602.94635410308717</v>
      </c>
      <c r="K28" s="60">
        <v>12.574918839335453</v>
      </c>
      <c r="L28" s="50">
        <v>4.2594242095947525E-2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206.03101286282532</v>
      </c>
      <c r="V28" s="62">
        <v>132.38287176631769</v>
      </c>
      <c r="W28" s="62">
        <v>17.675315811317109</v>
      </c>
      <c r="X28" s="62">
        <v>11.357072093008943</v>
      </c>
      <c r="Y28" s="66">
        <v>130.02149648998031</v>
      </c>
      <c r="Z28" s="66">
        <v>83.543826036315636</v>
      </c>
      <c r="AA28" s="67">
        <v>0</v>
      </c>
      <c r="AB28" s="68">
        <v>0</v>
      </c>
      <c r="AC28" s="69">
        <v>0</v>
      </c>
      <c r="AD28" s="69">
        <v>11.64801770746711</v>
      </c>
      <c r="AE28" s="68">
        <v>7.0029155414350397</v>
      </c>
      <c r="AF28" s="68">
        <v>4.4996433169475569</v>
      </c>
      <c r="AG28" s="68">
        <v>0.6088137107276439</v>
      </c>
      <c r="AH28" s="69">
        <v>202.18603568077086</v>
      </c>
      <c r="AI28" s="69">
        <v>866.28235963185614</v>
      </c>
      <c r="AJ28" s="69">
        <v>3091.8980452219639</v>
      </c>
      <c r="AK28" s="69">
        <v>562.55939127604165</v>
      </c>
      <c r="AL28" s="69">
        <v>3369.8925245920818</v>
      </c>
      <c r="AM28" s="69">
        <v>2782.3075564066567</v>
      </c>
      <c r="AN28" s="69">
        <v>609.13040917714443</v>
      </c>
      <c r="AO28" s="69">
        <v>2155.8419513702393</v>
      </c>
      <c r="AP28" s="69">
        <v>405.41666048367813</v>
      </c>
      <c r="AQ28" s="69">
        <v>719.32554127375272</v>
      </c>
    </row>
    <row r="29" spans="1:43" x14ac:dyDescent="0.25">
      <c r="A29" s="11">
        <v>41569</v>
      </c>
      <c r="B29" s="59"/>
      <c r="C29" s="60">
        <v>86.773035685221785</v>
      </c>
      <c r="D29" s="60">
        <v>1030.9939423878991</v>
      </c>
      <c r="E29" s="60">
        <v>13.859914587934838</v>
      </c>
      <c r="F29" s="60">
        <v>0</v>
      </c>
      <c r="G29" s="60">
        <v>2311.7800416310665</v>
      </c>
      <c r="H29" s="61">
        <v>56.620343049367236</v>
      </c>
      <c r="I29" s="59">
        <v>292.56684010823545</v>
      </c>
      <c r="J29" s="60">
        <v>602.65908756255942</v>
      </c>
      <c r="K29" s="60">
        <v>12.612598246335985</v>
      </c>
      <c r="L29" s="50">
        <v>4.2537724971771586E-2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205.70179189910772</v>
      </c>
      <c r="V29" s="62">
        <v>132.20793479478874</v>
      </c>
      <c r="W29" s="62">
        <v>17.56613952133106</v>
      </c>
      <c r="X29" s="62">
        <v>11.29004763153146</v>
      </c>
      <c r="Y29" s="66">
        <v>130.17812199903517</v>
      </c>
      <c r="Z29" s="66">
        <v>83.667626353969311</v>
      </c>
      <c r="AA29" s="67">
        <v>0</v>
      </c>
      <c r="AB29" s="68">
        <v>0</v>
      </c>
      <c r="AC29" s="69">
        <v>0</v>
      </c>
      <c r="AD29" s="69">
        <v>11.651771503024639</v>
      </c>
      <c r="AE29" s="68">
        <v>7.0014722030064718</v>
      </c>
      <c r="AF29" s="68">
        <v>4.499961677225528</v>
      </c>
      <c r="AG29" s="68">
        <v>0.60874776796658348</v>
      </c>
      <c r="AH29" s="69">
        <v>195.20284509658813</v>
      </c>
      <c r="AI29" s="69">
        <v>869.14200909932458</v>
      </c>
      <c r="AJ29" s="69">
        <v>3068.1512992858889</v>
      </c>
      <c r="AK29" s="69">
        <v>561.55357767740895</v>
      </c>
      <c r="AL29" s="69">
        <v>3307.2426973978672</v>
      </c>
      <c r="AM29" s="69">
        <v>2769.826144536336</v>
      </c>
      <c r="AN29" s="69">
        <v>549.52179009119664</v>
      </c>
      <c r="AO29" s="69">
        <v>2412.9526191711425</v>
      </c>
      <c r="AP29" s="69">
        <v>338.79043455123906</v>
      </c>
      <c r="AQ29" s="69">
        <v>772.96437679926555</v>
      </c>
    </row>
    <row r="30" spans="1:43" x14ac:dyDescent="0.25">
      <c r="A30" s="11">
        <v>41570</v>
      </c>
      <c r="B30" s="59"/>
      <c r="C30" s="60">
        <v>65.42771367629345</v>
      </c>
      <c r="D30" s="60">
        <v>939.83132944107194</v>
      </c>
      <c r="E30" s="60">
        <v>12.744341007868448</v>
      </c>
      <c r="F30" s="60">
        <v>0</v>
      </c>
      <c r="G30" s="60">
        <v>2093.9467126210443</v>
      </c>
      <c r="H30" s="61">
        <v>51.501597811778353</v>
      </c>
      <c r="I30" s="59">
        <v>292.69238629341135</v>
      </c>
      <c r="J30" s="60">
        <v>602.99241259892676</v>
      </c>
      <c r="K30" s="60">
        <v>12.635779106616999</v>
      </c>
      <c r="L30" s="50">
        <v>2.5260400772095307E-2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207.39397663337371</v>
      </c>
      <c r="V30" s="62">
        <v>121.49759019419135</v>
      </c>
      <c r="W30" s="62">
        <v>17.503240137773698</v>
      </c>
      <c r="X30" s="62">
        <v>10.25392121724493</v>
      </c>
      <c r="Y30" s="66">
        <v>130.17585245262836</v>
      </c>
      <c r="Z30" s="66">
        <v>76.260905119863793</v>
      </c>
      <c r="AA30" s="67">
        <v>0</v>
      </c>
      <c r="AB30" s="68">
        <v>0</v>
      </c>
      <c r="AC30" s="69">
        <v>0</v>
      </c>
      <c r="AD30" s="69">
        <v>11.256363468700005</v>
      </c>
      <c r="AE30" s="68">
        <v>7.0028091829253212</v>
      </c>
      <c r="AF30" s="68">
        <v>4.1024549223975226</v>
      </c>
      <c r="AG30" s="68">
        <v>0.63058465935707175</v>
      </c>
      <c r="AH30" s="69">
        <v>196.65922902425132</v>
      </c>
      <c r="AI30" s="69">
        <v>862.64844646453867</v>
      </c>
      <c r="AJ30" s="69">
        <v>3029.516347503662</v>
      </c>
      <c r="AK30" s="69">
        <v>561.61726897557571</v>
      </c>
      <c r="AL30" s="69">
        <v>3234.8329176584884</v>
      </c>
      <c r="AM30" s="69">
        <v>2740.0067326863609</v>
      </c>
      <c r="AN30" s="69">
        <v>562.63154099782321</v>
      </c>
      <c r="AO30" s="69">
        <v>2353.4343392690021</v>
      </c>
      <c r="AP30" s="69">
        <v>300.23567523956302</v>
      </c>
      <c r="AQ30" s="69">
        <v>768.07001533508299</v>
      </c>
    </row>
    <row r="31" spans="1:43" x14ac:dyDescent="0.25">
      <c r="A31" s="11">
        <v>41571</v>
      </c>
      <c r="B31" s="59"/>
      <c r="C31" s="60">
        <v>53.207770810524629</v>
      </c>
      <c r="D31" s="60">
        <v>764.69754133224467</v>
      </c>
      <c r="E31" s="60">
        <v>10.534954870740567</v>
      </c>
      <c r="F31" s="60">
        <v>0</v>
      </c>
      <c r="G31" s="60">
        <v>1557.0030157089227</v>
      </c>
      <c r="H31" s="61">
        <v>41.907167601585279</v>
      </c>
      <c r="I31" s="59">
        <v>292.39476165771492</v>
      </c>
      <c r="J31" s="60">
        <v>602.47866210937389</v>
      </c>
      <c r="K31" s="60">
        <v>12.634750026464483</v>
      </c>
      <c r="L31" s="50">
        <v>1.9196283817291399E-2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210.27340118632887</v>
      </c>
      <c r="V31" s="62">
        <v>100.42971529417636</v>
      </c>
      <c r="W31" s="62">
        <v>18.318711718244938</v>
      </c>
      <c r="X31" s="62">
        <v>8.7492901719375631</v>
      </c>
      <c r="Y31" s="66">
        <v>130.10681699077725</v>
      </c>
      <c r="Z31" s="66">
        <v>62.140957983728107</v>
      </c>
      <c r="AA31" s="67">
        <v>0</v>
      </c>
      <c r="AB31" s="68">
        <v>0</v>
      </c>
      <c r="AC31" s="69">
        <v>0</v>
      </c>
      <c r="AD31" s="69">
        <v>10.492268543773227</v>
      </c>
      <c r="AE31" s="68">
        <v>7.0006430891603237</v>
      </c>
      <c r="AF31" s="68">
        <v>3.3436116425277347</v>
      </c>
      <c r="AG31" s="68">
        <v>0.67676630852050779</v>
      </c>
      <c r="AH31" s="69">
        <v>200.54809533754982</v>
      </c>
      <c r="AI31" s="69">
        <v>859.85054823557516</v>
      </c>
      <c r="AJ31" s="69">
        <v>2967.3392112731935</v>
      </c>
      <c r="AK31" s="69">
        <v>560.24704329172766</v>
      </c>
      <c r="AL31" s="69">
        <v>3151.6011870066318</v>
      </c>
      <c r="AM31" s="69">
        <v>2706.2940436045333</v>
      </c>
      <c r="AN31" s="69">
        <v>587.07876679102571</v>
      </c>
      <c r="AO31" s="69">
        <v>2028.1343710581459</v>
      </c>
      <c r="AP31" s="69">
        <v>289.00351077715555</v>
      </c>
      <c r="AQ31" s="69">
        <v>680.35945345560719</v>
      </c>
    </row>
    <row r="32" spans="1:43" x14ac:dyDescent="0.25">
      <c r="A32" s="11">
        <v>41572</v>
      </c>
      <c r="B32" s="59"/>
      <c r="C32" s="60">
        <v>41.328951688607447</v>
      </c>
      <c r="D32" s="60">
        <v>594.13965082168534</v>
      </c>
      <c r="E32" s="60">
        <v>8.3399283935626443</v>
      </c>
      <c r="F32" s="60">
        <v>0</v>
      </c>
      <c r="G32" s="60">
        <v>1073.508146953583</v>
      </c>
      <c r="H32" s="61">
        <v>32.574705088138678</v>
      </c>
      <c r="I32" s="59">
        <v>317.31540082295743</v>
      </c>
      <c r="J32" s="60">
        <v>653.65281359354537</v>
      </c>
      <c r="K32" s="60">
        <v>13.460096562902166</v>
      </c>
      <c r="L32" s="50">
        <v>2.1682381629944143E-2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206.95670573689534</v>
      </c>
      <c r="V32" s="62">
        <v>75.397348576340619</v>
      </c>
      <c r="W32" s="62">
        <v>18.84500464942187</v>
      </c>
      <c r="X32" s="62">
        <v>6.8655102496730303</v>
      </c>
      <c r="Y32" s="66">
        <v>134.10266423344459</v>
      </c>
      <c r="Z32" s="66">
        <v>48.855557901463271</v>
      </c>
      <c r="AA32" s="67">
        <v>0</v>
      </c>
      <c r="AB32" s="68">
        <v>0</v>
      </c>
      <c r="AC32" s="69">
        <v>0</v>
      </c>
      <c r="AD32" s="69">
        <v>9.6695109271340911</v>
      </c>
      <c r="AE32" s="68">
        <v>6.9059706372982026</v>
      </c>
      <c r="AF32" s="68">
        <v>2.5159459005899656</v>
      </c>
      <c r="AG32" s="68">
        <v>0.73296877652517489</v>
      </c>
      <c r="AH32" s="69">
        <v>198.05921523571013</v>
      </c>
      <c r="AI32" s="69">
        <v>826.59217198689771</v>
      </c>
      <c r="AJ32" s="69">
        <v>2950.1146697998042</v>
      </c>
      <c r="AK32" s="69">
        <v>560.84654515584316</v>
      </c>
      <c r="AL32" s="69">
        <v>3148.383322779338</v>
      </c>
      <c r="AM32" s="69">
        <v>2695.6156119028724</v>
      </c>
      <c r="AN32" s="69">
        <v>577.3842491149901</v>
      </c>
      <c r="AO32" s="69">
        <v>1974.7960802714031</v>
      </c>
      <c r="AP32" s="69">
        <v>283.10698652267462</v>
      </c>
      <c r="AQ32" s="69">
        <v>722.35304714838662</v>
      </c>
    </row>
    <row r="33" spans="1:43" x14ac:dyDescent="0.25">
      <c r="A33" s="11">
        <v>41573</v>
      </c>
      <c r="B33" s="59"/>
      <c r="C33" s="60">
        <v>35.894564141829782</v>
      </c>
      <c r="D33" s="60">
        <v>514.87442118326817</v>
      </c>
      <c r="E33" s="60">
        <v>7.2388177141547079</v>
      </c>
      <c r="F33" s="60">
        <v>0</v>
      </c>
      <c r="G33" s="60">
        <v>489.10385697682705</v>
      </c>
      <c r="H33" s="61">
        <v>28.226615615685844</v>
      </c>
      <c r="I33" s="59">
        <v>334.05132589340269</v>
      </c>
      <c r="J33" s="60">
        <v>698.12318337758336</v>
      </c>
      <c r="K33" s="60">
        <v>14.404529523849529</v>
      </c>
      <c r="L33" s="50">
        <v>2.058954238891644E-2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234.03224539893711</v>
      </c>
      <c r="V33" s="62">
        <v>65.812331415502854</v>
      </c>
      <c r="W33" s="62">
        <v>20.593422631388975</v>
      </c>
      <c r="X33" s="62">
        <v>5.7910872618694418</v>
      </c>
      <c r="Y33" s="66">
        <v>161.67882552324164</v>
      </c>
      <c r="Z33" s="66">
        <v>45.465787973220742</v>
      </c>
      <c r="AA33" s="67">
        <v>0</v>
      </c>
      <c r="AB33" s="68">
        <v>0</v>
      </c>
      <c r="AC33" s="69">
        <v>0</v>
      </c>
      <c r="AD33" s="69">
        <v>10.548921131425415</v>
      </c>
      <c r="AE33" s="68">
        <v>8.0015745867474273</v>
      </c>
      <c r="AF33" s="68">
        <v>2.2501270183996565</v>
      </c>
      <c r="AG33" s="68">
        <v>0.78051185012350222</v>
      </c>
      <c r="AH33" s="69">
        <v>194.92730885346734</v>
      </c>
      <c r="AI33" s="69">
        <v>832.51807111104335</v>
      </c>
      <c r="AJ33" s="69">
        <v>2968.9971333821613</v>
      </c>
      <c r="AK33" s="69">
        <v>564.56252482732134</v>
      </c>
      <c r="AL33" s="69">
        <v>3160.533012898763</v>
      </c>
      <c r="AM33" s="69">
        <v>2613.4215465545653</v>
      </c>
      <c r="AN33" s="69">
        <v>584.98379189173374</v>
      </c>
      <c r="AO33" s="69">
        <v>2030.8264951070153</v>
      </c>
      <c r="AP33" s="69">
        <v>286.20292468070983</v>
      </c>
      <c r="AQ33" s="69">
        <v>692.83872865041076</v>
      </c>
    </row>
    <row r="34" spans="1:43" x14ac:dyDescent="0.25">
      <c r="A34" s="11">
        <v>41574</v>
      </c>
      <c r="B34" s="59"/>
      <c r="C34" s="60">
        <v>35.692522327105145</v>
      </c>
      <c r="D34" s="60">
        <v>515.73977521260599</v>
      </c>
      <c r="E34" s="60">
        <v>7.2270708655317621</v>
      </c>
      <c r="F34" s="60">
        <v>0</v>
      </c>
      <c r="G34" s="60">
        <v>487.10030698776239</v>
      </c>
      <c r="H34" s="61">
        <v>29.060871594150928</v>
      </c>
      <c r="I34" s="59">
        <v>323.94251395861346</v>
      </c>
      <c r="J34" s="60">
        <v>698.02601639429599</v>
      </c>
      <c r="K34" s="60">
        <v>14.403043735027341</v>
      </c>
      <c r="L34" s="50">
        <v>2.1004045009613167E-2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239.35861409508803</v>
      </c>
      <c r="V34" s="62">
        <v>67.337131733327652</v>
      </c>
      <c r="W34" s="62">
        <v>20.806145402160926</v>
      </c>
      <c r="X34" s="62">
        <v>5.8532514449281763</v>
      </c>
      <c r="Y34" s="66">
        <v>163.39133316647141</v>
      </c>
      <c r="Z34" s="66">
        <v>45.965773018488143</v>
      </c>
      <c r="AA34" s="67">
        <v>0</v>
      </c>
      <c r="AB34" s="68">
        <v>0</v>
      </c>
      <c r="AC34" s="69">
        <v>0</v>
      </c>
      <c r="AD34" s="69">
        <v>10.550350031587818</v>
      </c>
      <c r="AE34" s="68">
        <v>7.9979149730622998</v>
      </c>
      <c r="AF34" s="68">
        <v>2.249999049205313</v>
      </c>
      <c r="AG34" s="68">
        <v>0.78044321563234154</v>
      </c>
      <c r="AH34" s="69">
        <v>194.18982480367029</v>
      </c>
      <c r="AI34" s="69">
        <v>847.98708693186427</v>
      </c>
      <c r="AJ34" s="69">
        <v>2999.8586849212643</v>
      </c>
      <c r="AK34" s="69">
        <v>562.52006883621209</v>
      </c>
      <c r="AL34" s="69">
        <v>3186.070383961995</v>
      </c>
      <c r="AM34" s="69">
        <v>2593.0827561696374</v>
      </c>
      <c r="AN34" s="69">
        <v>579.98119045893361</v>
      </c>
      <c r="AO34" s="69">
        <v>1986.1290630340575</v>
      </c>
      <c r="AP34" s="69">
        <v>287.4007259051005</v>
      </c>
      <c r="AQ34" s="69">
        <v>771.22994435628266</v>
      </c>
    </row>
    <row r="35" spans="1:43" x14ac:dyDescent="0.25">
      <c r="A35" s="11">
        <v>41575</v>
      </c>
      <c r="B35" s="59"/>
      <c r="C35" s="60">
        <v>35.870521316925611</v>
      </c>
      <c r="D35" s="60">
        <v>516.42669089635137</v>
      </c>
      <c r="E35" s="60">
        <v>7.2178021147847264</v>
      </c>
      <c r="F35" s="60">
        <v>0</v>
      </c>
      <c r="G35" s="60">
        <v>477.81759977340658</v>
      </c>
      <c r="H35" s="61">
        <v>30.04641078909248</v>
      </c>
      <c r="I35" s="59">
        <v>322.74302331606566</v>
      </c>
      <c r="J35" s="60">
        <v>697.85440893173245</v>
      </c>
      <c r="K35" s="60">
        <v>14.41369342108568</v>
      </c>
      <c r="L35" s="50">
        <v>2.4168217182160091E-2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234.34424940502404</v>
      </c>
      <c r="V35" s="62">
        <v>61.108844484003932</v>
      </c>
      <c r="W35" s="62">
        <v>20.665322727907203</v>
      </c>
      <c r="X35" s="62">
        <v>5.3887987266495285</v>
      </c>
      <c r="Y35" s="66">
        <v>178.44976009916326</v>
      </c>
      <c r="Z35" s="66">
        <v>46.533502169538579</v>
      </c>
      <c r="AA35" s="67">
        <v>0</v>
      </c>
      <c r="AB35" s="68">
        <v>0</v>
      </c>
      <c r="AC35" s="69">
        <v>0</v>
      </c>
      <c r="AD35" s="69">
        <v>10.102594168649777</v>
      </c>
      <c r="AE35" s="68">
        <v>7.7743795735397345</v>
      </c>
      <c r="AF35" s="68">
        <v>2.0272882885978385</v>
      </c>
      <c r="AG35" s="68">
        <v>0.79316904866477256</v>
      </c>
      <c r="AH35" s="69">
        <v>213.00384349822994</v>
      </c>
      <c r="AI35" s="69">
        <v>868.39195861816404</v>
      </c>
      <c r="AJ35" s="69">
        <v>2972.266896311442</v>
      </c>
      <c r="AK35" s="69">
        <v>567.71105747222896</v>
      </c>
      <c r="AL35" s="69">
        <v>3321.966501108805</v>
      </c>
      <c r="AM35" s="69">
        <v>2741.2475372314452</v>
      </c>
      <c r="AN35" s="69">
        <v>607.97747885386138</v>
      </c>
      <c r="AO35" s="69">
        <v>1880.6256275177004</v>
      </c>
      <c r="AP35" s="69">
        <v>290.28729241689047</v>
      </c>
      <c r="AQ35" s="69">
        <v>710.960057735443</v>
      </c>
    </row>
    <row r="36" spans="1:43" x14ac:dyDescent="0.25">
      <c r="A36" s="11">
        <v>41576</v>
      </c>
      <c r="B36" s="59"/>
      <c r="C36" s="60">
        <v>35.542990813652509</v>
      </c>
      <c r="D36" s="60">
        <v>515.99970560073859</v>
      </c>
      <c r="E36" s="60">
        <v>7.1967739934722621</v>
      </c>
      <c r="F36" s="60">
        <v>0</v>
      </c>
      <c r="G36" s="60">
        <v>531.48602606455495</v>
      </c>
      <c r="H36" s="61">
        <v>31.018946288029429</v>
      </c>
      <c r="I36" s="59">
        <v>343.31036602656008</v>
      </c>
      <c r="J36" s="60">
        <v>697.83223727544112</v>
      </c>
      <c r="K36" s="60">
        <v>14.480314486225474</v>
      </c>
      <c r="L36" s="50">
        <v>2.9723417758942293E-2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240.95924616108186</v>
      </c>
      <c r="V36" s="62">
        <v>67.760239884755549</v>
      </c>
      <c r="W36" s="62">
        <v>21.33478268417354</v>
      </c>
      <c r="X36" s="62">
        <v>5.9995622313754557</v>
      </c>
      <c r="Y36" s="66">
        <v>183.35285173657684</v>
      </c>
      <c r="Z36" s="66">
        <v>51.560724127261615</v>
      </c>
      <c r="AA36" s="67">
        <v>0</v>
      </c>
      <c r="AB36" s="68">
        <v>0</v>
      </c>
      <c r="AC36" s="69">
        <v>0</v>
      </c>
      <c r="AD36" s="69">
        <v>10.544144689374509</v>
      </c>
      <c r="AE36" s="68">
        <v>8.0003247651493936</v>
      </c>
      <c r="AF36" s="68">
        <v>2.2497743244103434</v>
      </c>
      <c r="AG36" s="68">
        <v>0.78051194385995193</v>
      </c>
      <c r="AH36" s="69">
        <v>210.43741474151611</v>
      </c>
      <c r="AI36" s="69">
        <v>884.77565186818435</v>
      </c>
      <c r="AJ36" s="69">
        <v>2990.6120679219562</v>
      </c>
      <c r="AK36" s="69">
        <v>568.62076320648191</v>
      </c>
      <c r="AL36" s="69">
        <v>3502.7520860036216</v>
      </c>
      <c r="AM36" s="69">
        <v>2725.1998963673909</v>
      </c>
      <c r="AN36" s="69">
        <v>622.66545724868786</v>
      </c>
      <c r="AO36" s="69">
        <v>1887.605383046468</v>
      </c>
      <c r="AP36" s="69">
        <v>290.63767738342284</v>
      </c>
      <c r="AQ36" s="69">
        <v>692.70802863438939</v>
      </c>
    </row>
    <row r="37" spans="1:43" x14ac:dyDescent="0.25">
      <c r="A37" s="11">
        <v>41577</v>
      </c>
      <c r="B37" s="59"/>
      <c r="C37" s="60">
        <v>35.810776352882392</v>
      </c>
      <c r="D37" s="60">
        <v>516.10518150329551</v>
      </c>
      <c r="E37" s="60">
        <v>7.2051389192541553</v>
      </c>
      <c r="F37" s="60">
        <v>0</v>
      </c>
      <c r="G37" s="60">
        <v>520.35219777425164</v>
      </c>
      <c r="H37" s="61">
        <v>28.194493162632071</v>
      </c>
      <c r="I37" s="59">
        <v>323.74732357660969</v>
      </c>
      <c r="J37" s="60">
        <v>697.77248414357541</v>
      </c>
      <c r="K37" s="60">
        <v>14.477936989069013</v>
      </c>
      <c r="L37" s="50">
        <v>4.1078376770019923E-2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238.47644700747225</v>
      </c>
      <c r="V37" s="62">
        <v>67.078650657254229</v>
      </c>
      <c r="W37" s="62">
        <v>21.987683588177646</v>
      </c>
      <c r="X37" s="62">
        <v>6.1846952379636759</v>
      </c>
      <c r="Y37" s="66">
        <v>180.78970017071802</v>
      </c>
      <c r="Z37" s="66">
        <v>50.852523560959241</v>
      </c>
      <c r="AA37" s="67">
        <v>0</v>
      </c>
      <c r="AB37" s="68">
        <v>0</v>
      </c>
      <c r="AC37" s="69">
        <v>0</v>
      </c>
      <c r="AD37" s="69">
        <v>10.420482285155154</v>
      </c>
      <c r="AE37" s="68">
        <v>7.8990130635454578</v>
      </c>
      <c r="AF37" s="68">
        <v>2.2218342501976767</v>
      </c>
      <c r="AG37" s="68">
        <v>0.78046954159849435</v>
      </c>
      <c r="AH37" s="69">
        <v>210.90047851403557</v>
      </c>
      <c r="AI37" s="69">
        <v>892.52524490356427</v>
      </c>
      <c r="AJ37" s="69">
        <v>2986.6227717081701</v>
      </c>
      <c r="AK37" s="69">
        <v>566.56423228581741</v>
      </c>
      <c r="AL37" s="69">
        <v>3360.9149884541835</v>
      </c>
      <c r="AM37" s="69">
        <v>2702.9806179046632</v>
      </c>
      <c r="AN37" s="69">
        <v>614.34921423594164</v>
      </c>
      <c r="AO37" s="69">
        <v>1830.3052974700929</v>
      </c>
      <c r="AP37" s="69">
        <v>277.25837990442915</v>
      </c>
      <c r="AQ37" s="69">
        <v>687.42157058715816</v>
      </c>
    </row>
    <row r="38" spans="1:43" ht="15.75" thickBot="1" x14ac:dyDescent="0.3">
      <c r="A38" s="11">
        <v>41578</v>
      </c>
      <c r="B38" s="73"/>
      <c r="C38" s="74">
        <v>13.259303917487467</v>
      </c>
      <c r="D38" s="74">
        <v>189.65194234053286</v>
      </c>
      <c r="E38" s="74">
        <v>2.9907356177767119</v>
      </c>
      <c r="F38" s="74">
        <v>0</v>
      </c>
      <c r="G38" s="74">
        <v>201.53089243570972</v>
      </c>
      <c r="H38" s="75">
        <v>10.555511588851612</v>
      </c>
      <c r="I38" s="76">
        <v>334.31380813916553</v>
      </c>
      <c r="J38" s="74">
        <v>846.22999560038204</v>
      </c>
      <c r="K38" s="74">
        <v>17.541757441560442</v>
      </c>
      <c r="L38" s="74">
        <v>6.1415100097655273E-2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271.74394235252038</v>
      </c>
      <c r="V38" s="80">
        <v>23.957063434796041</v>
      </c>
      <c r="W38" s="81">
        <v>24.090435750505691</v>
      </c>
      <c r="X38" s="81">
        <v>2.1238232302453763</v>
      </c>
      <c r="Y38" s="80">
        <v>223.89365258079212</v>
      </c>
      <c r="Z38" s="80">
        <v>19.738561202471914</v>
      </c>
      <c r="AA38" s="82">
        <v>0</v>
      </c>
      <c r="AB38" s="83">
        <v>0</v>
      </c>
      <c r="AC38" s="84">
        <v>0</v>
      </c>
      <c r="AD38" s="85">
        <v>10.047037805782415</v>
      </c>
      <c r="AE38" s="83">
        <v>9.014809246087518</v>
      </c>
      <c r="AF38" s="83">
        <v>0.79474948030649761</v>
      </c>
      <c r="AG38" s="83">
        <v>0.91898213747697832</v>
      </c>
      <c r="AH38" s="84">
        <v>207.1117873112361</v>
      </c>
      <c r="AI38" s="84">
        <v>876.46810099283869</v>
      </c>
      <c r="AJ38" s="84">
        <v>1808.2779685338335</v>
      </c>
      <c r="AK38" s="84">
        <v>567.04858245849607</v>
      </c>
      <c r="AL38" s="84">
        <v>2256.9844823837279</v>
      </c>
      <c r="AM38" s="84">
        <v>2452.6480323791502</v>
      </c>
      <c r="AN38" s="84">
        <v>610.97475134531646</v>
      </c>
      <c r="AO38" s="84">
        <v>1834.2779313405354</v>
      </c>
      <c r="AP38" s="84">
        <v>321.75887452363969</v>
      </c>
      <c r="AQ38" s="84">
        <v>754.77145430246992</v>
      </c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2453.0911573350463</v>
      </c>
      <c r="D39" s="30">
        <f t="shared" si="0"/>
        <v>28039.626415626219</v>
      </c>
      <c r="E39" s="30">
        <f t="shared" si="0"/>
        <v>387.19583569268428</v>
      </c>
      <c r="F39" s="30">
        <f t="shared" si="0"/>
        <v>0</v>
      </c>
      <c r="G39" s="30">
        <f t="shared" si="0"/>
        <v>64318.374997234336</v>
      </c>
      <c r="H39" s="31">
        <f t="shared" si="0"/>
        <v>1502.1723581969727</v>
      </c>
      <c r="I39" s="29">
        <f t="shared" si="0"/>
        <v>10092.269178597138</v>
      </c>
      <c r="J39" s="30">
        <f t="shared" si="0"/>
        <v>21839.278857739748</v>
      </c>
      <c r="K39" s="30">
        <f t="shared" si="0"/>
        <v>454.63514393121051</v>
      </c>
      <c r="L39" s="30">
        <f t="shared" si="0"/>
        <v>0.81937556266785638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7059.3629528801212</v>
      </c>
      <c r="V39" s="255">
        <f t="shared" si="0"/>
        <v>3463.2636577592471</v>
      </c>
      <c r="W39" s="255">
        <f t="shared" si="0"/>
        <v>620.62745895900127</v>
      </c>
      <c r="X39" s="255">
        <f t="shared" si="0"/>
        <v>303.69895084979345</v>
      </c>
      <c r="Y39" s="255">
        <f t="shared" si="0"/>
        <v>5252.137995328234</v>
      </c>
      <c r="Z39" s="255">
        <f t="shared" si="0"/>
        <v>2561.2138526541739</v>
      </c>
      <c r="AA39" s="263">
        <f t="shared" si="0"/>
        <v>0</v>
      </c>
      <c r="AB39" s="266">
        <f t="shared" si="0"/>
        <v>0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Q39" si="1">SUM(AH8:AH38)</f>
        <v>6953.020549686752</v>
      </c>
      <c r="AI39" s="266">
        <f t="shared" si="1"/>
        <v>26084.167629559841</v>
      </c>
      <c r="AJ39" s="266">
        <f t="shared" si="1"/>
        <v>92712.331838957442</v>
      </c>
      <c r="AK39" s="266">
        <f t="shared" si="1"/>
        <v>17470.457869784033</v>
      </c>
      <c r="AL39" s="266">
        <f t="shared" si="1"/>
        <v>98513.055478858951</v>
      </c>
      <c r="AM39" s="266">
        <f t="shared" si="1"/>
        <v>84154.714164479577</v>
      </c>
      <c r="AN39" s="266">
        <f t="shared" si="1"/>
        <v>17913.137619241079</v>
      </c>
      <c r="AO39" s="266">
        <f t="shared" si="1"/>
        <v>60069.904093933095</v>
      </c>
      <c r="AP39" s="266">
        <f t="shared" si="1"/>
        <v>10626.383130816621</v>
      </c>
      <c r="AQ39" s="266">
        <f t="shared" si="1"/>
        <v>22635.661273002625</v>
      </c>
    </row>
    <row r="40" spans="1:43" ht="15.75" thickBot="1" x14ac:dyDescent="0.3">
      <c r="A40" s="47" t="s">
        <v>172</v>
      </c>
      <c r="B40" s="32">
        <f>Projection!$AD$30</f>
        <v>0.91139353199999984</v>
      </c>
      <c r="C40" s="33">
        <f>Projection!$AD$28</f>
        <v>1.4375491199999999</v>
      </c>
      <c r="D40" s="33">
        <f>Projection!$AD$31</f>
        <v>2.0999286000000001</v>
      </c>
      <c r="E40" s="33">
        <f>Projection!$AD$26</f>
        <v>3.8734129199999998</v>
      </c>
      <c r="F40" s="33">
        <f>Projection!$AD$23</f>
        <v>5.8379999999999994E-2</v>
      </c>
      <c r="G40" s="33">
        <f>Projection!$AD$24</f>
        <v>5.3200000000000004E-2</v>
      </c>
      <c r="H40" s="34">
        <f>Projection!$AD$29</f>
        <v>3.6371774160000006</v>
      </c>
      <c r="I40" s="32">
        <f>Projection!$AD$30</f>
        <v>0.91139353199999984</v>
      </c>
      <c r="J40" s="33">
        <f>Projection!$AD$28</f>
        <v>1.4375491199999999</v>
      </c>
      <c r="K40" s="33">
        <f>Projection!$AD$26</f>
        <v>3.8734129199999998</v>
      </c>
      <c r="L40" s="33">
        <f>Projection!$AD$25</f>
        <v>0.37613399999999997</v>
      </c>
      <c r="M40" s="33">
        <f>Projection!$AD$23</f>
        <v>5.8379999999999994E-2</v>
      </c>
      <c r="N40" s="34">
        <f>Projection!$AD$23</f>
        <v>5.8379999999999994E-2</v>
      </c>
      <c r="O40" s="257">
        <v>15.77</v>
      </c>
      <c r="P40" s="258">
        <v>15.77</v>
      </c>
      <c r="Q40" s="258">
        <v>15.77</v>
      </c>
      <c r="R40" s="258">
        <v>15.77</v>
      </c>
      <c r="S40" s="258">
        <f>Projection!$AD$28</f>
        <v>1.4375491199999999</v>
      </c>
      <c r="T40" s="259">
        <f>Projection!$AD$28</f>
        <v>1.4375491199999999</v>
      </c>
      <c r="U40" s="257">
        <f>Projection!$AD$27</f>
        <v>0.26250000000000001</v>
      </c>
      <c r="V40" s="258">
        <f>Projection!$AD$27</f>
        <v>0.26250000000000001</v>
      </c>
      <c r="W40" s="258">
        <f>Projection!$AD$22</f>
        <v>1.2186999999999999</v>
      </c>
      <c r="X40" s="258">
        <f>Projection!$AD$22</f>
        <v>1.2186999999999999</v>
      </c>
      <c r="Y40" s="258">
        <f>Projection!$AD$31</f>
        <v>2.0999286000000001</v>
      </c>
      <c r="Z40" s="258">
        <f>Projection!$AD$31</f>
        <v>2.0999286000000001</v>
      </c>
      <c r="AA40" s="264">
        <v>0</v>
      </c>
      <c r="AB40" s="267">
        <f>Projection!$AD$27</f>
        <v>0.26250000000000001</v>
      </c>
      <c r="AC40" s="267">
        <f>Projection!$AD$30</f>
        <v>0.91139353199999984</v>
      </c>
      <c r="AD40" s="270">
        <f>SUM(AD8:AD38)</f>
        <v>368.54122187991919</v>
      </c>
      <c r="AE40" s="270">
        <f>SUM(AE8:AE38)</f>
        <v>242.44795315458279</v>
      </c>
      <c r="AF40" s="270">
        <f>SUM(AF8:AF38)</f>
        <v>119.39271850282226</v>
      </c>
      <c r="AG40" s="270">
        <f>IF(SUM(AE40:AF40)&gt;0, AE40/(AE40+AF40), "")</f>
        <v>0.67004063430474547</v>
      </c>
      <c r="AH40" s="306">
        <v>6.7000000000000004E-2</v>
      </c>
      <c r="AI40" s="306">
        <f t="shared" ref="AI40:AQ40" si="2">$AH$40</f>
        <v>6.7000000000000004E-2</v>
      </c>
      <c r="AJ40" s="306">
        <f t="shared" si="2"/>
        <v>6.7000000000000004E-2</v>
      </c>
      <c r="AK40" s="306">
        <f t="shared" si="2"/>
        <v>6.7000000000000004E-2</v>
      </c>
      <c r="AL40" s="306">
        <f t="shared" si="2"/>
        <v>6.7000000000000004E-2</v>
      </c>
      <c r="AM40" s="306">
        <f t="shared" si="2"/>
        <v>6.7000000000000004E-2</v>
      </c>
      <c r="AN40" s="306">
        <f t="shared" si="2"/>
        <v>6.7000000000000004E-2</v>
      </c>
      <c r="AO40" s="306">
        <f t="shared" si="2"/>
        <v>6.7000000000000004E-2</v>
      </c>
      <c r="AP40" s="306">
        <f t="shared" si="2"/>
        <v>6.7000000000000004E-2</v>
      </c>
      <c r="AQ40" s="306">
        <f t="shared" si="2"/>
        <v>6.7000000000000004E-2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3526.4390345067773</v>
      </c>
      <c r="D41" s="36">
        <f t="shared" si="3"/>
        <v>58881.213443488989</v>
      </c>
      <c r="E41" s="36">
        <f t="shared" si="3"/>
        <v>1499.7693525422403</v>
      </c>
      <c r="F41" s="36">
        <f t="shared" si="3"/>
        <v>0</v>
      </c>
      <c r="G41" s="36">
        <f t="shared" si="3"/>
        <v>3421.7375498528668</v>
      </c>
      <c r="H41" s="37">
        <f t="shared" si="3"/>
        <v>5463.6673761734928</v>
      </c>
      <c r="I41" s="35">
        <f t="shared" si="3"/>
        <v>9198.0288525763826</v>
      </c>
      <c r="J41" s="36">
        <f t="shared" si="3"/>
        <v>31395.036103378377</v>
      </c>
      <c r="K41" s="36">
        <f t="shared" si="3"/>
        <v>1760.9896403892103</v>
      </c>
      <c r="L41" s="36">
        <f t="shared" si="3"/>
        <v>0.30819500788851145</v>
      </c>
      <c r="M41" s="36">
        <f t="shared" si="3"/>
        <v>0</v>
      </c>
      <c r="N41" s="37">
        <f t="shared" si="3"/>
        <v>0</v>
      </c>
      <c r="O41" s="260">
        <f t="shared" si="3"/>
        <v>0</v>
      </c>
      <c r="P41" s="261">
        <f t="shared" si="3"/>
        <v>0</v>
      </c>
      <c r="Q41" s="261">
        <f t="shared" si="3"/>
        <v>0</v>
      </c>
      <c r="R41" s="261">
        <f t="shared" si="3"/>
        <v>0</v>
      </c>
      <c r="S41" s="261">
        <f t="shared" si="3"/>
        <v>0</v>
      </c>
      <c r="T41" s="262">
        <f t="shared" si="3"/>
        <v>0</v>
      </c>
      <c r="U41" s="260">
        <f t="shared" si="3"/>
        <v>1853.0827751310319</v>
      </c>
      <c r="V41" s="261">
        <f t="shared" si="3"/>
        <v>909.10671016180243</v>
      </c>
      <c r="W41" s="261">
        <f t="shared" si="3"/>
        <v>756.35868423333477</v>
      </c>
      <c r="X41" s="261">
        <f t="shared" si="3"/>
        <v>370.11791140064327</v>
      </c>
      <c r="Y41" s="261">
        <f t="shared" si="3"/>
        <v>11029.114787536426</v>
      </c>
      <c r="Z41" s="261">
        <f t="shared" si="3"/>
        <v>5378.3662199046857</v>
      </c>
      <c r="AA41" s="265">
        <f t="shared" si="3"/>
        <v>0</v>
      </c>
      <c r="AB41" s="268">
        <f t="shared" si="3"/>
        <v>0</v>
      </c>
      <c r="AC41" s="268">
        <f t="shared" si="3"/>
        <v>0</v>
      </c>
      <c r="AH41" s="271">
        <f t="shared" ref="AH41:AQ41" si="4">AH40*AH39</f>
        <v>465.85237682901243</v>
      </c>
      <c r="AI41" s="271">
        <f t="shared" si="4"/>
        <v>1747.6392311805093</v>
      </c>
      <c r="AJ41" s="271">
        <f t="shared" si="4"/>
        <v>6211.7262332101491</v>
      </c>
      <c r="AK41" s="271">
        <f t="shared" si="4"/>
        <v>1170.5206772755303</v>
      </c>
      <c r="AL41" s="271">
        <f t="shared" si="4"/>
        <v>6600.3747170835504</v>
      </c>
      <c r="AM41" s="271">
        <f t="shared" si="4"/>
        <v>5638.3658490201324</v>
      </c>
      <c r="AN41" s="271">
        <f t="shared" si="4"/>
        <v>1200.1802204891524</v>
      </c>
      <c r="AO41" s="271">
        <f t="shared" si="4"/>
        <v>4024.6835742935177</v>
      </c>
      <c r="AP41" s="271">
        <f t="shared" si="4"/>
        <v>711.96766976471361</v>
      </c>
      <c r="AQ41" s="271">
        <f t="shared" si="4"/>
        <v>1516.5893052911758</v>
      </c>
    </row>
    <row r="42" spans="1:43" ht="49.5" customHeight="1" thickTop="1" thickBot="1" x14ac:dyDescent="0.3">
      <c r="A42" s="562" t="s">
        <v>210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611.83000000000004</v>
      </c>
      <c r="AI42" s="271" t="s">
        <v>197</v>
      </c>
      <c r="AJ42" s="271">
        <v>1405.08</v>
      </c>
      <c r="AK42" s="271">
        <v>373.29</v>
      </c>
      <c r="AL42" s="271">
        <v>819.28</v>
      </c>
      <c r="AM42" s="271">
        <v>3777.29</v>
      </c>
      <c r="AN42" s="271">
        <v>723.02</v>
      </c>
      <c r="AO42" s="271" t="s">
        <v>197</v>
      </c>
      <c r="AP42" s="271">
        <v>86.23</v>
      </c>
      <c r="AQ42" s="271">
        <v>322.52999999999997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24.75" thickTop="1" thickBot="1" x14ac:dyDescent="0.3">
      <c r="A44" s="275" t="s">
        <v>135</v>
      </c>
      <c r="B44" s="276">
        <f>SUM(B41:AC41)</f>
        <v>135443.33663628413</v>
      </c>
      <c r="C44" s="12"/>
      <c r="D44" s="275" t="s">
        <v>135</v>
      </c>
      <c r="E44" s="276">
        <f>SUM(B41:H41)+P41+R41+T41+V41+X41+Z41</f>
        <v>79450.41759803149</v>
      </c>
      <c r="F44" s="12"/>
      <c r="G44" s="275" t="s">
        <v>135</v>
      </c>
      <c r="H44" s="276">
        <f>SUM(I41:N41)+O41+Q41+S41+U41+W41+Y41</f>
        <v>55992.91903825265</v>
      </c>
      <c r="I44" s="12"/>
      <c r="J44" s="275" t="s">
        <v>198</v>
      </c>
      <c r="K44" s="276">
        <v>89883.21</v>
      </c>
      <c r="L44" s="12"/>
      <c r="M44" s="12"/>
      <c r="N44" s="12"/>
      <c r="O44" s="12"/>
      <c r="P44" s="12"/>
      <c r="Q44" s="12"/>
      <c r="R44" s="313" t="s">
        <v>135</v>
      </c>
      <c r="S44" s="314"/>
      <c r="T44" s="307" t="s">
        <v>167</v>
      </c>
      <c r="U44" s="248" t="s">
        <v>168</v>
      </c>
    </row>
    <row r="45" spans="1:43" ht="24" thickBot="1" x14ac:dyDescent="0.4">
      <c r="A45" s="277" t="s">
        <v>183</v>
      </c>
      <c r="B45" s="278">
        <f>SUM(AH41:AQ41)</f>
        <v>29287.899854437441</v>
      </c>
      <c r="C45" s="12"/>
      <c r="D45" s="277" t="s">
        <v>183</v>
      </c>
      <c r="E45" s="278">
        <f>AH41*(1-$AG$40)+AI41+AJ41*0.5+AL41+AM41*(1-$AG$40)+AN41*(1-$AG$40)+AO41*(1-$AG$40)+AP41*0.5+AQ41*0.5</f>
        <v>16306.292269834263</v>
      </c>
      <c r="F45" s="24"/>
      <c r="G45" s="277" t="s">
        <v>183</v>
      </c>
      <c r="H45" s="278">
        <f>AH41*AG40+AJ41*0.5+AK41+AM41*AG40+AN41*AG40+AO41*AG40+AP41*0.5+AQ41*0.5</f>
        <v>12981.607584603176</v>
      </c>
      <c r="I45" s="12"/>
      <c r="J45" s="12"/>
      <c r="K45" s="281"/>
      <c r="L45" s="12"/>
      <c r="M45" s="12"/>
      <c r="N45" s="12"/>
      <c r="O45" s="12"/>
      <c r="P45" s="12"/>
      <c r="Q45" s="12"/>
      <c r="R45" s="311" t="s">
        <v>141</v>
      </c>
      <c r="S45" s="312"/>
      <c r="T45" s="247">
        <f>$W$39+$X$39</f>
        <v>924.32640980879478</v>
      </c>
      <c r="U45" s="249">
        <f>(T45*8.34*0.895)/27000</f>
        <v>0.25553517113836249</v>
      </c>
    </row>
    <row r="46" spans="1:43" ht="32.25" thickBot="1" x14ac:dyDescent="0.3">
      <c r="A46" s="279" t="s">
        <v>184</v>
      </c>
      <c r="B46" s="280">
        <f>SUM(AH42:AQ42)</f>
        <v>8118.5499999999984</v>
      </c>
      <c r="C46" s="12"/>
      <c r="D46" s="279" t="s">
        <v>184</v>
      </c>
      <c r="E46" s="280">
        <f>AH42*(1-$AG$40)+AJ42*0.5+AL42+AM42*(1-$AG$40)+AN42*(1-$AG$40)+AP42*0.5+AQ42*0.5</f>
        <v>3412.9984717453381</v>
      </c>
      <c r="F46" s="23"/>
      <c r="G46" s="279" t="s">
        <v>184</v>
      </c>
      <c r="H46" s="280">
        <f>AH42*AG40+AJ42*0.5+AK42+AM42*AG40+AN42*AG40+AP42*0.5+AQ42*0.5</f>
        <v>4705.5515282546621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311" t="s">
        <v>145</v>
      </c>
      <c r="S46" s="312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89883.21</v>
      </c>
      <c r="C47" s="12"/>
      <c r="D47" s="279" t="s">
        <v>187</v>
      </c>
      <c r="E47" s="280">
        <f>K44*0.5</f>
        <v>44941.605000000003</v>
      </c>
      <c r="F47" s="24"/>
      <c r="G47" s="279" t="s">
        <v>185</v>
      </c>
      <c r="H47" s="280">
        <f>K44*0.5</f>
        <v>44941.605000000003</v>
      </c>
      <c r="I47" s="12"/>
      <c r="J47" s="275" t="s">
        <v>198</v>
      </c>
      <c r="K47" s="276">
        <v>59871.82</v>
      </c>
      <c r="L47" s="12"/>
      <c r="M47" s="12"/>
      <c r="N47" s="12"/>
      <c r="O47" s="12"/>
      <c r="P47" s="12"/>
      <c r="Q47" s="12"/>
      <c r="R47" s="311" t="s">
        <v>148</v>
      </c>
      <c r="S47" s="312"/>
      <c r="T47" s="247">
        <f>$G$39</f>
        <v>64318.374997234336</v>
      </c>
      <c r="U47" s="249">
        <f>T47/40000</f>
        <v>1.6079593749308585</v>
      </c>
    </row>
    <row r="48" spans="1:43" ht="24" thickBot="1" x14ac:dyDescent="0.3">
      <c r="A48" s="279" t="s">
        <v>186</v>
      </c>
      <c r="B48" s="280">
        <f>K47</f>
        <v>59871.82</v>
      </c>
      <c r="C48" s="12"/>
      <c r="D48" s="279" t="s">
        <v>186</v>
      </c>
      <c r="E48" s="280">
        <f>K47*0.5</f>
        <v>29935.91</v>
      </c>
      <c r="F48" s="23"/>
      <c r="G48" s="279" t="s">
        <v>186</v>
      </c>
      <c r="H48" s="280">
        <f>K47*0.5</f>
        <v>29935.91</v>
      </c>
      <c r="I48" s="12"/>
      <c r="J48" s="12"/>
      <c r="K48" s="86"/>
      <c r="L48" s="12"/>
      <c r="M48" s="12"/>
      <c r="N48" s="12"/>
      <c r="O48" s="12"/>
      <c r="P48" s="12"/>
      <c r="Q48" s="12"/>
      <c r="R48" s="311" t="s">
        <v>150</v>
      </c>
      <c r="S48" s="312"/>
      <c r="T48" s="247">
        <f>$L$39</f>
        <v>0.81937556266785638</v>
      </c>
      <c r="U48" s="249">
        <f>T48*9.34*0.107</f>
        <v>0.81886754981900223</v>
      </c>
    </row>
    <row r="49" spans="1:25" ht="48" thickTop="1" thickBot="1" x14ac:dyDescent="0.3">
      <c r="A49" s="284" t="s">
        <v>194</v>
      </c>
      <c r="B49" s="285">
        <f>AD40</f>
        <v>368.54122187991919</v>
      </c>
      <c r="C49" s="12"/>
      <c r="D49" s="284" t="s">
        <v>195</v>
      </c>
      <c r="E49" s="285">
        <f>AF40</f>
        <v>119.39271850282226</v>
      </c>
      <c r="F49" s="23"/>
      <c r="G49" s="284" t="s">
        <v>196</v>
      </c>
      <c r="H49" s="285">
        <f>AE40</f>
        <v>242.44795315458279</v>
      </c>
      <c r="I49" s="12"/>
      <c r="J49" s="12"/>
      <c r="K49" s="86"/>
      <c r="L49" s="12"/>
      <c r="M49" s="12"/>
      <c r="N49" s="12"/>
      <c r="O49" s="12"/>
      <c r="P49" s="12"/>
      <c r="Q49" s="12"/>
      <c r="R49" s="311" t="s">
        <v>152</v>
      </c>
      <c r="S49" s="312"/>
      <c r="T49" s="247">
        <f>$E$39+$K$39</f>
        <v>841.83097962389479</v>
      </c>
      <c r="U49" s="249">
        <f>(T49*8.34*1.04)/45000</f>
        <v>0.1622601152192403</v>
      </c>
    </row>
    <row r="50" spans="1:25" ht="48" thickTop="1" thickBot="1" x14ac:dyDescent="0.3">
      <c r="A50" s="284" t="s">
        <v>190</v>
      </c>
      <c r="B50" s="286">
        <f>(SUM(B44:B48)/AD40)</f>
        <v>875.35612663658844</v>
      </c>
      <c r="C50" s="12"/>
      <c r="D50" s="284" t="s">
        <v>188</v>
      </c>
      <c r="E50" s="286">
        <f>SUM(E44:E48)/AF40</f>
        <v>1457.7708383070017</v>
      </c>
      <c r="F50" s="23"/>
      <c r="G50" s="284" t="s">
        <v>189</v>
      </c>
      <c r="H50" s="286">
        <f>SUM(H44:H48)/AE40</f>
        <v>612.74014161873095</v>
      </c>
      <c r="I50" s="12"/>
      <c r="J50" s="12"/>
      <c r="K50" s="86"/>
      <c r="L50" s="12"/>
      <c r="M50" s="12"/>
      <c r="N50" s="12"/>
      <c r="O50" s="12"/>
      <c r="P50" s="12"/>
      <c r="Q50" s="12"/>
      <c r="R50" s="311" t="s">
        <v>153</v>
      </c>
      <c r="S50" s="312"/>
      <c r="T50" s="247">
        <f>$U$39+$V$39+$AB$39</f>
        <v>10522.626610639369</v>
      </c>
      <c r="U50" s="249">
        <f>T50/2000/8</f>
        <v>0.65766416316496057</v>
      </c>
    </row>
    <row r="51" spans="1:25" ht="48" thickTop="1" thickBot="1" x14ac:dyDescent="0.3">
      <c r="A51" s="274" t="s">
        <v>191</v>
      </c>
      <c r="B51" s="287">
        <f>B50/1000</f>
        <v>0.87535612663658846</v>
      </c>
      <c r="C51" s="12"/>
      <c r="D51" s="274" t="s">
        <v>192</v>
      </c>
      <c r="E51" s="287">
        <f>E50/1000</f>
        <v>1.4577708383070016</v>
      </c>
      <c r="F51" s="12"/>
      <c r="G51" s="274" t="s">
        <v>193</v>
      </c>
      <c r="H51" s="287">
        <f>H50/1000</f>
        <v>0.61274014161873092</v>
      </c>
      <c r="I51" s="12"/>
      <c r="J51" s="12"/>
      <c r="K51" s="86"/>
      <c r="L51" s="12"/>
      <c r="M51" s="12"/>
      <c r="N51" s="12"/>
      <c r="O51" s="12"/>
      <c r="P51" s="12"/>
      <c r="Q51" s="12"/>
      <c r="R51" s="311" t="s">
        <v>154</v>
      </c>
      <c r="S51" s="312"/>
      <c r="T51" s="247">
        <f>$C$39+$J$39+$S$39+$T$39</f>
        <v>24292.370015074794</v>
      </c>
      <c r="U51" s="249">
        <f>(T51*8.34*1.4)/45000</f>
        <v>6.3030602732447392</v>
      </c>
    </row>
    <row r="52" spans="1:25" ht="16.5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1" t="s">
        <v>155</v>
      </c>
      <c r="S52" s="312"/>
      <c r="T52" s="247">
        <f>$H$39</f>
        <v>1502.1723581969727</v>
      </c>
      <c r="U52" s="249">
        <f>(T52*8.34*1.135)/45000</f>
        <v>0.31598696278792721</v>
      </c>
    </row>
    <row r="53" spans="1:25" ht="33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1" t="s">
        <v>156</v>
      </c>
      <c r="S53" s="312"/>
      <c r="T53" s="247">
        <f>$B$39+$I$39+$AC$39</f>
        <v>10092.269178597138</v>
      </c>
      <c r="U53" s="249">
        <f>(T53*8.34*1.029*0.03)/3300</f>
        <v>0.78736764702759665</v>
      </c>
    </row>
    <row r="54" spans="1:25" ht="59.25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54"/>
      <c r="T54" s="251">
        <f>$D$39+$Y$39+$Z$39</f>
        <v>35852.978263608624</v>
      </c>
      <c r="U54" s="252">
        <f>(T54*1.54*8.34)/45000</f>
        <v>10.232918036144083</v>
      </c>
      <c r="V54" s="319"/>
      <c r="W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16"/>
      <c r="T55" s="595"/>
      <c r="U55" s="595"/>
      <c r="V55" s="317"/>
      <c r="W55" s="318"/>
      <c r="X55" s="316"/>
      <c r="Y55" s="316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16"/>
      <c r="T56" s="596"/>
      <c r="U56" s="596"/>
      <c r="V56" s="317"/>
      <c r="W56" s="318"/>
      <c r="X56" s="316"/>
      <c r="Y56" s="316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16"/>
      <c r="T57" s="596"/>
      <c r="U57" s="596"/>
      <c r="V57" s="317"/>
      <c r="W57" s="318"/>
      <c r="X57" s="316"/>
      <c r="Y57" s="316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16"/>
      <c r="T58" s="596"/>
      <c r="U58" s="596"/>
      <c r="V58" s="317"/>
      <c r="W58" s="318"/>
      <c r="X58" s="316"/>
      <c r="Y58" s="316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16"/>
      <c r="T59" s="596"/>
      <c r="U59" s="596"/>
      <c r="V59" s="317"/>
      <c r="W59" s="318"/>
      <c r="X59" s="316"/>
      <c r="Y59" s="316"/>
    </row>
    <row r="60" spans="1:25" x14ac:dyDescent="0.25">
      <c r="S60" s="316"/>
      <c r="T60" s="596"/>
      <c r="U60" s="596"/>
      <c r="V60" s="317"/>
      <c r="W60" s="318"/>
      <c r="X60" s="316"/>
      <c r="Y60" s="316"/>
    </row>
    <row r="61" spans="1:25" x14ac:dyDescent="0.25">
      <c r="S61" s="316"/>
      <c r="T61" s="596"/>
      <c r="U61" s="596"/>
      <c r="V61" s="317"/>
      <c r="W61" s="318"/>
      <c r="X61" s="316"/>
      <c r="Y61" s="316"/>
    </row>
    <row r="62" spans="1:25" x14ac:dyDescent="0.25">
      <c r="S62" s="316"/>
      <c r="T62" s="596"/>
      <c r="U62" s="596"/>
      <c r="V62" s="317"/>
      <c r="W62" s="318"/>
      <c r="X62" s="316"/>
      <c r="Y62" s="316"/>
    </row>
    <row r="63" spans="1:25" x14ac:dyDescent="0.25">
      <c r="S63" s="316"/>
      <c r="T63" s="316"/>
      <c r="U63" s="316"/>
      <c r="V63" s="316"/>
      <c r="W63" s="316"/>
      <c r="X63" s="316"/>
      <c r="Y63" s="316"/>
    </row>
    <row r="64" spans="1:25" x14ac:dyDescent="0.25">
      <c r="S64" s="316"/>
      <c r="T64" s="316"/>
      <c r="U64" s="316"/>
      <c r="V64" s="316"/>
      <c r="W64" s="316"/>
      <c r="X64" s="316"/>
      <c r="Y64" s="316"/>
    </row>
    <row r="65" spans="19:25" x14ac:dyDescent="0.25">
      <c r="S65" s="316"/>
      <c r="T65" s="316"/>
      <c r="U65" s="316"/>
      <c r="V65" s="316"/>
      <c r="W65" s="316"/>
      <c r="X65" s="316"/>
      <c r="Y65" s="316"/>
    </row>
    <row r="66" spans="19:25" x14ac:dyDescent="0.25">
      <c r="S66" s="316"/>
      <c r="T66" s="316"/>
      <c r="U66" s="316"/>
      <c r="V66" s="316"/>
      <c r="W66" s="316"/>
      <c r="X66" s="316"/>
      <c r="Y66" s="316"/>
    </row>
  </sheetData>
  <sheetProtection password="909B" sheet="1" objects="1" scenarios="1" selectLockedCells="1" selectUnlockedCells="1"/>
  <mergeCells count="38">
    <mergeCell ref="AG4:AG5"/>
    <mergeCell ref="AB4:AB5"/>
    <mergeCell ref="AC4:AC5"/>
    <mergeCell ref="AD4:AD5"/>
    <mergeCell ref="AE4:AE5"/>
    <mergeCell ref="AF4:AF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  <mergeCell ref="T61:U61"/>
    <mergeCell ref="T62:U62"/>
    <mergeCell ref="T56:U56"/>
    <mergeCell ref="T57:U57"/>
    <mergeCell ref="T58:U58"/>
    <mergeCell ref="T59:U59"/>
    <mergeCell ref="T60:U60"/>
    <mergeCell ref="T55:U55"/>
    <mergeCell ref="O4:T5"/>
    <mergeCell ref="U4:AA5"/>
    <mergeCell ref="B4:H5"/>
    <mergeCell ref="I4:N5"/>
    <mergeCell ref="G43:H43"/>
    <mergeCell ref="D43:E43"/>
    <mergeCell ref="A43:B43"/>
    <mergeCell ref="A42:K42"/>
    <mergeCell ref="J43:K43"/>
    <mergeCell ref="R43:U43"/>
    <mergeCell ref="J46:K46"/>
    <mergeCell ref="A53:E53"/>
    <mergeCell ref="A54:E54"/>
    <mergeCell ref="R54:S54"/>
  </mergeCells>
  <pageMargins left="0.33" right="0.19" top="0.75" bottom="0.75" header="0.3" footer="0.3"/>
  <pageSetup scale="5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9"/>
  <sheetViews>
    <sheetView zoomScale="80" zoomScaleNormal="80" workbookViewId="0">
      <selection activeCell="A43" sqref="A43:I51"/>
    </sheetView>
  </sheetViews>
  <sheetFormatPr defaultRowHeight="15" x14ac:dyDescent="0.25"/>
  <cols>
    <col min="1" max="1" width="26.2851562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5"/>
      <c r="O2" s="4"/>
      <c r="P2" s="4"/>
      <c r="Q2" s="4"/>
      <c r="R2" s="4"/>
    </row>
    <row r="3" spans="1:53" ht="15.75" thickBot="1" x14ac:dyDescent="0.3">
      <c r="A3" s="6"/>
      <c r="AZ3" t="s">
        <v>169</v>
      </c>
      <c r="BA3" s="253" t="s">
        <v>206</v>
      </c>
    </row>
    <row r="4" spans="1:53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</row>
    <row r="5" spans="1:53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0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53" x14ac:dyDescent="0.25">
      <c r="A8" s="11">
        <v>41579</v>
      </c>
      <c r="B8" s="49"/>
      <c r="C8" s="50">
        <v>0</v>
      </c>
      <c r="D8" s="50">
        <v>0</v>
      </c>
      <c r="E8" s="50">
        <v>0.53097518036762814</v>
      </c>
      <c r="F8" s="50">
        <v>0</v>
      </c>
      <c r="G8" s="50">
        <v>0</v>
      </c>
      <c r="H8" s="51">
        <v>0</v>
      </c>
      <c r="I8" s="49">
        <v>321.63072764078805</v>
      </c>
      <c r="J8" s="50">
        <v>853.18439534505285</v>
      </c>
      <c r="K8" s="50">
        <v>17.436417134602916</v>
      </c>
      <c r="L8" s="50">
        <v>5.3327512741088823E-2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293.45520231458858</v>
      </c>
      <c r="V8" s="54">
        <v>0</v>
      </c>
      <c r="W8" s="54">
        <v>26.682354740301751</v>
      </c>
      <c r="X8" s="54">
        <v>0</v>
      </c>
      <c r="Y8" s="54">
        <v>265.55245854059808</v>
      </c>
      <c r="Z8" s="54">
        <v>0</v>
      </c>
      <c r="AA8" s="55">
        <v>0</v>
      </c>
      <c r="AB8" s="56">
        <v>0</v>
      </c>
      <c r="AC8" s="57">
        <v>0</v>
      </c>
      <c r="AD8" s="57">
        <v>10.140620079967722</v>
      </c>
      <c r="AE8" s="58">
        <v>9.9995247574051085</v>
      </c>
      <c r="AF8" s="58">
        <v>0</v>
      </c>
      <c r="AG8" s="58">
        <v>1</v>
      </c>
      <c r="AH8" s="57">
        <v>189.19349456628163</v>
      </c>
      <c r="AI8" s="57">
        <v>822.62279265721634</v>
      </c>
      <c r="AJ8" s="57">
        <v>1108.6485117594402</v>
      </c>
      <c r="AK8" s="57">
        <v>568.79492664337158</v>
      </c>
      <c r="AL8" s="57">
        <v>1631.537938563029</v>
      </c>
      <c r="AM8" s="57">
        <v>2314.0255566914875</v>
      </c>
      <c r="AN8" s="57">
        <v>593.99480053583784</v>
      </c>
      <c r="AO8" s="57">
        <v>1870.8232297261557</v>
      </c>
      <c r="AP8" s="57">
        <v>329.88727569580078</v>
      </c>
      <c r="AQ8" s="57">
        <v>707.92343749999998</v>
      </c>
    </row>
    <row r="9" spans="1:53" x14ac:dyDescent="0.25">
      <c r="A9" s="11">
        <v>41580</v>
      </c>
      <c r="B9" s="59"/>
      <c r="C9" s="60">
        <v>0</v>
      </c>
      <c r="D9" s="60">
        <v>0</v>
      </c>
      <c r="E9" s="50">
        <v>0.52642883360385895</v>
      </c>
      <c r="F9" s="60">
        <v>0</v>
      </c>
      <c r="G9" s="60">
        <v>0</v>
      </c>
      <c r="H9" s="61">
        <v>0</v>
      </c>
      <c r="I9" s="59">
        <v>339.49782528877279</v>
      </c>
      <c r="J9" s="60">
        <v>865.62562319437677</v>
      </c>
      <c r="K9" s="60">
        <v>17.828518927097328</v>
      </c>
      <c r="L9" s="50">
        <v>5.4645633697509681E-2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297.3227293226463</v>
      </c>
      <c r="V9" s="62">
        <v>0</v>
      </c>
      <c r="W9" s="62">
        <v>26.615829682350167</v>
      </c>
      <c r="X9" s="62">
        <v>0</v>
      </c>
      <c r="Y9" s="66">
        <v>269.60891621112773</v>
      </c>
      <c r="Z9" s="66">
        <v>0</v>
      </c>
      <c r="AA9" s="67">
        <v>0</v>
      </c>
      <c r="AB9" s="68">
        <v>0</v>
      </c>
      <c r="AC9" s="69">
        <v>0</v>
      </c>
      <c r="AD9" s="69">
        <v>10.29168952306113</v>
      </c>
      <c r="AE9" s="68">
        <v>10.150068207182809</v>
      </c>
      <c r="AF9" s="68">
        <v>0</v>
      </c>
      <c r="AG9" s="68">
        <v>1</v>
      </c>
      <c r="AH9" s="69">
        <v>188.78319336573281</v>
      </c>
      <c r="AI9" s="69">
        <v>774.21979688008628</v>
      </c>
      <c r="AJ9" s="69">
        <v>1097.4702199935914</v>
      </c>
      <c r="AK9" s="69">
        <v>565.64038728078219</v>
      </c>
      <c r="AL9" s="69">
        <v>1513.5985782623291</v>
      </c>
      <c r="AM9" s="69">
        <v>2012.5330752054854</v>
      </c>
      <c r="AN9" s="69">
        <v>570.79778261184708</v>
      </c>
      <c r="AO9" s="69">
        <v>1850.5622810363768</v>
      </c>
      <c r="AP9" s="69">
        <v>319.73590084711714</v>
      </c>
      <c r="AQ9" s="69">
        <v>774.35665270487459</v>
      </c>
    </row>
    <row r="10" spans="1:53" x14ac:dyDescent="0.25">
      <c r="A10" s="11">
        <v>41581</v>
      </c>
      <c r="B10" s="59"/>
      <c r="C10" s="60">
        <v>0</v>
      </c>
      <c r="D10" s="60">
        <v>0</v>
      </c>
      <c r="E10" s="50">
        <v>0.52950728684663695</v>
      </c>
      <c r="F10" s="60">
        <v>0</v>
      </c>
      <c r="G10" s="60">
        <v>0</v>
      </c>
      <c r="H10" s="61">
        <v>0</v>
      </c>
      <c r="I10" s="59">
        <v>351.53000841140749</v>
      </c>
      <c r="J10" s="60">
        <v>895.14360078175889</v>
      </c>
      <c r="K10" s="60">
        <v>18.90894396007063</v>
      </c>
      <c r="L10" s="50">
        <v>4.3620467185974635E-2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308.4878065109246</v>
      </c>
      <c r="V10" s="62">
        <v>0</v>
      </c>
      <c r="W10" s="62">
        <v>26.873925507068623</v>
      </c>
      <c r="X10" s="62">
        <v>0</v>
      </c>
      <c r="Y10" s="66">
        <v>279.68650871117984</v>
      </c>
      <c r="Z10" s="66">
        <v>0</v>
      </c>
      <c r="AA10" s="67">
        <v>0</v>
      </c>
      <c r="AB10" s="68">
        <v>0</v>
      </c>
      <c r="AC10" s="69">
        <v>0</v>
      </c>
      <c r="AD10" s="69">
        <v>10.64422819548183</v>
      </c>
      <c r="AE10" s="68">
        <v>10.500090796663223</v>
      </c>
      <c r="AF10" s="68">
        <v>0</v>
      </c>
      <c r="AG10" s="68">
        <v>1</v>
      </c>
      <c r="AH10" s="69">
        <v>181.44267700513205</v>
      </c>
      <c r="AI10" s="69">
        <v>751.12769260406492</v>
      </c>
      <c r="AJ10" s="69">
        <v>1110.1514291763306</v>
      </c>
      <c r="AK10" s="69">
        <v>565.29404182434075</v>
      </c>
      <c r="AL10" s="69">
        <v>1447.6219991048179</v>
      </c>
      <c r="AM10" s="69">
        <v>1924.4008702596034</v>
      </c>
      <c r="AN10" s="69">
        <v>556.82411947250375</v>
      </c>
      <c r="AO10" s="69">
        <v>1827.8343058268231</v>
      </c>
      <c r="AP10" s="69">
        <v>301.93739148775728</v>
      </c>
      <c r="AQ10" s="69">
        <v>750.96960407892857</v>
      </c>
    </row>
    <row r="11" spans="1:53" x14ac:dyDescent="0.25">
      <c r="A11" s="11">
        <v>41582</v>
      </c>
      <c r="B11" s="59"/>
      <c r="C11" s="60">
        <v>0</v>
      </c>
      <c r="D11" s="60">
        <v>0</v>
      </c>
      <c r="E11" s="50">
        <v>0.53089842696984535</v>
      </c>
      <c r="F11" s="60">
        <v>0</v>
      </c>
      <c r="G11" s="60">
        <v>0</v>
      </c>
      <c r="H11" s="61">
        <v>0</v>
      </c>
      <c r="I11" s="59">
        <v>358.46069879531899</v>
      </c>
      <c r="J11" s="60">
        <v>928.12186368306459</v>
      </c>
      <c r="K11" s="60">
        <v>19.434252382318192</v>
      </c>
      <c r="L11" s="50">
        <v>4.8337483406067208E-2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299.36246381335513</v>
      </c>
      <c r="V11" s="62">
        <v>0</v>
      </c>
      <c r="W11" s="62">
        <v>27.033101340134913</v>
      </c>
      <c r="X11" s="62">
        <v>0</v>
      </c>
      <c r="Y11" s="66">
        <v>275.64805821577738</v>
      </c>
      <c r="Z11" s="66">
        <v>0</v>
      </c>
      <c r="AA11" s="67">
        <v>0</v>
      </c>
      <c r="AB11" s="68">
        <v>0</v>
      </c>
      <c r="AC11" s="69">
        <v>0</v>
      </c>
      <c r="AD11" s="69">
        <v>10.398079743319089</v>
      </c>
      <c r="AE11" s="68">
        <v>10.215326161638986</v>
      </c>
      <c r="AF11" s="68">
        <v>0</v>
      </c>
      <c r="AG11" s="68">
        <v>1</v>
      </c>
      <c r="AH11" s="69">
        <v>191.84081205526985</v>
      </c>
      <c r="AI11" s="69">
        <v>771.00638764699306</v>
      </c>
      <c r="AJ11" s="69">
        <v>1070.8170595804852</v>
      </c>
      <c r="AK11" s="69">
        <v>575.62269166310637</v>
      </c>
      <c r="AL11" s="69">
        <v>1553.9920591990151</v>
      </c>
      <c r="AM11" s="69">
        <v>2093.5269168853761</v>
      </c>
      <c r="AN11" s="69">
        <v>598.91948239008593</v>
      </c>
      <c r="AO11" s="69">
        <v>1892.0363671620685</v>
      </c>
      <c r="AP11" s="69">
        <v>302.09896794954938</v>
      </c>
      <c r="AQ11" s="69">
        <v>698.28922348022468</v>
      </c>
    </row>
    <row r="12" spans="1:53" x14ac:dyDescent="0.25">
      <c r="A12" s="11">
        <v>41583</v>
      </c>
      <c r="B12" s="59"/>
      <c r="C12" s="60">
        <v>0</v>
      </c>
      <c r="D12" s="60">
        <v>0</v>
      </c>
      <c r="E12" s="50">
        <v>0.51996669173240584</v>
      </c>
      <c r="F12" s="60">
        <v>0</v>
      </c>
      <c r="G12" s="60">
        <v>0</v>
      </c>
      <c r="H12" s="61">
        <v>0</v>
      </c>
      <c r="I12" s="59">
        <v>355.94661596616135</v>
      </c>
      <c r="J12" s="60">
        <v>930.29422810872393</v>
      </c>
      <c r="K12" s="60">
        <v>19.019208643833831</v>
      </c>
      <c r="L12" s="50">
        <v>4.338508844375618E-2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304.18216003841712</v>
      </c>
      <c r="V12" s="62">
        <v>0</v>
      </c>
      <c r="W12" s="62">
        <v>26.483310238520314</v>
      </c>
      <c r="X12" s="62">
        <v>0</v>
      </c>
      <c r="Y12" s="66">
        <v>287.34679958820368</v>
      </c>
      <c r="Z12" s="66">
        <v>0</v>
      </c>
      <c r="AA12" s="67">
        <v>0</v>
      </c>
      <c r="AB12" s="68">
        <v>0</v>
      </c>
      <c r="AC12" s="69">
        <v>0</v>
      </c>
      <c r="AD12" s="69">
        <v>10.466420394844487</v>
      </c>
      <c r="AE12" s="68">
        <v>10.215265263244181</v>
      </c>
      <c r="AF12" s="68">
        <v>0</v>
      </c>
      <c r="AG12" s="68">
        <v>1</v>
      </c>
      <c r="AH12" s="69">
        <v>214.72000811100008</v>
      </c>
      <c r="AI12" s="69">
        <v>789.83795499801636</v>
      </c>
      <c r="AJ12" s="69">
        <v>1100.2052912394206</v>
      </c>
      <c r="AK12" s="69">
        <v>586.18411296208706</v>
      </c>
      <c r="AL12" s="69">
        <v>1686.1777397155759</v>
      </c>
      <c r="AM12" s="69">
        <v>2109.1706104278569</v>
      </c>
      <c r="AN12" s="69">
        <v>616.13959550857533</v>
      </c>
      <c r="AO12" s="69">
        <v>2130.9911485036214</v>
      </c>
      <c r="AP12" s="69">
        <v>312.52396440505981</v>
      </c>
      <c r="AQ12" s="69">
        <v>713.37207635243726</v>
      </c>
    </row>
    <row r="13" spans="1:53" x14ac:dyDescent="0.25">
      <c r="A13" s="11">
        <v>41584</v>
      </c>
      <c r="B13" s="59"/>
      <c r="C13" s="60">
        <v>0</v>
      </c>
      <c r="D13" s="60">
        <v>0</v>
      </c>
      <c r="E13" s="50">
        <v>0.51151836415131857</v>
      </c>
      <c r="F13" s="60">
        <v>0</v>
      </c>
      <c r="G13" s="60">
        <v>0</v>
      </c>
      <c r="H13" s="61">
        <v>0</v>
      </c>
      <c r="I13" s="59">
        <v>345.68088206052835</v>
      </c>
      <c r="J13" s="60">
        <v>900.94521007537594</v>
      </c>
      <c r="K13" s="60">
        <v>18.254896865288462</v>
      </c>
      <c r="L13" s="50">
        <v>4.0569984912872802E-2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311.81094313727993</v>
      </c>
      <c r="V13" s="62">
        <v>0</v>
      </c>
      <c r="W13" s="62">
        <v>27.461031405131038</v>
      </c>
      <c r="X13" s="62">
        <v>0</v>
      </c>
      <c r="Y13" s="66">
        <v>283.18721032142633</v>
      </c>
      <c r="Z13" s="66">
        <v>0</v>
      </c>
      <c r="AA13" s="67">
        <v>0</v>
      </c>
      <c r="AB13" s="68">
        <v>0</v>
      </c>
      <c r="AC13" s="69">
        <v>0</v>
      </c>
      <c r="AD13" s="69">
        <v>10.727538219425426</v>
      </c>
      <c r="AE13" s="68">
        <v>10.500141851026086</v>
      </c>
      <c r="AF13" s="68">
        <v>0</v>
      </c>
      <c r="AG13" s="68">
        <v>1</v>
      </c>
      <c r="AH13" s="69">
        <v>211.11866439183552</v>
      </c>
      <c r="AI13" s="69">
        <v>599.32090930938716</v>
      </c>
      <c r="AJ13" s="69">
        <v>1121.1825150807697</v>
      </c>
      <c r="AK13" s="69">
        <v>576.77571986516318</v>
      </c>
      <c r="AL13" s="69">
        <v>1665.067703882853</v>
      </c>
      <c r="AM13" s="69">
        <v>2131.5890683492021</v>
      </c>
      <c r="AN13" s="69">
        <v>601.14012559254957</v>
      </c>
      <c r="AO13" s="69">
        <v>2137.7253854115806</v>
      </c>
      <c r="AP13" s="69">
        <v>311.49211168289185</v>
      </c>
      <c r="AQ13" s="69">
        <v>744.13868430455534</v>
      </c>
    </row>
    <row r="14" spans="1:53" x14ac:dyDescent="0.25">
      <c r="A14" s="11">
        <v>41585</v>
      </c>
      <c r="B14" s="59"/>
      <c r="C14" s="60">
        <v>0</v>
      </c>
      <c r="D14" s="60">
        <v>0</v>
      </c>
      <c r="E14" s="50">
        <v>0.51262601713339495</v>
      </c>
      <c r="F14" s="60">
        <v>0</v>
      </c>
      <c r="G14" s="60">
        <v>0</v>
      </c>
      <c r="H14" s="61">
        <v>0</v>
      </c>
      <c r="I14" s="59">
        <v>352.4231824874883</v>
      </c>
      <c r="J14" s="60">
        <v>946.03690265019713</v>
      </c>
      <c r="K14" s="60">
        <v>19.5936912735303</v>
      </c>
      <c r="L14" s="50">
        <v>4.5098567008972343E-2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312.64372230106198</v>
      </c>
      <c r="V14" s="62">
        <v>0</v>
      </c>
      <c r="W14" s="62">
        <v>27.11961923042934</v>
      </c>
      <c r="X14" s="62">
        <v>0</v>
      </c>
      <c r="Y14" s="66">
        <v>285.67302698294299</v>
      </c>
      <c r="Z14" s="66">
        <v>0</v>
      </c>
      <c r="AA14" s="67">
        <v>0</v>
      </c>
      <c r="AB14" s="68">
        <v>0</v>
      </c>
      <c r="AC14" s="69">
        <v>0</v>
      </c>
      <c r="AD14" s="69">
        <v>10.7287464135223</v>
      </c>
      <c r="AE14" s="68">
        <v>10.49984267438025</v>
      </c>
      <c r="AF14" s="68">
        <v>0</v>
      </c>
      <c r="AG14" s="68">
        <v>1</v>
      </c>
      <c r="AH14" s="69">
        <v>191.33235778808586</v>
      </c>
      <c r="AI14" s="69">
        <v>428.78067936897281</v>
      </c>
      <c r="AJ14" s="69">
        <v>1096.1433610916135</v>
      </c>
      <c r="AK14" s="69">
        <v>551.4616560618083</v>
      </c>
      <c r="AL14" s="69">
        <v>1540.9278408050536</v>
      </c>
      <c r="AM14" s="69">
        <v>2157.0417990366623</v>
      </c>
      <c r="AN14" s="69">
        <v>588.03662770589199</v>
      </c>
      <c r="AO14" s="69">
        <v>2116.9351412455244</v>
      </c>
      <c r="AP14" s="69">
        <v>297.38919628461201</v>
      </c>
      <c r="AQ14" s="69">
        <v>702.18304119110121</v>
      </c>
    </row>
    <row r="15" spans="1:53" x14ac:dyDescent="0.25">
      <c r="A15" s="11">
        <v>41586</v>
      </c>
      <c r="B15" s="59"/>
      <c r="C15" s="60">
        <v>0</v>
      </c>
      <c r="D15" s="60">
        <v>0</v>
      </c>
      <c r="E15" s="50">
        <v>0.52094447116057052</v>
      </c>
      <c r="F15" s="60">
        <v>0</v>
      </c>
      <c r="G15" s="60">
        <v>0</v>
      </c>
      <c r="H15" s="61">
        <v>0</v>
      </c>
      <c r="I15" s="59">
        <v>333.83494338989334</v>
      </c>
      <c r="J15" s="60">
        <v>904.89506905873588</v>
      </c>
      <c r="K15" s="60">
        <v>19.343979713320724</v>
      </c>
      <c r="L15" s="50">
        <v>3.0834484100342636E-2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312.18572923872347</v>
      </c>
      <c r="V15" s="62">
        <v>0</v>
      </c>
      <c r="W15" s="62">
        <v>27.491465961933141</v>
      </c>
      <c r="X15" s="62">
        <v>0</v>
      </c>
      <c r="Y15" s="66">
        <v>288.20384734471668</v>
      </c>
      <c r="Z15" s="66">
        <v>0</v>
      </c>
      <c r="AA15" s="67">
        <v>0</v>
      </c>
      <c r="AB15" s="68">
        <v>0</v>
      </c>
      <c r="AC15" s="69">
        <v>0</v>
      </c>
      <c r="AD15" s="69">
        <v>10.729469871520999</v>
      </c>
      <c r="AE15" s="68">
        <v>10.498138308021192</v>
      </c>
      <c r="AF15" s="68">
        <v>0</v>
      </c>
      <c r="AG15" s="68">
        <v>1</v>
      </c>
      <c r="AH15" s="69">
        <v>186.5539426088333</v>
      </c>
      <c r="AI15" s="69">
        <v>422.49058564503986</v>
      </c>
      <c r="AJ15" s="69">
        <v>1089.9261926651002</v>
      </c>
      <c r="AK15" s="69">
        <v>573.58345959981284</v>
      </c>
      <c r="AL15" s="69">
        <v>1444.757108052572</v>
      </c>
      <c r="AM15" s="69">
        <v>2163.4046899159748</v>
      </c>
      <c r="AN15" s="69">
        <v>576.26608546574914</v>
      </c>
      <c r="AO15" s="69">
        <v>2092.7809538523352</v>
      </c>
      <c r="AP15" s="69">
        <v>299.0902517795563</v>
      </c>
      <c r="AQ15" s="69">
        <v>747.45655021667483</v>
      </c>
    </row>
    <row r="16" spans="1:53" x14ac:dyDescent="0.25">
      <c r="A16" s="11">
        <v>41587</v>
      </c>
      <c r="B16" s="59"/>
      <c r="C16" s="60">
        <v>0</v>
      </c>
      <c r="D16" s="60">
        <v>0</v>
      </c>
      <c r="E16" s="50">
        <v>0.52760068823893858</v>
      </c>
      <c r="F16" s="60">
        <v>0</v>
      </c>
      <c r="G16" s="60">
        <v>0</v>
      </c>
      <c r="H16" s="61">
        <v>0</v>
      </c>
      <c r="I16" s="59">
        <v>376.2424417813624</v>
      </c>
      <c r="J16" s="60">
        <v>1019.4357249577844</v>
      </c>
      <c r="K16" s="60">
        <v>21.860880652069998</v>
      </c>
      <c r="L16" s="50">
        <v>2.9629397392273441E-2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336.73209891849137</v>
      </c>
      <c r="V16" s="62">
        <v>0</v>
      </c>
      <c r="W16" s="62">
        <v>29.752207303047133</v>
      </c>
      <c r="X16" s="62">
        <v>0</v>
      </c>
      <c r="Y16" s="66">
        <v>309.59447751045224</v>
      </c>
      <c r="Z16" s="66">
        <v>0</v>
      </c>
      <c r="AA16" s="67">
        <v>0</v>
      </c>
      <c r="AB16" s="68">
        <v>0</v>
      </c>
      <c r="AC16" s="69">
        <v>0</v>
      </c>
      <c r="AD16" s="69">
        <v>11.52631064454714</v>
      </c>
      <c r="AE16" s="68">
        <v>11.295501135801828</v>
      </c>
      <c r="AF16" s="68">
        <v>0</v>
      </c>
      <c r="AG16" s="68">
        <v>1</v>
      </c>
      <c r="AH16" s="69">
        <v>185.47393705050152</v>
      </c>
      <c r="AI16" s="69">
        <v>411.09754048983262</v>
      </c>
      <c r="AJ16" s="69">
        <v>1096.9565277735392</v>
      </c>
      <c r="AK16" s="69">
        <v>580.0709178606669</v>
      </c>
      <c r="AL16" s="69">
        <v>1450.6985215504963</v>
      </c>
      <c r="AM16" s="69">
        <v>2111.9840656280521</v>
      </c>
      <c r="AN16" s="69">
        <v>571.15420856475839</v>
      </c>
      <c r="AO16" s="69">
        <v>2397.2772444407142</v>
      </c>
      <c r="AP16" s="69">
        <v>311.00852705637612</v>
      </c>
      <c r="AQ16" s="69">
        <v>762.03839324315391</v>
      </c>
    </row>
    <row r="17" spans="1:43" x14ac:dyDescent="0.25">
      <c r="A17" s="11">
        <v>41588</v>
      </c>
      <c r="B17" s="49"/>
      <c r="C17" s="50">
        <v>0</v>
      </c>
      <c r="D17" s="50">
        <v>0</v>
      </c>
      <c r="E17" s="50">
        <v>0.52367325375477392</v>
      </c>
      <c r="F17" s="50">
        <v>0</v>
      </c>
      <c r="G17" s="50">
        <v>0</v>
      </c>
      <c r="H17" s="51">
        <v>0</v>
      </c>
      <c r="I17" s="49">
        <v>346.90498269399069</v>
      </c>
      <c r="J17" s="50">
        <v>939.47960033416598</v>
      </c>
      <c r="K17" s="50">
        <v>19.63624167442326</v>
      </c>
      <c r="L17" s="50">
        <v>2.3631501197815478E-2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312.82875089645273</v>
      </c>
      <c r="V17" s="66">
        <v>0</v>
      </c>
      <c r="W17" s="62">
        <v>26.768835723400091</v>
      </c>
      <c r="X17" s="62">
        <v>0</v>
      </c>
      <c r="Y17" s="66">
        <v>290.08180068333934</v>
      </c>
      <c r="Z17" s="66">
        <v>0</v>
      </c>
      <c r="AA17" s="67">
        <v>0</v>
      </c>
      <c r="AB17" s="68">
        <v>0</v>
      </c>
      <c r="AC17" s="69">
        <v>0</v>
      </c>
      <c r="AD17" s="69">
        <v>10.612001388271645</v>
      </c>
      <c r="AE17" s="68">
        <v>10.4693347726938</v>
      </c>
      <c r="AF17" s="68">
        <v>0</v>
      </c>
      <c r="AG17" s="68">
        <v>1</v>
      </c>
      <c r="AH17" s="69">
        <v>187.03758923212686</v>
      </c>
      <c r="AI17" s="69">
        <v>420.62338774998977</v>
      </c>
      <c r="AJ17" s="69">
        <v>1089.6380714416505</v>
      </c>
      <c r="AK17" s="69">
        <v>580.70906906127937</v>
      </c>
      <c r="AL17" s="69">
        <v>1452.0241196314491</v>
      </c>
      <c r="AM17" s="69">
        <v>2110.0775588989259</v>
      </c>
      <c r="AN17" s="69">
        <v>562.48521089553833</v>
      </c>
      <c r="AO17" s="69">
        <v>2111.0347307840984</v>
      </c>
      <c r="AP17" s="69">
        <v>317.18871301015213</v>
      </c>
      <c r="AQ17" s="69">
        <v>770.43110249837218</v>
      </c>
    </row>
    <row r="18" spans="1:43" x14ac:dyDescent="0.25">
      <c r="A18" s="11">
        <v>41589</v>
      </c>
      <c r="B18" s="59"/>
      <c r="C18" s="60">
        <v>0</v>
      </c>
      <c r="D18" s="60">
        <v>0</v>
      </c>
      <c r="E18" s="50">
        <v>0.52451160301764754</v>
      </c>
      <c r="F18" s="60">
        <v>0</v>
      </c>
      <c r="G18" s="60">
        <v>0</v>
      </c>
      <c r="H18" s="61">
        <v>0</v>
      </c>
      <c r="I18" s="59">
        <v>330.89310954411877</v>
      </c>
      <c r="J18" s="60">
        <v>917.17376251220674</v>
      </c>
      <c r="K18" s="60">
        <v>19.03256946901481</v>
      </c>
      <c r="L18" s="50">
        <v>2.2605013847351391E-2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347.61346350776012</v>
      </c>
      <c r="V18" s="62">
        <v>0</v>
      </c>
      <c r="W18" s="62">
        <v>28.90025086402893</v>
      </c>
      <c r="X18" s="62">
        <v>0</v>
      </c>
      <c r="Y18" s="66">
        <v>306.0609234809877</v>
      </c>
      <c r="Z18" s="66">
        <v>0</v>
      </c>
      <c r="AA18" s="67">
        <v>0</v>
      </c>
      <c r="AB18" s="68">
        <v>0</v>
      </c>
      <c r="AC18" s="69">
        <v>0</v>
      </c>
      <c r="AD18" s="69">
        <v>10.889139019118405</v>
      </c>
      <c r="AE18" s="68">
        <v>10.751780971290533</v>
      </c>
      <c r="AF18" s="68">
        <v>0</v>
      </c>
      <c r="AG18" s="68">
        <v>1</v>
      </c>
      <c r="AH18" s="69">
        <v>187.26659069856004</v>
      </c>
      <c r="AI18" s="69">
        <v>419.82588243484497</v>
      </c>
      <c r="AJ18" s="69">
        <v>1097.556846300761</v>
      </c>
      <c r="AK18" s="69">
        <v>583.0195563634237</v>
      </c>
      <c r="AL18" s="69">
        <v>1550.4101094563805</v>
      </c>
      <c r="AM18" s="69">
        <v>2098.7244622548424</v>
      </c>
      <c r="AN18" s="69">
        <v>570.55590979258227</v>
      </c>
      <c r="AO18" s="69">
        <v>2141.2889666239421</v>
      </c>
      <c r="AP18" s="69">
        <v>318.96045163472496</v>
      </c>
      <c r="AQ18" s="69">
        <v>744.02291793823235</v>
      </c>
    </row>
    <row r="19" spans="1:43" x14ac:dyDescent="0.25">
      <c r="A19" s="11">
        <v>41590</v>
      </c>
      <c r="B19" s="59"/>
      <c r="C19" s="60">
        <v>0</v>
      </c>
      <c r="D19" s="60">
        <v>0</v>
      </c>
      <c r="E19" s="50">
        <v>0.52401037017504348</v>
      </c>
      <c r="F19" s="60">
        <v>0</v>
      </c>
      <c r="G19" s="60">
        <v>0</v>
      </c>
      <c r="H19" s="61">
        <v>0</v>
      </c>
      <c r="I19" s="59">
        <v>327.51606974601805</v>
      </c>
      <c r="J19" s="60">
        <v>916.99338296254462</v>
      </c>
      <c r="K19" s="60">
        <v>19.193700927495971</v>
      </c>
      <c r="L19" s="50">
        <v>1.7840659618377611E-2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318.11019857194731</v>
      </c>
      <c r="V19" s="62">
        <v>0</v>
      </c>
      <c r="W19" s="62">
        <v>28.893159357706722</v>
      </c>
      <c r="X19" s="62">
        <v>0</v>
      </c>
      <c r="Y19" s="66">
        <v>306.59394106864937</v>
      </c>
      <c r="Z19" s="66">
        <v>0</v>
      </c>
      <c r="AA19" s="67">
        <v>0</v>
      </c>
      <c r="AB19" s="68">
        <v>0</v>
      </c>
      <c r="AC19" s="69">
        <v>0</v>
      </c>
      <c r="AD19" s="69">
        <v>10.890202552742409</v>
      </c>
      <c r="AE19" s="68">
        <v>10.750996216261697</v>
      </c>
      <c r="AF19" s="68">
        <v>0</v>
      </c>
      <c r="AG19" s="68">
        <v>1</v>
      </c>
      <c r="AH19" s="69">
        <v>193.86551686922706</v>
      </c>
      <c r="AI19" s="69">
        <v>419.51674106915789</v>
      </c>
      <c r="AJ19" s="69">
        <v>1107.8880194346111</v>
      </c>
      <c r="AK19" s="69">
        <v>565.86214863459281</v>
      </c>
      <c r="AL19" s="69">
        <v>1563.6573361714684</v>
      </c>
      <c r="AM19" s="69">
        <v>2164.637562306722</v>
      </c>
      <c r="AN19" s="69">
        <v>572.74969673156727</v>
      </c>
      <c r="AO19" s="69">
        <v>2126.2100112915036</v>
      </c>
      <c r="AP19" s="69">
        <v>324.98160165150966</v>
      </c>
      <c r="AQ19" s="69">
        <v>773.0874919573464</v>
      </c>
    </row>
    <row r="20" spans="1:43" x14ac:dyDescent="0.25">
      <c r="A20" s="11">
        <v>41591</v>
      </c>
      <c r="B20" s="59"/>
      <c r="C20" s="60">
        <v>0</v>
      </c>
      <c r="D20" s="60">
        <v>0</v>
      </c>
      <c r="E20" s="50">
        <v>0.52477016548315647</v>
      </c>
      <c r="F20" s="60">
        <v>0</v>
      </c>
      <c r="G20" s="60">
        <v>0</v>
      </c>
      <c r="H20" s="61">
        <v>0</v>
      </c>
      <c r="I20" s="59">
        <v>327.37776805559844</v>
      </c>
      <c r="J20" s="60">
        <v>916.46618963877415</v>
      </c>
      <c r="K20" s="60">
        <v>19.199625929196706</v>
      </c>
      <c r="L20" s="50">
        <v>2.4714374542236836E-2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310.40401282840355</v>
      </c>
      <c r="V20" s="62">
        <v>0</v>
      </c>
      <c r="W20" s="62">
        <v>27.637508992354075</v>
      </c>
      <c r="X20" s="62">
        <v>0</v>
      </c>
      <c r="Y20" s="66">
        <v>305.84222313563009</v>
      </c>
      <c r="Z20" s="66">
        <v>0</v>
      </c>
      <c r="AA20" s="67">
        <v>0</v>
      </c>
      <c r="AB20" s="68">
        <v>0</v>
      </c>
      <c r="AC20" s="69">
        <v>0</v>
      </c>
      <c r="AD20" s="69">
        <v>10.886300801568579</v>
      </c>
      <c r="AE20" s="68">
        <v>10.749539493364678</v>
      </c>
      <c r="AF20" s="68">
        <v>0</v>
      </c>
      <c r="AG20" s="68">
        <v>1</v>
      </c>
      <c r="AH20" s="69">
        <v>185.63993255297345</v>
      </c>
      <c r="AI20" s="69">
        <v>413.18794840176906</v>
      </c>
      <c r="AJ20" s="69">
        <v>1098.3173155466718</v>
      </c>
      <c r="AK20" s="69">
        <v>566.42828591664636</v>
      </c>
      <c r="AL20" s="69">
        <v>1445.3712200800574</v>
      </c>
      <c r="AM20" s="69">
        <v>2136.2627134958907</v>
      </c>
      <c r="AN20" s="69">
        <v>564.50651985804234</v>
      </c>
      <c r="AO20" s="69">
        <v>2011.331614557902</v>
      </c>
      <c r="AP20" s="69">
        <v>347.075098546346</v>
      </c>
      <c r="AQ20" s="69">
        <v>797.73605200449629</v>
      </c>
    </row>
    <row r="21" spans="1:43" x14ac:dyDescent="0.25">
      <c r="A21" s="11">
        <v>41592</v>
      </c>
      <c r="B21" s="59"/>
      <c r="C21" s="60">
        <v>0</v>
      </c>
      <c r="D21" s="60">
        <v>0</v>
      </c>
      <c r="E21" s="50">
        <v>0.52978371580441763</v>
      </c>
      <c r="F21" s="60">
        <v>0</v>
      </c>
      <c r="G21" s="60">
        <v>0</v>
      </c>
      <c r="H21" s="61">
        <v>0</v>
      </c>
      <c r="I21" s="59">
        <v>327.43367144266813</v>
      </c>
      <c r="J21" s="60">
        <v>916.30700066884287</v>
      </c>
      <c r="K21" s="60">
        <v>19.220530974864946</v>
      </c>
      <c r="L21" s="50">
        <v>1.9224870204925623E-2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315.41693774329582</v>
      </c>
      <c r="V21" s="62">
        <v>0</v>
      </c>
      <c r="W21" s="62">
        <v>27.313926819960283</v>
      </c>
      <c r="X21" s="62">
        <v>0</v>
      </c>
      <c r="Y21" s="66">
        <v>306.4732290744775</v>
      </c>
      <c r="Z21" s="66">
        <v>0</v>
      </c>
      <c r="AA21" s="67">
        <v>0</v>
      </c>
      <c r="AB21" s="68">
        <v>0</v>
      </c>
      <c r="AC21" s="69">
        <v>0</v>
      </c>
      <c r="AD21" s="69">
        <v>10.889327857891731</v>
      </c>
      <c r="AE21" s="68">
        <v>10.751151620801753</v>
      </c>
      <c r="AF21" s="68">
        <v>0</v>
      </c>
      <c r="AG21" s="68">
        <v>1</v>
      </c>
      <c r="AH21" s="69">
        <v>186.23702784379321</v>
      </c>
      <c r="AI21" s="69">
        <v>414.26672209103907</v>
      </c>
      <c r="AJ21" s="69">
        <v>1079.5912823994954</v>
      </c>
      <c r="AK21" s="69">
        <v>576.1314460754395</v>
      </c>
      <c r="AL21" s="69">
        <v>1470.9843386967977</v>
      </c>
      <c r="AM21" s="69">
        <v>2121.1390318552649</v>
      </c>
      <c r="AN21" s="69">
        <v>566.09119014739986</v>
      </c>
      <c r="AO21" s="69">
        <v>1925.0910240173341</v>
      </c>
      <c r="AP21" s="69">
        <v>359.41500763893129</v>
      </c>
      <c r="AQ21" s="69">
        <v>729.16993513107286</v>
      </c>
    </row>
    <row r="22" spans="1:43" x14ac:dyDescent="0.25">
      <c r="A22" s="11">
        <v>41593</v>
      </c>
      <c r="B22" s="59"/>
      <c r="C22" s="60">
        <v>0</v>
      </c>
      <c r="D22" s="60">
        <v>0</v>
      </c>
      <c r="E22" s="50">
        <v>0.52465422203143341</v>
      </c>
      <c r="F22" s="60">
        <v>0</v>
      </c>
      <c r="G22" s="60">
        <v>0</v>
      </c>
      <c r="H22" s="61">
        <v>0</v>
      </c>
      <c r="I22" s="59">
        <v>329.6926775137585</v>
      </c>
      <c r="J22" s="60">
        <v>922.39567038218297</v>
      </c>
      <c r="K22" s="60">
        <v>19.044949110349037</v>
      </c>
      <c r="L22" s="50">
        <v>2.3010206222534579E-2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300.78304469850099</v>
      </c>
      <c r="V22" s="62">
        <v>0</v>
      </c>
      <c r="W22" s="62">
        <v>26.024568760395084</v>
      </c>
      <c r="X22" s="62">
        <v>0</v>
      </c>
      <c r="Y22" s="66">
        <v>296.15878161589279</v>
      </c>
      <c r="Z22" s="66">
        <v>0</v>
      </c>
      <c r="AA22" s="67">
        <v>0</v>
      </c>
      <c r="AB22" s="68">
        <v>0</v>
      </c>
      <c r="AC22" s="69">
        <v>0</v>
      </c>
      <c r="AD22" s="69">
        <v>10.375504706303269</v>
      </c>
      <c r="AE22" s="68">
        <v>10.173440331525763</v>
      </c>
      <c r="AF22" s="68">
        <v>0</v>
      </c>
      <c r="AG22" s="68">
        <v>1</v>
      </c>
      <c r="AH22" s="69">
        <v>188.04782151381175</v>
      </c>
      <c r="AI22" s="69">
        <v>412.55842502911889</v>
      </c>
      <c r="AJ22" s="69">
        <v>1067.2014450073241</v>
      </c>
      <c r="AK22" s="69">
        <v>580.14940856297812</v>
      </c>
      <c r="AL22" s="69">
        <v>1483.0643364588423</v>
      </c>
      <c r="AM22" s="69">
        <v>2135.166632461548</v>
      </c>
      <c r="AN22" s="69">
        <v>566.24002685546884</v>
      </c>
      <c r="AO22" s="69">
        <v>1936.2534481048583</v>
      </c>
      <c r="AP22" s="69">
        <v>405.16203203201292</v>
      </c>
      <c r="AQ22" s="69">
        <v>810.02176554997766</v>
      </c>
    </row>
    <row r="23" spans="1:43" x14ac:dyDescent="0.25">
      <c r="A23" s="11">
        <v>41594</v>
      </c>
      <c r="B23" s="59"/>
      <c r="C23" s="60">
        <v>0</v>
      </c>
      <c r="D23" s="60">
        <v>0</v>
      </c>
      <c r="E23" s="50">
        <v>0.5218736877044049</v>
      </c>
      <c r="F23" s="60">
        <v>0</v>
      </c>
      <c r="G23" s="60">
        <v>0</v>
      </c>
      <c r="H23" s="61">
        <v>0</v>
      </c>
      <c r="I23" s="59">
        <v>320.44784879684465</v>
      </c>
      <c r="J23" s="60">
        <v>896.42057158152318</v>
      </c>
      <c r="K23" s="60">
        <v>18.520400582750661</v>
      </c>
      <c r="L23" s="50">
        <v>2.7811539173126613E-2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306.31480998992578</v>
      </c>
      <c r="V23" s="62">
        <v>0</v>
      </c>
      <c r="W23" s="62">
        <v>25.952230676015205</v>
      </c>
      <c r="X23" s="62">
        <v>0</v>
      </c>
      <c r="Y23" s="66">
        <v>304.09456872940001</v>
      </c>
      <c r="Z23" s="66">
        <v>0</v>
      </c>
      <c r="AA23" s="67">
        <v>0</v>
      </c>
      <c r="AB23" s="68">
        <v>0</v>
      </c>
      <c r="AC23" s="69">
        <v>0</v>
      </c>
      <c r="AD23" s="69">
        <v>10.32925433483387</v>
      </c>
      <c r="AE23" s="68">
        <v>10.098852139297088</v>
      </c>
      <c r="AF23" s="68">
        <v>0</v>
      </c>
      <c r="AG23" s="68">
        <v>1</v>
      </c>
      <c r="AH23" s="69">
        <v>190.01344459056855</v>
      </c>
      <c r="AI23" s="69">
        <v>418.04947512944534</v>
      </c>
      <c r="AJ23" s="69">
        <v>1073.270429166158</v>
      </c>
      <c r="AK23" s="69">
        <v>566.81321916580202</v>
      </c>
      <c r="AL23" s="69">
        <v>1509.3265363693235</v>
      </c>
      <c r="AM23" s="69">
        <v>2110.1188783009848</v>
      </c>
      <c r="AN23" s="69">
        <v>574.30531549453735</v>
      </c>
      <c r="AO23" s="69">
        <v>1914.4738577524824</v>
      </c>
      <c r="AP23" s="69">
        <v>371.3110489209493</v>
      </c>
      <c r="AQ23" s="69">
        <v>691.38255367279078</v>
      </c>
    </row>
    <row r="24" spans="1:43" x14ac:dyDescent="0.25">
      <c r="A24" s="11">
        <v>41595</v>
      </c>
      <c r="B24" s="59"/>
      <c r="C24" s="60">
        <v>0</v>
      </c>
      <c r="D24" s="60">
        <v>0</v>
      </c>
      <c r="E24" s="50">
        <v>0.51891300330559353</v>
      </c>
      <c r="F24" s="60">
        <v>0</v>
      </c>
      <c r="G24" s="60">
        <v>0</v>
      </c>
      <c r="H24" s="61">
        <v>0</v>
      </c>
      <c r="I24" s="59">
        <v>317.14173766771978</v>
      </c>
      <c r="J24" s="60">
        <v>882.52092240651507</v>
      </c>
      <c r="K24" s="60">
        <v>18.581027009089802</v>
      </c>
      <c r="L24" s="50">
        <v>1.9978082180023449E-2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314.70533315870409</v>
      </c>
      <c r="V24" s="62">
        <v>0</v>
      </c>
      <c r="W24" s="62">
        <v>26.629615843296069</v>
      </c>
      <c r="X24" s="62">
        <v>0</v>
      </c>
      <c r="Y24" s="66">
        <v>308.2001106897996</v>
      </c>
      <c r="Z24" s="66">
        <v>0</v>
      </c>
      <c r="AA24" s="67">
        <v>0</v>
      </c>
      <c r="AB24" s="68">
        <v>0</v>
      </c>
      <c r="AC24" s="69">
        <v>0</v>
      </c>
      <c r="AD24" s="69">
        <v>10.48541573087374</v>
      </c>
      <c r="AE24" s="68">
        <v>10.264867695507249</v>
      </c>
      <c r="AF24" s="68">
        <v>0</v>
      </c>
      <c r="AG24" s="68">
        <v>1</v>
      </c>
      <c r="AH24" s="69">
        <v>196.46204731464385</v>
      </c>
      <c r="AI24" s="69">
        <v>422.32111566861465</v>
      </c>
      <c r="AJ24" s="69">
        <v>1074.9589120864866</v>
      </c>
      <c r="AK24" s="69">
        <v>571.24861036936443</v>
      </c>
      <c r="AL24" s="69">
        <v>1560.9788274765012</v>
      </c>
      <c r="AM24" s="69">
        <v>2124.3138718922933</v>
      </c>
      <c r="AN24" s="69">
        <v>586.48044134775796</v>
      </c>
      <c r="AO24" s="69">
        <v>1960.4228930155437</v>
      </c>
      <c r="AP24" s="69">
        <v>346.43940966924032</v>
      </c>
      <c r="AQ24" s="69">
        <v>697.8512360254922</v>
      </c>
    </row>
    <row r="25" spans="1:43" x14ac:dyDescent="0.25">
      <c r="A25" s="11">
        <v>41596</v>
      </c>
      <c r="B25" s="59"/>
      <c r="C25" s="60">
        <v>0</v>
      </c>
      <c r="D25" s="60">
        <v>0</v>
      </c>
      <c r="E25" s="50">
        <v>0.52207522094249748</v>
      </c>
      <c r="F25" s="60">
        <v>0</v>
      </c>
      <c r="G25" s="60">
        <v>0</v>
      </c>
      <c r="H25" s="61">
        <v>0</v>
      </c>
      <c r="I25" s="59">
        <v>327.28359285990473</v>
      </c>
      <c r="J25" s="60">
        <v>924.28988958994421</v>
      </c>
      <c r="K25" s="60">
        <v>19.190239150325443</v>
      </c>
      <c r="L25" s="50">
        <v>2.3357963562012082E-2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322.62754378848996</v>
      </c>
      <c r="V25" s="62">
        <v>0</v>
      </c>
      <c r="W25" s="62">
        <v>28.047027293841033</v>
      </c>
      <c r="X25" s="62">
        <v>0</v>
      </c>
      <c r="Y25" s="66">
        <v>321.84937505721973</v>
      </c>
      <c r="Z25" s="66">
        <v>0</v>
      </c>
      <c r="AA25" s="67">
        <v>0</v>
      </c>
      <c r="AB25" s="68">
        <v>0</v>
      </c>
      <c r="AC25" s="69">
        <v>0</v>
      </c>
      <c r="AD25" s="69">
        <v>10.987061195241054</v>
      </c>
      <c r="AE25" s="68">
        <v>10.750817865735948</v>
      </c>
      <c r="AF25" s="68">
        <v>0</v>
      </c>
      <c r="AG25" s="68">
        <v>1</v>
      </c>
      <c r="AH25" s="69">
        <v>191.32690515518189</v>
      </c>
      <c r="AI25" s="69">
        <v>416.65109985669449</v>
      </c>
      <c r="AJ25" s="69">
        <v>1078.5557921091713</v>
      </c>
      <c r="AK25" s="69">
        <v>564.17261641820267</v>
      </c>
      <c r="AL25" s="69">
        <v>1487.8905227661137</v>
      </c>
      <c r="AM25" s="69">
        <v>2156.2358720143638</v>
      </c>
      <c r="AN25" s="69">
        <v>593.04647858937585</v>
      </c>
      <c r="AO25" s="69">
        <v>2130.177528635661</v>
      </c>
      <c r="AP25" s="69">
        <v>393.86780336697893</v>
      </c>
      <c r="AQ25" s="69">
        <v>742.52711868286133</v>
      </c>
    </row>
    <row r="26" spans="1:43" x14ac:dyDescent="0.25">
      <c r="A26" s="11">
        <v>41597</v>
      </c>
      <c r="B26" s="59"/>
      <c r="C26" s="60">
        <v>0</v>
      </c>
      <c r="D26" s="60">
        <v>0</v>
      </c>
      <c r="E26" s="50">
        <v>0.52336292962233155</v>
      </c>
      <c r="F26" s="60">
        <v>0</v>
      </c>
      <c r="G26" s="60">
        <v>0</v>
      </c>
      <c r="H26" s="61">
        <v>0</v>
      </c>
      <c r="I26" s="59">
        <v>315.83553360303284</v>
      </c>
      <c r="J26" s="60">
        <v>923.60847104390405</v>
      </c>
      <c r="K26" s="60">
        <v>19.371007721622764</v>
      </c>
      <c r="L26" s="50">
        <v>3.1304717063904849E-2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308.98638189103855</v>
      </c>
      <c r="V26" s="62">
        <v>0</v>
      </c>
      <c r="W26" s="62">
        <v>26.717252437273704</v>
      </c>
      <c r="X26" s="62">
        <v>0</v>
      </c>
      <c r="Y26" s="66">
        <v>320.71617630322714</v>
      </c>
      <c r="Z26" s="66">
        <v>0</v>
      </c>
      <c r="AA26" s="67">
        <v>0</v>
      </c>
      <c r="AB26" s="68">
        <v>0</v>
      </c>
      <c r="AC26" s="69">
        <v>0</v>
      </c>
      <c r="AD26" s="69">
        <v>10.985019160641583</v>
      </c>
      <c r="AE26" s="68">
        <v>10.751168114957085</v>
      </c>
      <c r="AF26" s="68">
        <v>0</v>
      </c>
      <c r="AG26" s="68">
        <v>1</v>
      </c>
      <c r="AH26" s="69">
        <v>183.78265240987139</v>
      </c>
      <c r="AI26" s="69">
        <v>418.14218063354491</v>
      </c>
      <c r="AJ26" s="69">
        <v>1067.6738085428874</v>
      </c>
      <c r="AK26" s="69">
        <v>560.17693923314414</v>
      </c>
      <c r="AL26" s="69">
        <v>1484.8603937784833</v>
      </c>
      <c r="AM26" s="69">
        <v>2136.8554439544678</v>
      </c>
      <c r="AN26" s="69">
        <v>576.69623537063615</v>
      </c>
      <c r="AO26" s="69">
        <v>2117.1226825714107</v>
      </c>
      <c r="AP26" s="69">
        <v>393.51768226623534</v>
      </c>
      <c r="AQ26" s="69">
        <v>791.44128011067721</v>
      </c>
    </row>
    <row r="27" spans="1:43" x14ac:dyDescent="0.25">
      <c r="A27" s="11">
        <v>41598</v>
      </c>
      <c r="B27" s="59"/>
      <c r="C27" s="60">
        <v>0</v>
      </c>
      <c r="D27" s="60">
        <v>0</v>
      </c>
      <c r="E27" s="50">
        <v>0.52389984826246883</v>
      </c>
      <c r="F27" s="60">
        <v>0</v>
      </c>
      <c r="G27" s="60">
        <v>0</v>
      </c>
      <c r="H27" s="61">
        <v>0</v>
      </c>
      <c r="I27" s="59">
        <v>315.74423174858106</v>
      </c>
      <c r="J27" s="60">
        <v>923.43271319071289</v>
      </c>
      <c r="K27" s="60">
        <v>19.385377787550315</v>
      </c>
      <c r="L27" s="50">
        <v>4.3290805816650388E-2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298.37315398322085</v>
      </c>
      <c r="V27" s="62">
        <v>0</v>
      </c>
      <c r="W27" s="62">
        <v>25.789502012729667</v>
      </c>
      <c r="X27" s="62">
        <v>0</v>
      </c>
      <c r="Y27" s="62">
        <v>319.61165777047461</v>
      </c>
      <c r="Z27" s="62">
        <v>0</v>
      </c>
      <c r="AA27" s="72">
        <v>0</v>
      </c>
      <c r="AB27" s="69">
        <v>0</v>
      </c>
      <c r="AC27" s="69">
        <v>0</v>
      </c>
      <c r="AD27" s="69">
        <v>10.982816920015541</v>
      </c>
      <c r="AE27" s="69">
        <v>10.749390592974301</v>
      </c>
      <c r="AF27" s="69">
        <v>0</v>
      </c>
      <c r="AG27" s="69">
        <v>1</v>
      </c>
      <c r="AH27" s="69">
        <v>185.4089961608251</v>
      </c>
      <c r="AI27" s="69">
        <v>420.27518485387168</v>
      </c>
      <c r="AJ27" s="69">
        <v>1094.594146410624</v>
      </c>
      <c r="AK27" s="69">
        <v>562.78697716395072</v>
      </c>
      <c r="AL27" s="69">
        <v>1501.5739706675213</v>
      </c>
      <c r="AM27" s="69">
        <v>2146.3266056060793</v>
      </c>
      <c r="AN27" s="69">
        <v>593.90159203211476</v>
      </c>
      <c r="AO27" s="69">
        <v>2109.8041692097981</v>
      </c>
      <c r="AP27" s="69">
        <v>385.60518517494194</v>
      </c>
      <c r="AQ27" s="69">
        <v>750.79721527099628</v>
      </c>
    </row>
    <row r="28" spans="1:43" x14ac:dyDescent="0.25">
      <c r="A28" s="11">
        <v>41599</v>
      </c>
      <c r="B28" s="59"/>
      <c r="C28" s="60">
        <v>0</v>
      </c>
      <c r="D28" s="60">
        <v>0</v>
      </c>
      <c r="E28" s="50">
        <v>0.51205164939165126</v>
      </c>
      <c r="F28" s="60">
        <v>0</v>
      </c>
      <c r="G28" s="60">
        <v>0</v>
      </c>
      <c r="H28" s="61">
        <v>0</v>
      </c>
      <c r="I28" s="59">
        <v>316.2118801593781</v>
      </c>
      <c r="J28" s="60">
        <v>948.31354319254501</v>
      </c>
      <c r="K28" s="60">
        <v>19.87186332046986</v>
      </c>
      <c r="L28" s="50">
        <v>3.9420759677887836E-2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285.86313126882152</v>
      </c>
      <c r="V28" s="62">
        <v>0</v>
      </c>
      <c r="W28" s="62">
        <v>24.895048483212854</v>
      </c>
      <c r="X28" s="62">
        <v>0</v>
      </c>
      <c r="Y28" s="66">
        <v>308.21637553374018</v>
      </c>
      <c r="Z28" s="66">
        <v>0</v>
      </c>
      <c r="AA28" s="67">
        <v>0</v>
      </c>
      <c r="AB28" s="68">
        <v>0</v>
      </c>
      <c r="AC28" s="69">
        <v>0</v>
      </c>
      <c r="AD28" s="69">
        <v>10.657961575852497</v>
      </c>
      <c r="AE28" s="68">
        <v>10.443048318399851</v>
      </c>
      <c r="AF28" s="68">
        <v>0</v>
      </c>
      <c r="AG28" s="68">
        <v>1</v>
      </c>
      <c r="AH28" s="69">
        <v>224.96052909692128</v>
      </c>
      <c r="AI28" s="69">
        <v>455.99862500826521</v>
      </c>
      <c r="AJ28" s="69">
        <v>1101.7022919972737</v>
      </c>
      <c r="AK28" s="69">
        <v>599.15350084304794</v>
      </c>
      <c r="AL28" s="69">
        <v>1807.3826040903728</v>
      </c>
      <c r="AM28" s="69">
        <v>2269.5419253031414</v>
      </c>
      <c r="AN28" s="69">
        <v>643.28770653406764</v>
      </c>
      <c r="AO28" s="69">
        <v>2000.1539333343508</v>
      </c>
      <c r="AP28" s="69">
        <v>383.3069258530935</v>
      </c>
      <c r="AQ28" s="69">
        <v>748.10152591069527</v>
      </c>
    </row>
    <row r="29" spans="1:43" x14ac:dyDescent="0.25">
      <c r="A29" s="11">
        <v>41600</v>
      </c>
      <c r="B29" s="59"/>
      <c r="C29" s="60">
        <v>0</v>
      </c>
      <c r="D29" s="60">
        <v>0</v>
      </c>
      <c r="E29" s="50">
        <v>0.50445193300644475</v>
      </c>
      <c r="F29" s="60">
        <v>0</v>
      </c>
      <c r="G29" s="60">
        <v>0</v>
      </c>
      <c r="H29" s="61">
        <v>0</v>
      </c>
      <c r="I29" s="59">
        <v>310.3846655368805</v>
      </c>
      <c r="J29" s="60">
        <v>939.74935900370133</v>
      </c>
      <c r="K29" s="60">
        <v>20.030612176656689</v>
      </c>
      <c r="L29" s="50">
        <v>1.5559256076812496E-2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285.51593134138852</v>
      </c>
      <c r="V29" s="62">
        <v>0</v>
      </c>
      <c r="W29" s="62">
        <v>25.66947605609894</v>
      </c>
      <c r="X29" s="62">
        <v>0</v>
      </c>
      <c r="Y29" s="66">
        <v>306.77275245189679</v>
      </c>
      <c r="Z29" s="66">
        <v>0</v>
      </c>
      <c r="AA29" s="67">
        <v>0</v>
      </c>
      <c r="AB29" s="68">
        <v>0</v>
      </c>
      <c r="AC29" s="69">
        <v>0</v>
      </c>
      <c r="AD29" s="69">
        <v>10.740141024854436</v>
      </c>
      <c r="AE29" s="68">
        <v>10.611808511547453</v>
      </c>
      <c r="AF29" s="68">
        <v>0</v>
      </c>
      <c r="AG29" s="68">
        <v>1</v>
      </c>
      <c r="AH29" s="69">
        <v>281.08092269102724</v>
      </c>
      <c r="AI29" s="69">
        <v>528.12187720934548</v>
      </c>
      <c r="AJ29" s="69">
        <v>1116.8720436731971</v>
      </c>
      <c r="AK29" s="69">
        <v>583.09974117279046</v>
      </c>
      <c r="AL29" s="69">
        <v>1765.4385297775268</v>
      </c>
      <c r="AM29" s="69">
        <v>2259.2826352437337</v>
      </c>
      <c r="AN29" s="69">
        <v>665.32807683944691</v>
      </c>
      <c r="AO29" s="69">
        <v>2081.2177046457928</v>
      </c>
      <c r="AP29" s="69">
        <v>352.99400340716045</v>
      </c>
      <c r="AQ29" s="69">
        <v>753.47661625544254</v>
      </c>
    </row>
    <row r="30" spans="1:43" x14ac:dyDescent="0.25">
      <c r="A30" s="11">
        <v>41601</v>
      </c>
      <c r="B30" s="59"/>
      <c r="C30" s="60">
        <v>0</v>
      </c>
      <c r="D30" s="60">
        <v>0</v>
      </c>
      <c r="E30" s="50">
        <v>0.5105535238981237</v>
      </c>
      <c r="F30" s="60">
        <v>0</v>
      </c>
      <c r="G30" s="60">
        <v>0</v>
      </c>
      <c r="H30" s="61">
        <v>0</v>
      </c>
      <c r="I30" s="59">
        <v>295.96810429890934</v>
      </c>
      <c r="J30" s="60">
        <v>936.35298207600817</v>
      </c>
      <c r="K30" s="60">
        <v>19.375489714741708</v>
      </c>
      <c r="L30" s="50">
        <v>1.6992247104644684E-2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286.66644224591056</v>
      </c>
      <c r="V30" s="62">
        <v>0</v>
      </c>
      <c r="W30" s="62">
        <v>25.284279779593174</v>
      </c>
      <c r="X30" s="62">
        <v>0</v>
      </c>
      <c r="Y30" s="66">
        <v>313.61457943916315</v>
      </c>
      <c r="Z30" s="66">
        <v>0</v>
      </c>
      <c r="AA30" s="67">
        <v>0</v>
      </c>
      <c r="AB30" s="68">
        <v>0</v>
      </c>
      <c r="AC30" s="69">
        <v>0</v>
      </c>
      <c r="AD30" s="69">
        <v>10.981749335262492</v>
      </c>
      <c r="AE30" s="68">
        <v>10.844681277968609</v>
      </c>
      <c r="AF30" s="68">
        <v>0</v>
      </c>
      <c r="AG30" s="68">
        <v>1</v>
      </c>
      <c r="AH30" s="69">
        <v>324.06310106913241</v>
      </c>
      <c r="AI30" s="69">
        <v>563.14737854003897</v>
      </c>
      <c r="AJ30" s="69">
        <v>1113.1490362803142</v>
      </c>
      <c r="AK30" s="69">
        <v>581.31100676854453</v>
      </c>
      <c r="AL30" s="69">
        <v>1750.8535313924153</v>
      </c>
      <c r="AM30" s="69">
        <v>2189.8270690917971</v>
      </c>
      <c r="AN30" s="69">
        <v>643.66012156804391</v>
      </c>
      <c r="AO30" s="69">
        <v>2089.8551827748615</v>
      </c>
      <c r="AP30" s="69">
        <v>318.44757242202758</v>
      </c>
      <c r="AQ30" s="69">
        <v>779.48035024007163</v>
      </c>
    </row>
    <row r="31" spans="1:43" x14ac:dyDescent="0.25">
      <c r="A31" s="11">
        <v>41602</v>
      </c>
      <c r="B31" s="59"/>
      <c r="C31" s="60">
        <v>0</v>
      </c>
      <c r="D31" s="60">
        <v>0</v>
      </c>
      <c r="E31" s="60">
        <v>0.51340003063281314</v>
      </c>
      <c r="F31" s="60">
        <v>0</v>
      </c>
      <c r="G31" s="60">
        <v>0</v>
      </c>
      <c r="H31" s="61">
        <v>0</v>
      </c>
      <c r="I31" s="59">
        <v>290.81811393102015</v>
      </c>
      <c r="J31" s="60">
        <v>935.90408083597833</v>
      </c>
      <c r="K31" s="60">
        <v>19.329670127232873</v>
      </c>
      <c r="L31" s="50">
        <v>1.3298833370208488E-2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291.05548116896176</v>
      </c>
      <c r="V31" s="62">
        <v>0</v>
      </c>
      <c r="W31" s="62">
        <v>25.957010614872001</v>
      </c>
      <c r="X31" s="62">
        <v>0</v>
      </c>
      <c r="Y31" s="66">
        <v>318.52391786575242</v>
      </c>
      <c r="Z31" s="66">
        <v>0</v>
      </c>
      <c r="AA31" s="67">
        <v>0</v>
      </c>
      <c r="AB31" s="68">
        <v>0</v>
      </c>
      <c r="AC31" s="69">
        <v>0</v>
      </c>
      <c r="AD31" s="69">
        <v>11.131273778279633</v>
      </c>
      <c r="AE31" s="68">
        <v>11.0001608681841</v>
      </c>
      <c r="AF31" s="68">
        <v>0</v>
      </c>
      <c r="AG31" s="68">
        <v>1</v>
      </c>
      <c r="AH31" s="69">
        <v>322.26355257034305</v>
      </c>
      <c r="AI31" s="69">
        <v>565.11332613627133</v>
      </c>
      <c r="AJ31" s="69">
        <v>1097.7721576690674</v>
      </c>
      <c r="AK31" s="69">
        <v>581.70050039291368</v>
      </c>
      <c r="AL31" s="69">
        <v>1753.5598218917846</v>
      </c>
      <c r="AM31" s="69">
        <v>2173.6218374888099</v>
      </c>
      <c r="AN31" s="69">
        <v>658.22181224822998</v>
      </c>
      <c r="AO31" s="69">
        <v>2161.6761931101482</v>
      </c>
      <c r="AP31" s="69">
        <v>343.53194371859229</v>
      </c>
      <c r="AQ31" s="69">
        <v>759.78621441523251</v>
      </c>
    </row>
    <row r="32" spans="1:43" x14ac:dyDescent="0.25">
      <c r="A32" s="11">
        <v>41603</v>
      </c>
      <c r="B32" s="59"/>
      <c r="C32" s="60">
        <v>0</v>
      </c>
      <c r="D32" s="60">
        <v>0</v>
      </c>
      <c r="E32" s="60">
        <v>0.5119945853948592</v>
      </c>
      <c r="F32" s="60">
        <v>0</v>
      </c>
      <c r="G32" s="60">
        <v>0</v>
      </c>
      <c r="H32" s="61">
        <v>0</v>
      </c>
      <c r="I32" s="59">
        <v>284.69015130996706</v>
      </c>
      <c r="J32" s="60">
        <v>909.85654964446996</v>
      </c>
      <c r="K32" s="60">
        <v>19.504936279853172</v>
      </c>
      <c r="L32" s="50">
        <v>1.4118921756744099E-2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290.12809441884627</v>
      </c>
      <c r="V32" s="62">
        <v>0</v>
      </c>
      <c r="W32" s="62">
        <v>26.42397348483405</v>
      </c>
      <c r="X32" s="62">
        <v>0</v>
      </c>
      <c r="Y32" s="66">
        <v>318.0478944619494</v>
      </c>
      <c r="Z32" s="66">
        <v>0</v>
      </c>
      <c r="AA32" s="67">
        <v>0</v>
      </c>
      <c r="AB32" s="68">
        <v>0</v>
      </c>
      <c r="AC32" s="69">
        <v>0</v>
      </c>
      <c r="AD32" s="69">
        <v>11.127743992540577</v>
      </c>
      <c r="AE32" s="68">
        <v>11.000728702106148</v>
      </c>
      <c r="AF32" s="68">
        <v>0</v>
      </c>
      <c r="AG32" s="68">
        <v>1</v>
      </c>
      <c r="AH32" s="69">
        <v>325.31963194211318</v>
      </c>
      <c r="AI32" s="69">
        <v>560.78167209625235</v>
      </c>
      <c r="AJ32" s="69">
        <v>1099.7060956319174</v>
      </c>
      <c r="AK32" s="69">
        <v>588.93272768656414</v>
      </c>
      <c r="AL32" s="69">
        <v>1669.2078771591189</v>
      </c>
      <c r="AM32" s="69">
        <v>2222.0521935780839</v>
      </c>
      <c r="AN32" s="69">
        <v>657.32366002400715</v>
      </c>
      <c r="AO32" s="69">
        <v>2163.4316987355551</v>
      </c>
      <c r="AP32" s="69">
        <v>346.62322187423706</v>
      </c>
      <c r="AQ32" s="69">
        <v>751.6263350168864</v>
      </c>
    </row>
    <row r="33" spans="1:43" x14ac:dyDescent="0.25">
      <c r="A33" s="11">
        <v>41604</v>
      </c>
      <c r="B33" s="59"/>
      <c r="C33" s="60">
        <v>0</v>
      </c>
      <c r="D33" s="60">
        <v>0</v>
      </c>
      <c r="E33" s="60">
        <v>0.51272764553626249</v>
      </c>
      <c r="F33" s="60">
        <v>0</v>
      </c>
      <c r="G33" s="60">
        <v>0</v>
      </c>
      <c r="H33" s="61">
        <v>0</v>
      </c>
      <c r="I33" s="59">
        <v>273.50470231374101</v>
      </c>
      <c r="J33" s="60">
        <v>830.02995313008489</v>
      </c>
      <c r="K33" s="60">
        <v>19.630241637428568</v>
      </c>
      <c r="L33" s="50">
        <v>1.8791222572326648E-2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291.01604883406105</v>
      </c>
      <c r="V33" s="62">
        <v>0</v>
      </c>
      <c r="W33" s="62">
        <v>27.033415238062531</v>
      </c>
      <c r="X33" s="62">
        <v>0</v>
      </c>
      <c r="Y33" s="66">
        <v>317.50101389090202</v>
      </c>
      <c r="Z33" s="66">
        <v>0</v>
      </c>
      <c r="AA33" s="67">
        <v>0</v>
      </c>
      <c r="AB33" s="68">
        <v>0</v>
      </c>
      <c r="AC33" s="69">
        <v>0</v>
      </c>
      <c r="AD33" s="69">
        <v>11.132920162545291</v>
      </c>
      <c r="AE33" s="68">
        <v>10.99877062258421</v>
      </c>
      <c r="AF33" s="68">
        <v>0</v>
      </c>
      <c r="AG33" s="68">
        <v>1</v>
      </c>
      <c r="AH33" s="69">
        <v>317.41646286646528</v>
      </c>
      <c r="AI33" s="69">
        <v>551.33822781244919</v>
      </c>
      <c r="AJ33" s="69">
        <v>1115.2101998647054</v>
      </c>
      <c r="AK33" s="69">
        <v>594.20260334014893</v>
      </c>
      <c r="AL33" s="69">
        <v>1696.271988550822</v>
      </c>
      <c r="AM33" s="69">
        <v>2230.3478076934812</v>
      </c>
      <c r="AN33" s="69">
        <v>616.71467345555607</v>
      </c>
      <c r="AO33" s="69">
        <v>2175.9178080240886</v>
      </c>
      <c r="AP33" s="69">
        <v>349.65382509231569</v>
      </c>
      <c r="AQ33" s="69">
        <v>747.24552838007617</v>
      </c>
    </row>
    <row r="34" spans="1:43" x14ac:dyDescent="0.25">
      <c r="A34" s="11">
        <v>41605</v>
      </c>
      <c r="B34" s="59"/>
      <c r="C34" s="60">
        <v>0</v>
      </c>
      <c r="D34" s="60">
        <v>0</v>
      </c>
      <c r="E34" s="60">
        <v>0.51741479833920778</v>
      </c>
      <c r="F34" s="60">
        <v>0</v>
      </c>
      <c r="G34" s="60">
        <v>0</v>
      </c>
      <c r="H34" s="61">
        <v>0</v>
      </c>
      <c r="I34" s="59">
        <v>277.58973857561773</v>
      </c>
      <c r="J34" s="60">
        <v>809.75154253641745</v>
      </c>
      <c r="K34" s="60">
        <v>19.95978542963659</v>
      </c>
      <c r="L34" s="50">
        <v>2.8734958171845133E-2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288.19814658694952</v>
      </c>
      <c r="V34" s="62">
        <v>0</v>
      </c>
      <c r="W34" s="62">
        <v>26.963088961442335</v>
      </c>
      <c r="X34" s="62">
        <v>0</v>
      </c>
      <c r="Y34" s="66">
        <v>292.59141736030602</v>
      </c>
      <c r="Z34" s="66">
        <v>0</v>
      </c>
      <c r="AA34" s="67">
        <v>0</v>
      </c>
      <c r="AB34" s="68">
        <v>0</v>
      </c>
      <c r="AC34" s="69">
        <v>0</v>
      </c>
      <c r="AD34" s="69">
        <v>11.140779225693821</v>
      </c>
      <c r="AE34" s="68">
        <v>10.999955104001989</v>
      </c>
      <c r="AF34" s="68">
        <v>0</v>
      </c>
      <c r="AG34" s="68">
        <v>1</v>
      </c>
      <c r="AH34" s="69">
        <v>264.76127899487807</v>
      </c>
      <c r="AI34" s="69">
        <v>490.13089968363442</v>
      </c>
      <c r="AJ34" s="69">
        <v>1151.9942318598428</v>
      </c>
      <c r="AK34" s="69">
        <v>569.38142115275059</v>
      </c>
      <c r="AL34" s="69">
        <v>1649.1715475718179</v>
      </c>
      <c r="AM34" s="69">
        <v>2145.1031136830643</v>
      </c>
      <c r="AN34" s="69">
        <v>596.61595360438014</v>
      </c>
      <c r="AO34" s="69">
        <v>2183.6123009999592</v>
      </c>
      <c r="AP34" s="69">
        <v>356.10247069994608</v>
      </c>
      <c r="AQ34" s="69">
        <v>788.09604724248265</v>
      </c>
    </row>
    <row r="35" spans="1:43" x14ac:dyDescent="0.25">
      <c r="A35" s="11">
        <v>41606</v>
      </c>
      <c r="B35" s="59"/>
      <c r="C35" s="60">
        <v>0</v>
      </c>
      <c r="D35" s="60">
        <v>0</v>
      </c>
      <c r="E35" s="60">
        <v>0.52182735999425256</v>
      </c>
      <c r="F35" s="60">
        <v>0</v>
      </c>
      <c r="G35" s="60">
        <v>0</v>
      </c>
      <c r="H35" s="61">
        <v>0</v>
      </c>
      <c r="I35" s="59">
        <v>267.95910638173399</v>
      </c>
      <c r="J35" s="60">
        <v>804.79970417022707</v>
      </c>
      <c r="K35" s="60">
        <v>19.389724234739926</v>
      </c>
      <c r="L35" s="50">
        <v>2.996823787689263E-2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282.45359728071247</v>
      </c>
      <c r="V35" s="62">
        <v>0</v>
      </c>
      <c r="W35" s="62">
        <v>26.318857967853578</v>
      </c>
      <c r="X35" s="62">
        <v>0</v>
      </c>
      <c r="Y35" s="66">
        <v>288.37478252251958</v>
      </c>
      <c r="Z35" s="66">
        <v>0</v>
      </c>
      <c r="AA35" s="67">
        <v>0</v>
      </c>
      <c r="AB35" s="68">
        <v>0</v>
      </c>
      <c r="AC35" s="69">
        <v>0</v>
      </c>
      <c r="AD35" s="69">
        <v>11.069306869639263</v>
      </c>
      <c r="AE35" s="68">
        <v>10.828546621954718</v>
      </c>
      <c r="AF35" s="68">
        <v>0</v>
      </c>
      <c r="AG35" s="68">
        <v>1</v>
      </c>
      <c r="AH35" s="69">
        <v>204.74858143329618</v>
      </c>
      <c r="AI35" s="69">
        <v>417.81474784215283</v>
      </c>
      <c r="AJ35" s="69">
        <v>1105.9005954742429</v>
      </c>
      <c r="AK35" s="69">
        <v>565.51759703954065</v>
      </c>
      <c r="AL35" s="69">
        <v>1635.8326762517288</v>
      </c>
      <c r="AM35" s="69">
        <v>2093.8094710032146</v>
      </c>
      <c r="AN35" s="69">
        <v>583.28542003631594</v>
      </c>
      <c r="AO35" s="69">
        <v>2193.6537979125978</v>
      </c>
      <c r="AP35" s="69">
        <v>341.24091784159339</v>
      </c>
      <c r="AQ35" s="69">
        <v>739.25232766469298</v>
      </c>
    </row>
    <row r="36" spans="1:43" x14ac:dyDescent="0.25">
      <c r="A36" s="11">
        <v>41607</v>
      </c>
      <c r="B36" s="59"/>
      <c r="C36" s="60">
        <v>0</v>
      </c>
      <c r="D36" s="60">
        <v>0</v>
      </c>
      <c r="E36" s="60">
        <v>0.51993142316738794</v>
      </c>
      <c r="F36" s="60">
        <v>0</v>
      </c>
      <c r="G36" s="60">
        <v>0</v>
      </c>
      <c r="H36" s="61">
        <v>0</v>
      </c>
      <c r="I36" s="59">
        <v>264.08111864725703</v>
      </c>
      <c r="J36" s="60">
        <v>825.90262387593566</v>
      </c>
      <c r="K36" s="60">
        <v>20.259664996465009</v>
      </c>
      <c r="L36" s="50">
        <v>3.2416307926178549E-2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284.53739684422925</v>
      </c>
      <c r="V36" s="62">
        <v>0</v>
      </c>
      <c r="W36" s="62">
        <v>26.242770103613541</v>
      </c>
      <c r="X36" s="62">
        <v>0</v>
      </c>
      <c r="Y36" s="66">
        <v>281.87120479742686</v>
      </c>
      <c r="Z36" s="66">
        <v>0</v>
      </c>
      <c r="AA36" s="67">
        <v>0</v>
      </c>
      <c r="AB36" s="68">
        <v>0</v>
      </c>
      <c r="AC36" s="69">
        <v>0</v>
      </c>
      <c r="AD36" s="69">
        <v>10.950974334610809</v>
      </c>
      <c r="AE36" s="68">
        <v>10.705911905844195</v>
      </c>
      <c r="AF36" s="68">
        <v>0</v>
      </c>
      <c r="AG36" s="68">
        <v>1</v>
      </c>
      <c r="AH36" s="69">
        <v>196.95024708906811</v>
      </c>
      <c r="AI36" s="69">
        <v>417.5058171749115</v>
      </c>
      <c r="AJ36" s="69">
        <v>1125.4087896982828</v>
      </c>
      <c r="AK36" s="69">
        <v>566.44890489578245</v>
      </c>
      <c r="AL36" s="69">
        <v>1599.9475696563723</v>
      </c>
      <c r="AM36" s="69">
        <v>2094.5335898081462</v>
      </c>
      <c r="AN36" s="69">
        <v>577.188829867045</v>
      </c>
      <c r="AO36" s="69">
        <v>2226.3016223907471</v>
      </c>
      <c r="AP36" s="69">
        <v>348.26463402112324</v>
      </c>
      <c r="AQ36" s="69">
        <v>721.00270773569753</v>
      </c>
    </row>
    <row r="37" spans="1:43" x14ac:dyDescent="0.25">
      <c r="A37" s="11">
        <v>41608</v>
      </c>
      <c r="B37" s="59"/>
      <c r="C37" s="60">
        <v>0</v>
      </c>
      <c r="D37" s="60">
        <v>0</v>
      </c>
      <c r="E37" s="60">
        <v>0.52842108656962572</v>
      </c>
      <c r="F37" s="60">
        <v>0</v>
      </c>
      <c r="G37" s="60">
        <v>0</v>
      </c>
      <c r="H37" s="61">
        <v>0</v>
      </c>
      <c r="I37" s="59">
        <v>256.56313948631259</v>
      </c>
      <c r="J37" s="60">
        <v>802.52079003651966</v>
      </c>
      <c r="K37" s="60">
        <v>19.883843548099176</v>
      </c>
      <c r="L37" s="60">
        <v>4.3479239940643691E-2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295.58278425004778</v>
      </c>
      <c r="V37" s="62">
        <v>0</v>
      </c>
      <c r="W37" s="62">
        <v>27.588693928718634</v>
      </c>
      <c r="X37" s="62">
        <v>0</v>
      </c>
      <c r="Y37" s="66">
        <v>283.46036474704738</v>
      </c>
      <c r="Z37" s="66">
        <v>0</v>
      </c>
      <c r="AA37" s="67">
        <v>0</v>
      </c>
      <c r="AB37" s="68">
        <v>0</v>
      </c>
      <c r="AC37" s="69">
        <v>0</v>
      </c>
      <c r="AD37" s="69">
        <v>11.230018286572557</v>
      </c>
      <c r="AE37" s="68">
        <v>11.001128691416117</v>
      </c>
      <c r="AF37" s="68">
        <v>0</v>
      </c>
      <c r="AG37" s="68">
        <v>1</v>
      </c>
      <c r="AH37" s="69">
        <v>181.906254196167</v>
      </c>
      <c r="AI37" s="69">
        <v>429.25122499465942</v>
      </c>
      <c r="AJ37" s="69">
        <v>1108.7890317281087</v>
      </c>
      <c r="AK37" s="69">
        <v>565.47522843678792</v>
      </c>
      <c r="AL37" s="69">
        <v>1610.4073374430341</v>
      </c>
      <c r="AM37" s="69">
        <v>2072.8945231119797</v>
      </c>
      <c r="AN37" s="69">
        <v>575.07492068608599</v>
      </c>
      <c r="AO37" s="69">
        <v>2201.2543176015224</v>
      </c>
      <c r="AP37" s="69">
        <v>338.96049021085105</v>
      </c>
      <c r="AQ37" s="69">
        <v>702.64228843053172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15.624768016238995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9559.2892701347737</v>
      </c>
      <c r="J39" s="30">
        <f t="shared" si="0"/>
        <v>27065.951920668271</v>
      </c>
      <c r="K39" s="30">
        <f t="shared" si="0"/>
        <v>579.29229135413971</v>
      </c>
      <c r="L39" s="30">
        <f t="shared" si="0"/>
        <v>0.91899833679200094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9113.363540893155</v>
      </c>
      <c r="V39" s="255">
        <f t="shared" si="0"/>
        <v>0</v>
      </c>
      <c r="W39" s="255">
        <f t="shared" si="0"/>
        <v>806.56333880821876</v>
      </c>
      <c r="X39" s="255">
        <f t="shared" si="0"/>
        <v>0</v>
      </c>
      <c r="Y39" s="255">
        <f t="shared" si="0"/>
        <v>8959.1583941062254</v>
      </c>
      <c r="Z39" s="255">
        <f t="shared" si="0"/>
        <v>0</v>
      </c>
      <c r="AA39" s="263">
        <f t="shared" si="0"/>
        <v>0</v>
      </c>
      <c r="AB39" s="266">
        <f t="shared" si="0"/>
        <v>0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Q39" si="1">SUM(AH8:AH38)</f>
        <v>6459.0181732336669</v>
      </c>
      <c r="AI39" s="266">
        <f t="shared" si="1"/>
        <v>15345.126299015681</v>
      </c>
      <c r="AJ39" s="266">
        <f t="shared" si="1"/>
        <v>32957.25165068308</v>
      </c>
      <c r="AK39" s="266">
        <f t="shared" si="1"/>
        <v>17216.149422454833</v>
      </c>
      <c r="AL39" s="266">
        <f t="shared" si="1"/>
        <v>47382.594684473683</v>
      </c>
      <c r="AM39" s="266">
        <f t="shared" si="1"/>
        <v>64208.549451446554</v>
      </c>
      <c r="AN39" s="266">
        <f t="shared" si="1"/>
        <v>17817.032619825997</v>
      </c>
      <c r="AO39" s="266">
        <f t="shared" si="1"/>
        <v>62277.25154329936</v>
      </c>
      <c r="AP39" s="266">
        <f t="shared" si="1"/>
        <v>10227.813626241683</v>
      </c>
      <c r="AQ39" s="266">
        <f t="shared" si="1"/>
        <v>22389.906273206074</v>
      </c>
    </row>
    <row r="40" spans="1:43" ht="15.75" thickBot="1" x14ac:dyDescent="0.3">
      <c r="A40" s="47" t="s">
        <v>172</v>
      </c>
      <c r="B40" s="32">
        <f>Projection!$AD$30</f>
        <v>0.91139353199999984</v>
      </c>
      <c r="C40" s="33">
        <f>Projection!$AD$28</f>
        <v>1.4375491199999999</v>
      </c>
      <c r="D40" s="33">
        <f>Projection!$AD$31</f>
        <v>2.0999286000000001</v>
      </c>
      <c r="E40" s="33">
        <f>Projection!$AD$26</f>
        <v>3.8734129199999998</v>
      </c>
      <c r="F40" s="33">
        <f>Projection!$AD$23</f>
        <v>5.8379999999999994E-2</v>
      </c>
      <c r="G40" s="33">
        <f>Projection!$AD$24</f>
        <v>5.3200000000000004E-2</v>
      </c>
      <c r="H40" s="34">
        <f>Projection!$AD$29</f>
        <v>3.6371774160000006</v>
      </c>
      <c r="I40" s="32">
        <f>Projection!$AD$30</f>
        <v>0.91139353199999984</v>
      </c>
      <c r="J40" s="33">
        <f>Projection!$AD$28</f>
        <v>1.4375491199999999</v>
      </c>
      <c r="K40" s="33">
        <f>Projection!$AD$26</f>
        <v>3.8734129199999998</v>
      </c>
      <c r="L40" s="33">
        <f>Projection!$AD$25</f>
        <v>0.37613399999999997</v>
      </c>
      <c r="M40" s="33">
        <f>Projection!$AD$23</f>
        <v>5.8379999999999994E-2</v>
      </c>
      <c r="N40" s="34">
        <f>Projection!$AD$23</f>
        <v>5.8379999999999994E-2</v>
      </c>
      <c r="O40" s="257">
        <v>15.77</v>
      </c>
      <c r="P40" s="258">
        <v>15.77</v>
      </c>
      <c r="Q40" s="258">
        <v>15.77</v>
      </c>
      <c r="R40" s="258">
        <v>15.77</v>
      </c>
      <c r="S40" s="258">
        <f>Projection!$AD$28</f>
        <v>1.4375491199999999</v>
      </c>
      <c r="T40" s="259">
        <f>Projection!$AD$28</f>
        <v>1.4375491199999999</v>
      </c>
      <c r="U40" s="257">
        <f>Projection!$AD$27</f>
        <v>0.26250000000000001</v>
      </c>
      <c r="V40" s="258">
        <f>Projection!$AD$27</f>
        <v>0.26250000000000001</v>
      </c>
      <c r="W40" s="258">
        <f>Projection!$AD$22</f>
        <v>1.2186999999999999</v>
      </c>
      <c r="X40" s="258">
        <f>Projection!$AD$22</f>
        <v>1.2186999999999999</v>
      </c>
      <c r="Y40" s="258">
        <f>Projection!$AD$31</f>
        <v>2.0999286000000001</v>
      </c>
      <c r="Z40" s="258">
        <f>Projection!$AD$31</f>
        <v>2.0999286000000001</v>
      </c>
      <c r="AA40" s="264">
        <v>0</v>
      </c>
      <c r="AB40" s="267">
        <f>Projection!$AD$27</f>
        <v>0.26250000000000001</v>
      </c>
      <c r="AC40" s="267">
        <f>Projection!$AD$30</f>
        <v>0.91139353199999984</v>
      </c>
      <c r="AD40" s="270">
        <f>SUM(AD8:AD38)</f>
        <v>324.12801533904337</v>
      </c>
      <c r="AE40" s="270">
        <f>SUM(AE8:AE38)</f>
        <v>318.56997959378094</v>
      </c>
      <c r="AF40" s="270">
        <f>SUM(AF8:AF38)</f>
        <v>0</v>
      </c>
      <c r="AG40" s="270">
        <f>IF(SUM(AE40:AF40)&gt;0, AE40/(AE40+AF40), "")</f>
        <v>1</v>
      </c>
      <c r="AH40" s="306">
        <v>7.2999999999999995E-2</v>
      </c>
      <c r="AI40" s="306">
        <f t="shared" ref="AI40:AQ40" si="2">$AH$40</f>
        <v>7.2999999999999995E-2</v>
      </c>
      <c r="AJ40" s="306">
        <f t="shared" si="2"/>
        <v>7.2999999999999995E-2</v>
      </c>
      <c r="AK40" s="306">
        <f t="shared" si="2"/>
        <v>7.2999999999999995E-2</v>
      </c>
      <c r="AL40" s="306">
        <f t="shared" si="2"/>
        <v>7.2999999999999995E-2</v>
      </c>
      <c r="AM40" s="306">
        <f t="shared" si="2"/>
        <v>7.2999999999999995E-2</v>
      </c>
      <c r="AN40" s="306">
        <f t="shared" si="2"/>
        <v>7.2999999999999995E-2</v>
      </c>
      <c r="AO40" s="306">
        <f t="shared" si="2"/>
        <v>7.2999999999999995E-2</v>
      </c>
      <c r="AP40" s="306">
        <f t="shared" si="2"/>
        <v>7.2999999999999995E-2</v>
      </c>
      <c r="AQ40" s="306">
        <f t="shared" si="2"/>
        <v>7.2999999999999995E-2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60.52117830610289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8712.2744113178323</v>
      </c>
      <c r="J41" s="36">
        <f t="shared" si="3"/>
        <v>38908.635365518981</v>
      </c>
      <c r="K41" s="36">
        <f t="shared" si="3"/>
        <v>2243.8382457875291</v>
      </c>
      <c r="L41" s="36">
        <f t="shared" si="3"/>
        <v>0.34566652041092244</v>
      </c>
      <c r="M41" s="36">
        <f t="shared" si="3"/>
        <v>0</v>
      </c>
      <c r="N41" s="37">
        <f t="shared" si="3"/>
        <v>0</v>
      </c>
      <c r="O41" s="260">
        <f t="shared" si="3"/>
        <v>0</v>
      </c>
      <c r="P41" s="261">
        <f t="shared" si="3"/>
        <v>0</v>
      </c>
      <c r="Q41" s="261">
        <f t="shared" si="3"/>
        <v>0</v>
      </c>
      <c r="R41" s="261">
        <f t="shared" si="3"/>
        <v>0</v>
      </c>
      <c r="S41" s="261">
        <f t="shared" si="3"/>
        <v>0</v>
      </c>
      <c r="T41" s="262">
        <f t="shared" si="3"/>
        <v>0</v>
      </c>
      <c r="U41" s="260">
        <f t="shared" si="3"/>
        <v>2392.2579294844531</v>
      </c>
      <c r="V41" s="261">
        <f t="shared" si="3"/>
        <v>0</v>
      </c>
      <c r="W41" s="261">
        <f t="shared" si="3"/>
        <v>982.95874100557614</v>
      </c>
      <c r="X41" s="261">
        <f t="shared" si="3"/>
        <v>0</v>
      </c>
      <c r="Y41" s="261">
        <f t="shared" si="3"/>
        <v>18813.592943713735</v>
      </c>
      <c r="Z41" s="261">
        <f t="shared" si="3"/>
        <v>0</v>
      </c>
      <c r="AA41" s="265">
        <f t="shared" si="3"/>
        <v>0</v>
      </c>
      <c r="AB41" s="268">
        <f t="shared" si="3"/>
        <v>0</v>
      </c>
      <c r="AC41" s="268">
        <f t="shared" si="3"/>
        <v>0</v>
      </c>
      <c r="AH41" s="271">
        <f t="shared" ref="AH41:AQ41" si="4">AH40*AH39</f>
        <v>471.50832664605764</v>
      </c>
      <c r="AI41" s="271">
        <f t="shared" si="4"/>
        <v>1120.1942198281447</v>
      </c>
      <c r="AJ41" s="271">
        <f t="shared" si="4"/>
        <v>2405.8793704998648</v>
      </c>
      <c r="AK41" s="271">
        <f t="shared" si="4"/>
        <v>1256.7789078392027</v>
      </c>
      <c r="AL41" s="271">
        <f t="shared" si="4"/>
        <v>3458.9294119665788</v>
      </c>
      <c r="AM41" s="271">
        <f t="shared" si="4"/>
        <v>4687.2241099555977</v>
      </c>
      <c r="AN41" s="271">
        <f t="shared" si="4"/>
        <v>1300.6433812472976</v>
      </c>
      <c r="AO41" s="271">
        <f t="shared" si="4"/>
        <v>4546.2393626608527</v>
      </c>
      <c r="AP41" s="271">
        <f t="shared" si="4"/>
        <v>746.63039471564275</v>
      </c>
      <c r="AQ41" s="271">
        <f t="shared" si="4"/>
        <v>1634.4631579440434</v>
      </c>
    </row>
    <row r="42" spans="1:43" ht="49.5" customHeight="1" thickTop="1" thickBot="1" x14ac:dyDescent="0.3">
      <c r="A42" s="562" t="s">
        <v>209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721.2</v>
      </c>
      <c r="AI42" s="271" t="s">
        <v>197</v>
      </c>
      <c r="AJ42" s="271">
        <v>1907.29</v>
      </c>
      <c r="AK42" s="271">
        <v>1286.6600000000001</v>
      </c>
      <c r="AL42" s="271">
        <v>988.91</v>
      </c>
      <c r="AM42" s="271">
        <v>4632.3500000000004</v>
      </c>
      <c r="AN42" s="271">
        <v>1111.43</v>
      </c>
      <c r="AO42" s="271" t="s">
        <v>197</v>
      </c>
      <c r="AP42" s="271">
        <v>150.16</v>
      </c>
      <c r="AQ42" s="271">
        <v>455.88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24.75" thickTop="1" thickBot="1" x14ac:dyDescent="0.3">
      <c r="A44" s="275" t="s">
        <v>135</v>
      </c>
      <c r="B44" s="276">
        <f>SUM(B41:AC41)</f>
        <v>72114.424481654627</v>
      </c>
      <c r="C44" s="12"/>
      <c r="D44" s="275" t="s">
        <v>135</v>
      </c>
      <c r="E44" s="276">
        <f>SUM(B41:H41)+P41+R41+T41+V41+X41+Z41</f>
        <v>60.52117830610289</v>
      </c>
      <c r="F44" s="12"/>
      <c r="G44" s="275" t="s">
        <v>135</v>
      </c>
      <c r="H44" s="276">
        <f>SUM(I41:N41)+O41+Q41+S41+U41+W41+Y41</f>
        <v>72053.903303348518</v>
      </c>
      <c r="I44" s="12"/>
      <c r="J44" s="275" t="s">
        <v>198</v>
      </c>
      <c r="K44" s="276">
        <v>143271.26</v>
      </c>
      <c r="L44" s="12"/>
      <c r="M44" s="12"/>
      <c r="N44" s="12"/>
      <c r="O44" s="12"/>
      <c r="P44" s="12"/>
      <c r="Q44" s="12"/>
      <c r="R44" s="313" t="s">
        <v>135</v>
      </c>
      <c r="S44" s="314"/>
      <c r="T44" s="307" t="s">
        <v>167</v>
      </c>
      <c r="U44" s="248" t="s">
        <v>168</v>
      </c>
    </row>
    <row r="45" spans="1:43" ht="24" thickBot="1" x14ac:dyDescent="0.4">
      <c r="A45" s="277" t="s">
        <v>183</v>
      </c>
      <c r="B45" s="278">
        <f>SUM(AH41:AQ41)</f>
        <v>21628.490643303281</v>
      </c>
      <c r="C45" s="12"/>
      <c r="D45" s="277" t="s">
        <v>183</v>
      </c>
      <c r="E45" s="278">
        <f>AH41*(1-$AG$40)+AI41+AJ41*0.5+AL41+AM41*(1-$AG$40)+AN41*(1-$AG$40)+AO41*(1-$AG$40)+AP41*0.5+AQ41*0.5</f>
        <v>6972.6100933744992</v>
      </c>
      <c r="F45" s="24"/>
      <c r="G45" s="277" t="s">
        <v>183</v>
      </c>
      <c r="H45" s="278">
        <f>AH41*AG40+AJ41*0.5+AK41+AM41*AG40+AN41*AG40+AO41*AG40+AP41*0.5+AQ41*0.5</f>
        <v>14655.880549928783</v>
      </c>
      <c r="I45" s="12"/>
      <c r="J45" s="12"/>
      <c r="K45" s="281"/>
      <c r="L45" s="12"/>
      <c r="M45" s="12"/>
      <c r="N45" s="12"/>
      <c r="O45" s="12"/>
      <c r="P45" s="12"/>
      <c r="Q45" s="12"/>
      <c r="R45" s="311" t="s">
        <v>141</v>
      </c>
      <c r="S45" s="312"/>
      <c r="T45" s="247">
        <f>$W$39+$X$39</f>
        <v>806.56333880821876</v>
      </c>
      <c r="U45" s="249">
        <f>(T45*8.34*0.895)/27000</f>
        <v>0.22297891592096991</v>
      </c>
    </row>
    <row r="46" spans="1:43" ht="32.25" thickBot="1" x14ac:dyDescent="0.3">
      <c r="A46" s="279" t="s">
        <v>184</v>
      </c>
      <c r="B46" s="280">
        <f>SUM(AH42:AQ42)</f>
        <v>11253.88</v>
      </c>
      <c r="C46" s="12"/>
      <c r="D46" s="279" t="s">
        <v>184</v>
      </c>
      <c r="E46" s="280">
        <f>AH42*(1-$AG$40)+AJ42*0.5+AL42+AM42*(1-$AG$40)+AN42*(1-$AG$40)+AP42*0.5+AQ42*0.5</f>
        <v>2245.5749999999998</v>
      </c>
      <c r="F46" s="23"/>
      <c r="G46" s="279" t="s">
        <v>184</v>
      </c>
      <c r="H46" s="280">
        <f>AH42*AG40+AJ42*0.5+AK42+AM42*AG40+AN42*AG40+AP42*0.5+AQ42*0.5</f>
        <v>9008.3050000000003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311" t="s">
        <v>145</v>
      </c>
      <c r="S46" s="312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143271.26</v>
      </c>
      <c r="C47" s="12"/>
      <c r="D47" s="279" t="s">
        <v>187</v>
      </c>
      <c r="E47" s="280">
        <f>K44*0.5</f>
        <v>71635.63</v>
      </c>
      <c r="F47" s="24"/>
      <c r="G47" s="279" t="s">
        <v>185</v>
      </c>
      <c r="H47" s="280">
        <f>K44*0.5</f>
        <v>71635.63</v>
      </c>
      <c r="I47" s="12"/>
      <c r="J47" s="275" t="s">
        <v>198</v>
      </c>
      <c r="K47" s="276">
        <v>91245.08</v>
      </c>
      <c r="L47" s="12"/>
      <c r="M47" s="12"/>
      <c r="N47" s="12"/>
      <c r="O47" s="12"/>
      <c r="P47" s="12"/>
      <c r="Q47" s="12"/>
      <c r="R47" s="311" t="s">
        <v>148</v>
      </c>
      <c r="S47" s="312"/>
      <c r="T47" s="247">
        <f>$G$39</f>
        <v>0</v>
      </c>
      <c r="U47" s="249">
        <f>T47/40000</f>
        <v>0</v>
      </c>
    </row>
    <row r="48" spans="1:43" ht="24" thickBot="1" x14ac:dyDescent="0.3">
      <c r="A48" s="279" t="s">
        <v>186</v>
      </c>
      <c r="B48" s="280">
        <f>K47</f>
        <v>91245.08</v>
      </c>
      <c r="C48" s="12"/>
      <c r="D48" s="279" t="s">
        <v>186</v>
      </c>
      <c r="E48" s="280">
        <f>K47*0.5</f>
        <v>45622.54</v>
      </c>
      <c r="F48" s="23"/>
      <c r="G48" s="279" t="s">
        <v>186</v>
      </c>
      <c r="H48" s="280">
        <f>K47*0.5</f>
        <v>45622.54</v>
      </c>
      <c r="I48" s="12"/>
      <c r="J48" s="12"/>
      <c r="K48" s="86"/>
      <c r="L48" s="12"/>
      <c r="M48" s="12"/>
      <c r="N48" s="12"/>
      <c r="O48" s="12"/>
      <c r="P48" s="12"/>
      <c r="Q48" s="12"/>
      <c r="R48" s="311" t="s">
        <v>150</v>
      </c>
      <c r="S48" s="312"/>
      <c r="T48" s="247">
        <f>$L$39</f>
        <v>0.91899833679200094</v>
      </c>
      <c r="U48" s="249">
        <f>T48*9.34*0.107</f>
        <v>0.91842855782318988</v>
      </c>
    </row>
    <row r="49" spans="1:25" ht="48" thickTop="1" thickBot="1" x14ac:dyDescent="0.3">
      <c r="A49" s="284" t="s">
        <v>194</v>
      </c>
      <c r="B49" s="285">
        <f>AD40</f>
        <v>324.12801533904337</v>
      </c>
      <c r="C49" s="12"/>
      <c r="D49" s="284" t="s">
        <v>195</v>
      </c>
      <c r="E49" s="285">
        <f>AF40</f>
        <v>0</v>
      </c>
      <c r="F49" s="23"/>
      <c r="G49" s="284" t="s">
        <v>196</v>
      </c>
      <c r="H49" s="285">
        <f>AE40</f>
        <v>318.56997959378094</v>
      </c>
      <c r="I49" s="12"/>
      <c r="J49" s="12"/>
      <c r="K49" s="86"/>
      <c r="L49" s="12"/>
      <c r="M49" s="12"/>
      <c r="N49" s="12"/>
      <c r="O49" s="12"/>
      <c r="P49" s="12"/>
      <c r="Q49" s="12"/>
      <c r="R49" s="311" t="s">
        <v>152</v>
      </c>
      <c r="S49" s="312"/>
      <c r="T49" s="247">
        <f>$E$39+$K$39</f>
        <v>594.91705937037875</v>
      </c>
      <c r="U49" s="249">
        <f>(T49*8.34*1.04)/45000</f>
        <v>0.11466828013677592</v>
      </c>
    </row>
    <row r="50" spans="1:25" ht="48" thickTop="1" thickBot="1" x14ac:dyDescent="0.3">
      <c r="A50" s="284" t="s">
        <v>190</v>
      </c>
      <c r="B50" s="286">
        <f>(SUM(B44:B48)/AD40)</f>
        <v>1047.4661832912575</v>
      </c>
      <c r="C50" s="12"/>
      <c r="D50" s="284" t="s">
        <v>188</v>
      </c>
      <c r="E50" s="286" t="e">
        <f>SUM(E44:E48)/AF40</f>
        <v>#DIV/0!</v>
      </c>
      <c r="F50" s="23"/>
      <c r="G50" s="284" t="s">
        <v>189</v>
      </c>
      <c r="H50" s="286">
        <f>SUM(H44:H48)/AE40</f>
        <v>668.53838244535893</v>
      </c>
      <c r="I50" s="12"/>
      <c r="J50" s="12"/>
      <c r="K50" s="86"/>
      <c r="L50" s="12"/>
      <c r="M50" s="12"/>
      <c r="N50" s="12"/>
      <c r="O50" s="12"/>
      <c r="P50" s="12"/>
      <c r="Q50" s="12"/>
      <c r="R50" s="311" t="s">
        <v>153</v>
      </c>
      <c r="S50" s="312"/>
      <c r="T50" s="247">
        <f>$U$39+$V$39+$AB$39</f>
        <v>9113.363540893155</v>
      </c>
      <c r="U50" s="249">
        <f>T50/2000/8</f>
        <v>0.56958522130582223</v>
      </c>
    </row>
    <row r="51" spans="1:25" ht="48" thickTop="1" thickBot="1" x14ac:dyDescent="0.3">
      <c r="A51" s="274" t="s">
        <v>191</v>
      </c>
      <c r="B51" s="287">
        <f>B50/1000</f>
        <v>1.0474661832912575</v>
      </c>
      <c r="C51" s="12"/>
      <c r="D51" s="274" t="s">
        <v>192</v>
      </c>
      <c r="E51" s="287" t="e">
        <f>E50/1000</f>
        <v>#DIV/0!</v>
      </c>
      <c r="F51" s="12"/>
      <c r="G51" s="274" t="s">
        <v>193</v>
      </c>
      <c r="H51" s="287">
        <f>H50/1000</f>
        <v>0.6685383824453589</v>
      </c>
      <c r="I51" s="12"/>
      <c r="J51" s="12"/>
      <c r="K51" s="86"/>
      <c r="L51" s="12"/>
      <c r="M51" s="12"/>
      <c r="N51" s="12"/>
      <c r="O51" s="12"/>
      <c r="P51" s="12"/>
      <c r="Q51" s="12"/>
      <c r="R51" s="311" t="s">
        <v>154</v>
      </c>
      <c r="S51" s="312"/>
      <c r="T51" s="247">
        <f>$C$39+$J$39+$S$39+$T$39</f>
        <v>27065.951920668271</v>
      </c>
      <c r="U51" s="249">
        <f>(T51*8.34*1.4)/45000</f>
        <v>7.0227123250160597</v>
      </c>
    </row>
    <row r="52" spans="1:25" ht="16.5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1" t="s">
        <v>155</v>
      </c>
      <c r="S52" s="312"/>
      <c r="T52" s="247">
        <f>$H$39</f>
        <v>0</v>
      </c>
      <c r="U52" s="249">
        <f>(T52*8.34*1.135)/45000</f>
        <v>0</v>
      </c>
    </row>
    <row r="53" spans="1:25" ht="33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1" t="s">
        <v>156</v>
      </c>
      <c r="S53" s="312"/>
      <c r="T53" s="247">
        <f>$B$39+$I$39+$AC$39</f>
        <v>9559.2892701347737</v>
      </c>
      <c r="U53" s="249">
        <f>(T53*8.34*1.029*0.03)/3300</f>
        <v>0.74578620196180712</v>
      </c>
    </row>
    <row r="54" spans="1:25" ht="66.75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54"/>
      <c r="T54" s="251">
        <f>$D$39+$Y$39+$Z$39</f>
        <v>8959.1583941062254</v>
      </c>
      <c r="U54" s="252">
        <f>(T54*1.54*8.34)/45000</f>
        <v>2.5570632611231718</v>
      </c>
      <c r="V54" s="319"/>
      <c r="W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16"/>
      <c r="T55" s="596"/>
      <c r="U55" s="596"/>
      <c r="V55" s="317"/>
      <c r="W55" s="318"/>
      <c r="X55" s="316"/>
      <c r="Y55" s="316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16"/>
      <c r="T56" s="596"/>
      <c r="U56" s="596"/>
      <c r="V56" s="317"/>
      <c r="W56" s="318"/>
      <c r="X56" s="316"/>
      <c r="Y56" s="316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16"/>
      <c r="T57" s="596"/>
      <c r="U57" s="596"/>
      <c r="V57" s="317"/>
      <c r="W57" s="318"/>
      <c r="X57" s="316"/>
      <c r="Y57" s="316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16"/>
      <c r="T58" s="596"/>
      <c r="U58" s="596"/>
      <c r="V58" s="317"/>
      <c r="W58" s="318"/>
      <c r="X58" s="316"/>
      <c r="Y58" s="316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16"/>
      <c r="T59" s="596"/>
      <c r="U59" s="596"/>
      <c r="V59" s="317"/>
      <c r="W59" s="318"/>
      <c r="X59" s="316"/>
      <c r="Y59" s="316"/>
    </row>
    <row r="60" spans="1:25" x14ac:dyDescent="0.25">
      <c r="S60" s="316"/>
      <c r="T60" s="596"/>
      <c r="U60" s="596"/>
      <c r="V60" s="317"/>
      <c r="W60" s="318"/>
      <c r="X60" s="316"/>
      <c r="Y60" s="322"/>
    </row>
    <row r="61" spans="1:25" x14ac:dyDescent="0.25">
      <c r="S61" s="316"/>
      <c r="T61" s="596"/>
      <c r="U61" s="596"/>
      <c r="V61" s="317"/>
      <c r="W61" s="318"/>
      <c r="X61" s="316"/>
      <c r="Y61" s="322"/>
    </row>
    <row r="62" spans="1:25" x14ac:dyDescent="0.25">
      <c r="S62" s="316"/>
      <c r="T62" s="596"/>
      <c r="U62" s="596"/>
      <c r="V62" s="317"/>
      <c r="W62" s="318"/>
      <c r="X62" s="316"/>
      <c r="Y62" s="322"/>
    </row>
    <row r="63" spans="1:25" x14ac:dyDescent="0.25">
      <c r="S63" s="316"/>
      <c r="T63" s="316"/>
      <c r="U63" s="316"/>
      <c r="V63" s="316"/>
      <c r="W63" s="316"/>
      <c r="X63" s="316"/>
      <c r="Y63" s="322"/>
    </row>
    <row r="64" spans="1:25" x14ac:dyDescent="0.25">
      <c r="S64" s="316"/>
      <c r="T64" s="316"/>
      <c r="U64" s="316"/>
      <c r="V64" s="316"/>
      <c r="W64" s="316"/>
      <c r="X64" s="316"/>
      <c r="Y64" s="322"/>
    </row>
    <row r="65" spans="19:24" x14ac:dyDescent="0.25">
      <c r="S65" s="12"/>
      <c r="T65" s="12"/>
      <c r="U65" s="12"/>
      <c r="V65" s="12"/>
      <c r="W65" s="12"/>
      <c r="X65" s="12"/>
    </row>
    <row r="66" spans="19:24" x14ac:dyDescent="0.25">
      <c r="S66" s="12"/>
      <c r="T66" s="12"/>
      <c r="U66" s="12"/>
      <c r="V66" s="12"/>
      <c r="W66" s="12"/>
      <c r="X66" s="12"/>
    </row>
    <row r="67" spans="19:24" x14ac:dyDescent="0.25">
      <c r="S67" s="12"/>
      <c r="T67" s="12"/>
      <c r="U67" s="12"/>
      <c r="V67" s="12"/>
      <c r="W67" s="12"/>
      <c r="X67" s="12"/>
    </row>
    <row r="68" spans="19:24" x14ac:dyDescent="0.25">
      <c r="S68" s="12"/>
      <c r="T68" s="12"/>
      <c r="U68" s="12"/>
      <c r="V68" s="12"/>
      <c r="W68" s="12"/>
      <c r="X68" s="12"/>
    </row>
    <row r="69" spans="19:24" x14ac:dyDescent="0.25">
      <c r="S69" s="12"/>
      <c r="T69" s="12"/>
      <c r="U69" s="12"/>
      <c r="V69" s="12"/>
      <c r="W69" s="12"/>
      <c r="X69" s="12"/>
    </row>
  </sheetData>
  <sheetProtection password="A25B" sheet="1" objects="1" scenarios="1" selectLockedCells="1" selectUnlockedCells="1"/>
  <mergeCells count="38"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T61:U61"/>
    <mergeCell ref="T62:U62"/>
    <mergeCell ref="T56:U56"/>
    <mergeCell ref="T57:U57"/>
    <mergeCell ref="T58:U58"/>
    <mergeCell ref="T59:U59"/>
    <mergeCell ref="T60:U60"/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</mergeCells>
  <pageMargins left="0.33" right="0.19" top="0.75" bottom="0.75" header="0.3" footer="0.3"/>
  <pageSetup scale="5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zoomScale="80" zoomScaleNormal="80" workbookViewId="0">
      <selection activeCell="AE42" sqref="AE42"/>
    </sheetView>
  </sheetViews>
  <sheetFormatPr defaultRowHeight="15" x14ac:dyDescent="0.25"/>
  <cols>
    <col min="1" max="1" width="26.2851562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5"/>
      <c r="O2" s="4"/>
      <c r="P2" s="4"/>
      <c r="Q2" s="4"/>
      <c r="R2" s="4"/>
    </row>
    <row r="3" spans="1:53" ht="15.75" thickBot="1" x14ac:dyDescent="0.3">
      <c r="A3" s="6"/>
      <c r="AZ3" t="s">
        <v>169</v>
      </c>
      <c r="BA3" s="253" t="s">
        <v>206</v>
      </c>
    </row>
    <row r="4" spans="1:53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</row>
    <row r="5" spans="1:53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0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53" x14ac:dyDescent="0.25">
      <c r="A8" s="11">
        <v>41609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256.73350432713789</v>
      </c>
      <c r="J8" s="50">
        <v>802.27890154520537</v>
      </c>
      <c r="K8" s="50">
        <v>19.885696647564536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295.77168428633217</v>
      </c>
      <c r="V8" s="54">
        <v>0</v>
      </c>
      <c r="W8" s="54">
        <v>27.475194259484649</v>
      </c>
      <c r="X8" s="54">
        <v>0</v>
      </c>
      <c r="Y8" s="54">
        <v>282.11585085392016</v>
      </c>
      <c r="Z8" s="54">
        <v>0</v>
      </c>
      <c r="AA8" s="55">
        <v>0</v>
      </c>
      <c r="AB8" s="56">
        <v>0</v>
      </c>
      <c r="AC8" s="57">
        <v>0</v>
      </c>
      <c r="AD8" s="57">
        <v>11.228622908724661</v>
      </c>
      <c r="AE8" s="58">
        <v>10.998959888306224</v>
      </c>
      <c r="AF8" s="58">
        <v>0</v>
      </c>
      <c r="AG8" s="58">
        <v>1</v>
      </c>
      <c r="AH8" s="57">
        <v>190.30071519215903</v>
      </c>
      <c r="AI8" s="57">
        <v>419.27909708023071</v>
      </c>
      <c r="AJ8" s="57">
        <v>1101.7182107289632</v>
      </c>
      <c r="AK8" s="57">
        <v>565.46068410873409</v>
      </c>
      <c r="AL8" s="57">
        <v>1616.9802933375038</v>
      </c>
      <c r="AM8" s="57">
        <v>2081.6009771982826</v>
      </c>
      <c r="AN8" s="57">
        <v>583.26800486246748</v>
      </c>
      <c r="AO8" s="57">
        <v>2202.6468078613279</v>
      </c>
      <c r="AP8" s="57">
        <v>343.42888035774229</v>
      </c>
      <c r="AQ8" s="57">
        <v>712.15470972061166</v>
      </c>
    </row>
    <row r="9" spans="1:53" x14ac:dyDescent="0.25">
      <c r="A9" s="11">
        <v>41610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256.78786815007487</v>
      </c>
      <c r="J9" s="60">
        <v>803.08834807077972</v>
      </c>
      <c r="K9" s="60">
        <v>19.884267981847078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295.78087463379052</v>
      </c>
      <c r="V9" s="62">
        <v>0</v>
      </c>
      <c r="W9" s="62">
        <v>27.334932835896808</v>
      </c>
      <c r="X9" s="62">
        <v>0</v>
      </c>
      <c r="Y9" s="66">
        <v>282.4532137950257</v>
      </c>
      <c r="Z9" s="66">
        <v>0</v>
      </c>
      <c r="AA9" s="67">
        <v>0</v>
      </c>
      <c r="AB9" s="68">
        <v>0</v>
      </c>
      <c r="AC9" s="69">
        <v>0</v>
      </c>
      <c r="AD9" s="69">
        <v>11.225683269898099</v>
      </c>
      <c r="AE9" s="68">
        <v>10.998570405903335</v>
      </c>
      <c r="AF9" s="68">
        <v>0</v>
      </c>
      <c r="AG9" s="68">
        <v>1</v>
      </c>
      <c r="AH9" s="69">
        <v>220.22357023557026</v>
      </c>
      <c r="AI9" s="69">
        <v>453.30194063186644</v>
      </c>
      <c r="AJ9" s="69">
        <v>1119.8657880783085</v>
      </c>
      <c r="AK9" s="69">
        <v>579.47623964945478</v>
      </c>
      <c r="AL9" s="69">
        <v>1673.4505215326944</v>
      </c>
      <c r="AM9" s="69">
        <v>2118.954399617513</v>
      </c>
      <c r="AN9" s="69">
        <v>577.80015233357744</v>
      </c>
      <c r="AO9" s="69">
        <v>2075.0824635823569</v>
      </c>
      <c r="AP9" s="69">
        <v>351.45312209129332</v>
      </c>
      <c r="AQ9" s="69">
        <v>751.87006098429367</v>
      </c>
    </row>
    <row r="10" spans="1:53" x14ac:dyDescent="0.25">
      <c r="A10" s="11">
        <v>41611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256.86354699134824</v>
      </c>
      <c r="J10" s="60">
        <v>759.71939725875836</v>
      </c>
      <c r="K10" s="60">
        <v>19.865062647064523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292.23639933268174</v>
      </c>
      <c r="V10" s="62">
        <v>0</v>
      </c>
      <c r="W10" s="62">
        <v>26.939446139335612</v>
      </c>
      <c r="X10" s="62">
        <v>0</v>
      </c>
      <c r="Y10" s="66">
        <v>276.29792182445516</v>
      </c>
      <c r="Z10" s="66">
        <v>0</v>
      </c>
      <c r="AA10" s="67">
        <v>0</v>
      </c>
      <c r="AB10" s="68">
        <v>0</v>
      </c>
      <c r="AC10" s="69">
        <v>0</v>
      </c>
      <c r="AD10" s="69">
        <v>11.086041154464082</v>
      </c>
      <c r="AE10" s="68">
        <v>10.850246781802106</v>
      </c>
      <c r="AF10" s="68">
        <v>0</v>
      </c>
      <c r="AG10" s="68">
        <v>1</v>
      </c>
      <c r="AH10" s="69">
        <v>316.08440941174825</v>
      </c>
      <c r="AI10" s="69">
        <v>612.5918585459392</v>
      </c>
      <c r="AJ10" s="69">
        <v>1114.2781862258907</v>
      </c>
      <c r="AK10" s="69">
        <v>607.25820468266795</v>
      </c>
      <c r="AL10" s="69">
        <v>1816.6438211441043</v>
      </c>
      <c r="AM10" s="69">
        <v>2125.3920299530027</v>
      </c>
      <c r="AN10" s="69">
        <v>618.84090363184623</v>
      </c>
      <c r="AO10" s="69">
        <v>1957.0374279022215</v>
      </c>
      <c r="AP10" s="69">
        <v>337.73841366767886</v>
      </c>
      <c r="AQ10" s="69">
        <v>767.26495561599722</v>
      </c>
    </row>
    <row r="11" spans="1:53" x14ac:dyDescent="0.25">
      <c r="A11" s="11">
        <v>41612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262.55271164576192</v>
      </c>
      <c r="J11" s="60">
        <v>747.15591710408523</v>
      </c>
      <c r="K11" s="60">
        <v>20.424247760573966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285.22224742041578</v>
      </c>
      <c r="V11" s="62">
        <v>0</v>
      </c>
      <c r="W11" s="62">
        <v>26.691124165058188</v>
      </c>
      <c r="X11" s="62">
        <v>0</v>
      </c>
      <c r="Y11" s="66">
        <v>246.08692594369245</v>
      </c>
      <c r="Z11" s="66">
        <v>0</v>
      </c>
      <c r="AA11" s="67">
        <v>0</v>
      </c>
      <c r="AB11" s="68">
        <v>0</v>
      </c>
      <c r="AC11" s="69">
        <v>0</v>
      </c>
      <c r="AD11" s="69">
        <v>10.893375934826004</v>
      </c>
      <c r="AE11" s="68">
        <v>10.724644813017251</v>
      </c>
      <c r="AF11" s="68">
        <v>0</v>
      </c>
      <c r="AG11" s="68">
        <v>1</v>
      </c>
      <c r="AH11" s="69">
        <v>337.90975723266598</v>
      </c>
      <c r="AI11" s="69">
        <v>629.57777223587027</v>
      </c>
      <c r="AJ11" s="69">
        <v>1103.3156408945717</v>
      </c>
      <c r="AK11" s="69">
        <v>678.76871935526538</v>
      </c>
      <c r="AL11" s="69">
        <v>2041.8518316904706</v>
      </c>
      <c r="AM11" s="69">
        <v>2459.3528961181637</v>
      </c>
      <c r="AN11" s="69">
        <v>726.24979632695511</v>
      </c>
      <c r="AO11" s="69">
        <v>2151.6365112304684</v>
      </c>
      <c r="AP11" s="69">
        <v>357.30947063763938</v>
      </c>
      <c r="AQ11" s="69">
        <v>742.47610734303805</v>
      </c>
    </row>
    <row r="12" spans="1:53" x14ac:dyDescent="0.25">
      <c r="A12" s="11">
        <v>41613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255.80809712409931</v>
      </c>
      <c r="J12" s="60">
        <v>741.02174666722533</v>
      </c>
      <c r="K12" s="60">
        <v>20.215832280119219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270.47750272750881</v>
      </c>
      <c r="V12" s="62">
        <v>0</v>
      </c>
      <c r="W12" s="62">
        <v>25.638448011875141</v>
      </c>
      <c r="X12" s="62">
        <v>0</v>
      </c>
      <c r="Y12" s="66">
        <v>236.55324544906603</v>
      </c>
      <c r="Z12" s="66">
        <v>0</v>
      </c>
      <c r="AA12" s="67">
        <v>0</v>
      </c>
      <c r="AB12" s="68">
        <v>0</v>
      </c>
      <c r="AC12" s="69">
        <v>0</v>
      </c>
      <c r="AD12" s="69">
        <v>10.701871553725674</v>
      </c>
      <c r="AE12" s="68">
        <v>10.562253223805635</v>
      </c>
      <c r="AF12" s="68">
        <v>0</v>
      </c>
      <c r="AG12" s="68">
        <v>1</v>
      </c>
      <c r="AH12" s="69">
        <v>351.97464934984839</v>
      </c>
      <c r="AI12" s="69">
        <v>689.49841098785407</v>
      </c>
      <c r="AJ12" s="69">
        <v>1164.6360897064208</v>
      </c>
      <c r="AK12" s="69">
        <v>665.83028446833305</v>
      </c>
      <c r="AL12" s="69">
        <v>2057.1362290064494</v>
      </c>
      <c r="AM12" s="69">
        <v>2481.8438758850093</v>
      </c>
      <c r="AN12" s="69">
        <v>776.93488327662146</v>
      </c>
      <c r="AO12" s="69">
        <v>2209.8243918100998</v>
      </c>
      <c r="AP12" s="69">
        <v>393.90942227045679</v>
      </c>
      <c r="AQ12" s="69">
        <v>762.84868787129733</v>
      </c>
    </row>
    <row r="13" spans="1:53" x14ac:dyDescent="0.25">
      <c r="A13" s="11">
        <v>41614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238.65045448938977</v>
      </c>
      <c r="J13" s="60">
        <v>721.60680907567348</v>
      </c>
      <c r="K13" s="60">
        <v>19.48984918196992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280.15815747578824</v>
      </c>
      <c r="V13" s="62">
        <v>0</v>
      </c>
      <c r="W13" s="62">
        <v>26.376656579971272</v>
      </c>
      <c r="X13" s="62">
        <v>0</v>
      </c>
      <c r="Y13" s="66">
        <v>245.9243492364879</v>
      </c>
      <c r="Z13" s="66">
        <v>0</v>
      </c>
      <c r="AA13" s="67">
        <v>0</v>
      </c>
      <c r="AB13" s="68">
        <v>0</v>
      </c>
      <c r="AC13" s="69">
        <v>0</v>
      </c>
      <c r="AD13" s="69">
        <v>11.121500182151788</v>
      </c>
      <c r="AE13" s="68">
        <v>11.001257985977501</v>
      </c>
      <c r="AF13" s="68">
        <v>0</v>
      </c>
      <c r="AG13" s="68">
        <v>1</v>
      </c>
      <c r="AH13" s="69">
        <v>361.33787544568389</v>
      </c>
      <c r="AI13" s="69">
        <v>699.26591103871669</v>
      </c>
      <c r="AJ13" s="69">
        <v>1179.3212787628172</v>
      </c>
      <c r="AK13" s="69">
        <v>627.24501975377405</v>
      </c>
      <c r="AL13" s="69">
        <v>2066.0285839080811</v>
      </c>
      <c r="AM13" s="69">
        <v>2398.8126162211097</v>
      </c>
      <c r="AN13" s="69">
        <v>860.722361501058</v>
      </c>
      <c r="AO13" s="69">
        <v>2150.9588783264162</v>
      </c>
      <c r="AP13" s="69">
        <v>432.15943241119379</v>
      </c>
      <c r="AQ13" s="69">
        <v>791.19050645828258</v>
      </c>
    </row>
    <row r="14" spans="1:53" x14ac:dyDescent="0.25">
      <c r="A14" s="11">
        <v>41615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236.01852676073679</v>
      </c>
      <c r="J14" s="60">
        <v>720.13430684407388</v>
      </c>
      <c r="K14" s="60">
        <v>19.476133635640117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280.57660870022193</v>
      </c>
      <c r="V14" s="62">
        <v>0</v>
      </c>
      <c r="W14" s="62">
        <v>26.181595691045128</v>
      </c>
      <c r="X14" s="62">
        <v>0</v>
      </c>
      <c r="Y14" s="66">
        <v>246.00633606910688</v>
      </c>
      <c r="Z14" s="66">
        <v>0</v>
      </c>
      <c r="AA14" s="67">
        <v>0</v>
      </c>
      <c r="AB14" s="68">
        <v>0</v>
      </c>
      <c r="AC14" s="69">
        <v>0</v>
      </c>
      <c r="AD14" s="69">
        <v>11.123138396607485</v>
      </c>
      <c r="AE14" s="68">
        <v>11.000051877483896</v>
      </c>
      <c r="AF14" s="68">
        <v>0</v>
      </c>
      <c r="AG14" s="68">
        <v>1</v>
      </c>
      <c r="AH14" s="69">
        <v>364.26021777788799</v>
      </c>
      <c r="AI14" s="69">
        <v>702.10005245208743</v>
      </c>
      <c r="AJ14" s="69">
        <v>1175.2674894968668</v>
      </c>
      <c r="AK14" s="69">
        <v>627.54906613032006</v>
      </c>
      <c r="AL14" s="69">
        <v>2065.0017481486002</v>
      </c>
      <c r="AM14" s="69">
        <v>2414.3382272084559</v>
      </c>
      <c r="AN14" s="69">
        <v>909.7762009938557</v>
      </c>
      <c r="AO14" s="69">
        <v>2171.2576904296875</v>
      </c>
      <c r="AP14" s="69">
        <v>444.19269150098165</v>
      </c>
      <c r="AQ14" s="69">
        <v>774.85895818074528</v>
      </c>
    </row>
    <row r="15" spans="1:53" x14ac:dyDescent="0.25">
      <c r="A15" s="11">
        <v>41616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232.28740485509223</v>
      </c>
      <c r="J15" s="60">
        <v>720.06500562031954</v>
      </c>
      <c r="K15" s="60">
        <v>19.503413146734221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280.73585847218732</v>
      </c>
      <c r="V15" s="62">
        <v>0</v>
      </c>
      <c r="W15" s="62">
        <v>26.057360521952287</v>
      </c>
      <c r="X15" s="62">
        <v>0</v>
      </c>
      <c r="Y15" s="66">
        <v>241.62552959918989</v>
      </c>
      <c r="Z15" s="66">
        <v>0</v>
      </c>
      <c r="AA15" s="67">
        <v>0</v>
      </c>
      <c r="AB15" s="68">
        <v>0</v>
      </c>
      <c r="AC15" s="69">
        <v>0</v>
      </c>
      <c r="AD15" s="69">
        <v>11.123964861366469</v>
      </c>
      <c r="AE15" s="68">
        <v>10.999439673154836</v>
      </c>
      <c r="AF15" s="68">
        <v>0</v>
      </c>
      <c r="AG15" s="68">
        <v>1</v>
      </c>
      <c r="AH15" s="69">
        <v>354.85663828849789</v>
      </c>
      <c r="AI15" s="69">
        <v>691.51553945541377</v>
      </c>
      <c r="AJ15" s="69">
        <v>1151.2079920450849</v>
      </c>
      <c r="AK15" s="69">
        <v>621.77684160868318</v>
      </c>
      <c r="AL15" s="69">
        <v>2057.2433573404946</v>
      </c>
      <c r="AM15" s="69">
        <v>2389.4093860626217</v>
      </c>
      <c r="AN15" s="69">
        <v>864.47717905044556</v>
      </c>
      <c r="AO15" s="69">
        <v>2167.6572667439777</v>
      </c>
      <c r="AP15" s="69">
        <v>443.02677872975659</v>
      </c>
      <c r="AQ15" s="69">
        <v>768.15931285222371</v>
      </c>
    </row>
    <row r="16" spans="1:53" x14ac:dyDescent="0.25">
      <c r="A16" s="11">
        <v>41617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230.19906309445702</v>
      </c>
      <c r="J16" s="60">
        <v>720.22500915527201</v>
      </c>
      <c r="K16" s="60">
        <v>19.511360583702686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287.88769266340762</v>
      </c>
      <c r="V16" s="62">
        <v>0</v>
      </c>
      <c r="W16" s="62">
        <v>26.679795010884661</v>
      </c>
      <c r="X16" s="62">
        <v>0</v>
      </c>
      <c r="Y16" s="66">
        <v>240.61683781146991</v>
      </c>
      <c r="Z16" s="66">
        <v>0</v>
      </c>
      <c r="AA16" s="67">
        <v>0</v>
      </c>
      <c r="AB16" s="68">
        <v>0</v>
      </c>
      <c r="AC16" s="69">
        <v>0</v>
      </c>
      <c r="AD16" s="69">
        <v>11.122772139973106</v>
      </c>
      <c r="AE16" s="68">
        <v>10.998782438798273</v>
      </c>
      <c r="AF16" s="68">
        <v>0</v>
      </c>
      <c r="AG16" s="68">
        <v>1</v>
      </c>
      <c r="AH16" s="69">
        <v>349.10479229291275</v>
      </c>
      <c r="AI16" s="69">
        <v>663.88413184483841</v>
      </c>
      <c r="AJ16" s="69">
        <v>1165.0170146942139</v>
      </c>
      <c r="AK16" s="69">
        <v>605.53815679550178</v>
      </c>
      <c r="AL16" s="69">
        <v>2038.7706047058107</v>
      </c>
      <c r="AM16" s="69">
        <v>2419.9828076680501</v>
      </c>
      <c r="AN16" s="69">
        <v>836.33212283452349</v>
      </c>
      <c r="AO16" s="69">
        <v>1981.1587732950848</v>
      </c>
      <c r="AP16" s="69">
        <v>446.27327448527012</v>
      </c>
      <c r="AQ16" s="69">
        <v>789.0525931040446</v>
      </c>
    </row>
    <row r="17" spans="1:43" x14ac:dyDescent="0.25">
      <c r="A17" s="11">
        <v>41618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249.87147628466255</v>
      </c>
      <c r="J17" s="50">
        <v>782.24486440022702</v>
      </c>
      <c r="K17" s="50">
        <v>21.273222906390764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292.89527527491003</v>
      </c>
      <c r="V17" s="66">
        <v>0</v>
      </c>
      <c r="W17" s="62">
        <v>27.230516425768542</v>
      </c>
      <c r="X17" s="62">
        <v>0</v>
      </c>
      <c r="Y17" s="66">
        <v>242.10380725860568</v>
      </c>
      <c r="Z17" s="66">
        <v>0</v>
      </c>
      <c r="AA17" s="67">
        <v>0</v>
      </c>
      <c r="AB17" s="68">
        <v>0</v>
      </c>
      <c r="AC17" s="69">
        <v>0</v>
      </c>
      <c r="AD17" s="69">
        <v>11.491106681691294</v>
      </c>
      <c r="AE17" s="68">
        <v>11.306595873857741</v>
      </c>
      <c r="AF17" s="68">
        <v>0</v>
      </c>
      <c r="AG17" s="68">
        <v>1</v>
      </c>
      <c r="AH17" s="69">
        <v>336.27476816177364</v>
      </c>
      <c r="AI17" s="69">
        <v>611.57314732869474</v>
      </c>
      <c r="AJ17" s="69">
        <v>1136.747639465332</v>
      </c>
      <c r="AK17" s="69">
        <v>579.72257823944096</v>
      </c>
      <c r="AL17" s="69">
        <v>2007.5096638997397</v>
      </c>
      <c r="AM17" s="69">
        <v>2372.8298553466789</v>
      </c>
      <c r="AN17" s="69">
        <v>763.23952064514174</v>
      </c>
      <c r="AO17" s="69">
        <v>1871.6074372609457</v>
      </c>
      <c r="AP17" s="69">
        <v>390.33853735923765</v>
      </c>
      <c r="AQ17" s="69">
        <v>768.15693184534712</v>
      </c>
    </row>
    <row r="18" spans="1:43" x14ac:dyDescent="0.25">
      <c r="A18" s="11">
        <v>41619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257.29245586395223</v>
      </c>
      <c r="J18" s="60">
        <v>804.61550852457651</v>
      </c>
      <c r="K18" s="60">
        <v>22.027853237589216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302.14448144700981</v>
      </c>
      <c r="V18" s="62">
        <v>0</v>
      </c>
      <c r="W18" s="62">
        <v>28.606121365229267</v>
      </c>
      <c r="X18" s="62">
        <v>0</v>
      </c>
      <c r="Y18" s="66">
        <v>251.86777950922618</v>
      </c>
      <c r="Z18" s="66">
        <v>0</v>
      </c>
      <c r="AA18" s="67">
        <v>0</v>
      </c>
      <c r="AB18" s="68">
        <v>0</v>
      </c>
      <c r="AC18" s="69">
        <v>0</v>
      </c>
      <c r="AD18" s="69">
        <v>12.098436886734435</v>
      </c>
      <c r="AE18" s="68">
        <v>11.843300746668801</v>
      </c>
      <c r="AF18" s="68">
        <v>0</v>
      </c>
      <c r="AG18" s="68">
        <v>1</v>
      </c>
      <c r="AH18" s="69">
        <v>317.69748886426294</v>
      </c>
      <c r="AI18" s="69">
        <v>594.68399775822957</v>
      </c>
      <c r="AJ18" s="69">
        <v>1100.8285947163902</v>
      </c>
      <c r="AK18" s="69">
        <v>554.95960070292153</v>
      </c>
      <c r="AL18" s="69">
        <v>2007.7817727406821</v>
      </c>
      <c r="AM18" s="69">
        <v>2364.7871414184574</v>
      </c>
      <c r="AN18" s="69">
        <v>758.53819319407148</v>
      </c>
      <c r="AO18" s="69">
        <v>1928.5923636118573</v>
      </c>
      <c r="AP18" s="69">
        <v>384.10785121917723</v>
      </c>
      <c r="AQ18" s="69">
        <v>780.99202365875249</v>
      </c>
    </row>
    <row r="19" spans="1:43" x14ac:dyDescent="0.25">
      <c r="A19" s="11">
        <v>41620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249.73629546165418</v>
      </c>
      <c r="J19" s="60">
        <v>744.81724688211864</v>
      </c>
      <c r="K19" s="60">
        <v>21.68366658290228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307.21402721405025</v>
      </c>
      <c r="V19" s="62">
        <v>0</v>
      </c>
      <c r="W19" s="62">
        <v>28.261801457405074</v>
      </c>
      <c r="X19" s="62">
        <v>0</v>
      </c>
      <c r="Y19" s="66">
        <v>257.74694286982145</v>
      </c>
      <c r="Z19" s="66">
        <v>0</v>
      </c>
      <c r="AA19" s="67">
        <v>0</v>
      </c>
      <c r="AB19" s="68">
        <v>0</v>
      </c>
      <c r="AC19" s="69">
        <v>0</v>
      </c>
      <c r="AD19" s="69">
        <v>12.238423179255605</v>
      </c>
      <c r="AE19" s="68">
        <v>12.001378142054101</v>
      </c>
      <c r="AF19" s="68">
        <v>0</v>
      </c>
      <c r="AG19" s="68">
        <v>1</v>
      </c>
      <c r="AH19" s="69">
        <v>317.77205106417335</v>
      </c>
      <c r="AI19" s="69">
        <v>570.07545442581181</v>
      </c>
      <c r="AJ19" s="69">
        <v>1138.3409469604492</v>
      </c>
      <c r="AK19" s="69">
        <v>545.99426078796387</v>
      </c>
      <c r="AL19" s="69">
        <v>1914.2229143142702</v>
      </c>
      <c r="AM19" s="69">
        <v>2275.1807970682785</v>
      </c>
      <c r="AN19" s="69">
        <v>665.88032391866034</v>
      </c>
      <c r="AO19" s="69">
        <v>1933.0471186319987</v>
      </c>
      <c r="AP19" s="69">
        <v>374.54801197052001</v>
      </c>
      <c r="AQ19" s="69">
        <v>797.7480346997578</v>
      </c>
    </row>
    <row r="20" spans="1:43" x14ac:dyDescent="0.25">
      <c r="A20" s="11">
        <v>41621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244.59105593363407</v>
      </c>
      <c r="J20" s="60">
        <v>703.2118330637602</v>
      </c>
      <c r="K20" s="60">
        <v>21.733527596791561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316.96533866458572</v>
      </c>
      <c r="V20" s="62">
        <v>0</v>
      </c>
      <c r="W20" s="62">
        <v>29.111483550071753</v>
      </c>
      <c r="X20" s="62">
        <v>0</v>
      </c>
      <c r="Y20" s="66">
        <v>234.12564304669749</v>
      </c>
      <c r="Z20" s="66">
        <v>0</v>
      </c>
      <c r="AA20" s="67">
        <v>0</v>
      </c>
      <c r="AB20" s="68">
        <v>0</v>
      </c>
      <c r="AC20" s="69">
        <v>0</v>
      </c>
      <c r="AD20" s="69">
        <v>12.241948019795961</v>
      </c>
      <c r="AE20" s="68">
        <v>11.999286706271374</v>
      </c>
      <c r="AF20" s="68">
        <v>0</v>
      </c>
      <c r="AG20" s="68">
        <v>1</v>
      </c>
      <c r="AH20" s="69">
        <v>312.1277037302653</v>
      </c>
      <c r="AI20" s="69">
        <v>558.50926564534495</v>
      </c>
      <c r="AJ20" s="69">
        <v>1203.6082850774128</v>
      </c>
      <c r="AK20" s="69">
        <v>565.17112852732339</v>
      </c>
      <c r="AL20" s="69">
        <v>1837.9526339848837</v>
      </c>
      <c r="AM20" s="69">
        <v>2189.9036749521892</v>
      </c>
      <c r="AN20" s="69">
        <v>622.98061189651492</v>
      </c>
      <c r="AO20" s="69">
        <v>1930.4439357757567</v>
      </c>
      <c r="AP20" s="69">
        <v>378.2713193734487</v>
      </c>
      <c r="AQ20" s="69">
        <v>772.13205693562827</v>
      </c>
    </row>
    <row r="21" spans="1:43" x14ac:dyDescent="0.25">
      <c r="A21" s="11">
        <v>41622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242.57895145416205</v>
      </c>
      <c r="J21" s="60">
        <v>703.2176537831615</v>
      </c>
      <c r="K21" s="60">
        <v>21.736254685123765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312.3450312932369</v>
      </c>
      <c r="V21" s="62">
        <v>0</v>
      </c>
      <c r="W21" s="62">
        <v>29.791822218894936</v>
      </c>
      <c r="X21" s="62">
        <v>0</v>
      </c>
      <c r="Y21" s="66">
        <v>216.20849092006708</v>
      </c>
      <c r="Z21" s="66">
        <v>0</v>
      </c>
      <c r="AA21" s="67">
        <v>0</v>
      </c>
      <c r="AB21" s="68">
        <v>0</v>
      </c>
      <c r="AC21" s="69">
        <v>0</v>
      </c>
      <c r="AD21" s="69">
        <v>12.238513885604018</v>
      </c>
      <c r="AE21" s="68">
        <v>11.99989133291176</v>
      </c>
      <c r="AF21" s="68">
        <v>0</v>
      </c>
      <c r="AG21" s="68">
        <v>1</v>
      </c>
      <c r="AH21" s="69">
        <v>312.14707808494563</v>
      </c>
      <c r="AI21" s="69">
        <v>563.89477624893198</v>
      </c>
      <c r="AJ21" s="69">
        <v>1142.8719542821248</v>
      </c>
      <c r="AK21" s="69">
        <v>561.84538415273028</v>
      </c>
      <c r="AL21" s="69">
        <v>1839.5806502660116</v>
      </c>
      <c r="AM21" s="69">
        <v>2152.1119345347088</v>
      </c>
      <c r="AN21" s="69">
        <v>637.85501152674374</v>
      </c>
      <c r="AO21" s="69">
        <v>1939.4191543579102</v>
      </c>
      <c r="AP21" s="69">
        <v>377.96037050882978</v>
      </c>
      <c r="AQ21" s="69">
        <v>724.78497397104877</v>
      </c>
    </row>
    <row r="22" spans="1:43" x14ac:dyDescent="0.25">
      <c r="A22" s="11">
        <v>41623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240.75446289380332</v>
      </c>
      <c r="J22" s="60">
        <v>703.25554043451882</v>
      </c>
      <c r="K22" s="60">
        <v>21.756533671418815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308.37535247802271</v>
      </c>
      <c r="V22" s="62">
        <v>0</v>
      </c>
      <c r="W22" s="62">
        <v>29.566341110070478</v>
      </c>
      <c r="X22" s="62">
        <v>0</v>
      </c>
      <c r="Y22" s="66">
        <v>212.80159058570905</v>
      </c>
      <c r="Z22" s="66">
        <v>0</v>
      </c>
      <c r="AA22" s="67">
        <v>0</v>
      </c>
      <c r="AB22" s="68">
        <v>0</v>
      </c>
      <c r="AC22" s="69">
        <v>0</v>
      </c>
      <c r="AD22" s="69">
        <v>12.241970921225022</v>
      </c>
      <c r="AE22" s="68">
        <v>11.999526350841293</v>
      </c>
      <c r="AF22" s="68">
        <v>0</v>
      </c>
      <c r="AG22" s="68">
        <v>1</v>
      </c>
      <c r="AH22" s="69">
        <v>307.43671154975897</v>
      </c>
      <c r="AI22" s="69">
        <v>559.29185047149656</v>
      </c>
      <c r="AJ22" s="69">
        <v>1153.6683163960774</v>
      </c>
      <c r="AK22" s="69">
        <v>553.48834177652998</v>
      </c>
      <c r="AL22" s="69">
        <v>1763.071029472351</v>
      </c>
      <c r="AM22" s="69">
        <v>2178.329269917806</v>
      </c>
      <c r="AN22" s="69">
        <v>620.64582748413102</v>
      </c>
      <c r="AO22" s="69">
        <v>1964.9062716166179</v>
      </c>
      <c r="AP22" s="69">
        <v>382.39160005251568</v>
      </c>
      <c r="AQ22" s="69">
        <v>730.51727997461956</v>
      </c>
    </row>
    <row r="23" spans="1:43" x14ac:dyDescent="0.25">
      <c r="A23" s="11">
        <v>41624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246.68389396667487</v>
      </c>
      <c r="J23" s="60">
        <v>761.30708770752085</v>
      </c>
      <c r="K23" s="60">
        <v>23.545402393738435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302.64824067221821</v>
      </c>
      <c r="V23" s="62">
        <v>0</v>
      </c>
      <c r="W23" s="62">
        <v>28.134823799133272</v>
      </c>
      <c r="X23" s="62">
        <v>0</v>
      </c>
      <c r="Y23" s="66">
        <v>203.43884659608167</v>
      </c>
      <c r="Z23" s="66">
        <v>0</v>
      </c>
      <c r="AA23" s="67">
        <v>0</v>
      </c>
      <c r="AB23" s="68">
        <v>0</v>
      </c>
      <c r="AC23" s="69">
        <v>0</v>
      </c>
      <c r="AD23" s="69">
        <v>11.94296214381855</v>
      </c>
      <c r="AE23" s="68">
        <v>11.710931710457391</v>
      </c>
      <c r="AF23" s="68">
        <v>0</v>
      </c>
      <c r="AG23" s="68">
        <v>1</v>
      </c>
      <c r="AH23" s="69">
        <v>313.07455016771945</v>
      </c>
      <c r="AI23" s="69">
        <v>556.19009030659993</v>
      </c>
      <c r="AJ23" s="69">
        <v>1163.8262023289999</v>
      </c>
      <c r="AK23" s="69">
        <v>587.60571937561031</v>
      </c>
      <c r="AL23" s="69">
        <v>1701.3024599075316</v>
      </c>
      <c r="AM23" s="69">
        <v>2174.8462333679204</v>
      </c>
      <c r="AN23" s="69">
        <v>595.84764270782455</v>
      </c>
      <c r="AO23" s="69">
        <v>2106.4540288289386</v>
      </c>
      <c r="AP23" s="69">
        <v>407.61755557060235</v>
      </c>
      <c r="AQ23" s="69">
        <v>712.00642766952512</v>
      </c>
    </row>
    <row r="24" spans="1:43" x14ac:dyDescent="0.25">
      <c r="A24" s="11">
        <v>41625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230.3943397521976</v>
      </c>
      <c r="J24" s="60">
        <v>781.37352066039978</v>
      </c>
      <c r="K24" s="60">
        <v>24.122233975927013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298.25</v>
      </c>
      <c r="V24" s="62">
        <v>0</v>
      </c>
      <c r="W24" s="62">
        <v>28.09</v>
      </c>
      <c r="X24" s="62">
        <v>0</v>
      </c>
      <c r="Y24" s="66">
        <v>207.24</v>
      </c>
      <c r="Z24" s="66">
        <v>0</v>
      </c>
      <c r="AA24" s="67">
        <v>0</v>
      </c>
      <c r="AB24" s="68">
        <v>0</v>
      </c>
      <c r="AC24" s="69">
        <v>0</v>
      </c>
      <c r="AD24" s="69">
        <v>11.987114837434563</v>
      </c>
      <c r="AE24" s="68">
        <v>11.86</v>
      </c>
      <c r="AF24" s="68">
        <v>0</v>
      </c>
      <c r="AG24" s="68">
        <v>1</v>
      </c>
      <c r="AH24" s="69">
        <v>302.79142698446907</v>
      </c>
      <c r="AI24" s="69">
        <v>550.10512437820444</v>
      </c>
      <c r="AJ24" s="69">
        <v>1128.0789755503336</v>
      </c>
      <c r="AK24" s="69">
        <v>627.54719816843669</v>
      </c>
      <c r="AL24" s="69">
        <v>1690.2127440770464</v>
      </c>
      <c r="AM24" s="69">
        <v>2187.7652398427331</v>
      </c>
      <c r="AN24" s="69">
        <v>602.2281442324321</v>
      </c>
      <c r="AO24" s="69">
        <v>2320.8873774210615</v>
      </c>
      <c r="AP24" s="69">
        <v>401.9401319980621</v>
      </c>
      <c r="AQ24" s="69">
        <v>725.59713824590051</v>
      </c>
    </row>
    <row r="25" spans="1:43" x14ac:dyDescent="0.25">
      <c r="A25" s="11">
        <v>41626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214.64336024920152</v>
      </c>
      <c r="J25" s="60">
        <v>695.76611299514843</v>
      </c>
      <c r="K25" s="60">
        <v>21.54190986553828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311.13</v>
      </c>
      <c r="V25" s="62">
        <v>0</v>
      </c>
      <c r="W25" s="62">
        <v>29.1</v>
      </c>
      <c r="X25" s="62">
        <v>0</v>
      </c>
      <c r="Y25" s="66">
        <v>210.21</v>
      </c>
      <c r="Z25" s="66">
        <v>0</v>
      </c>
      <c r="AA25" s="67">
        <v>0</v>
      </c>
      <c r="AB25" s="68">
        <v>0</v>
      </c>
      <c r="AC25" s="69">
        <v>0</v>
      </c>
      <c r="AD25" s="69">
        <v>12.114130469163241</v>
      </c>
      <c r="AE25" s="68">
        <v>12</v>
      </c>
      <c r="AF25" s="68">
        <v>0</v>
      </c>
      <c r="AG25" s="68">
        <v>1</v>
      </c>
      <c r="AH25" s="69">
        <v>180.34719576040899</v>
      </c>
      <c r="AI25" s="69">
        <v>425.81754379272468</v>
      </c>
      <c r="AJ25" s="69">
        <v>1130.7302258809405</v>
      </c>
      <c r="AK25" s="69">
        <v>619.73820835749314</v>
      </c>
      <c r="AL25" s="69">
        <v>1641.1246556599933</v>
      </c>
      <c r="AM25" s="69">
        <v>2167.6291828155518</v>
      </c>
      <c r="AN25" s="69">
        <v>588.65572843551638</v>
      </c>
      <c r="AO25" s="69">
        <v>2298.5304445902502</v>
      </c>
      <c r="AP25" s="69">
        <v>385.74261474609375</v>
      </c>
      <c r="AQ25" s="69">
        <v>807.82748400370281</v>
      </c>
    </row>
    <row r="26" spans="1:43" x14ac:dyDescent="0.25">
      <c r="A26" s="11">
        <v>41627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214.54097398122147</v>
      </c>
      <c r="J26" s="60">
        <v>695.65212322870809</v>
      </c>
      <c r="K26" s="60">
        <v>21.532028938333223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308.88</v>
      </c>
      <c r="V26" s="62">
        <v>0</v>
      </c>
      <c r="W26" s="62">
        <v>28.78</v>
      </c>
      <c r="X26" s="62">
        <v>0</v>
      </c>
      <c r="Y26" s="66">
        <v>209.32</v>
      </c>
      <c r="Z26" s="66">
        <v>0</v>
      </c>
      <c r="AA26" s="67">
        <v>0</v>
      </c>
      <c r="AB26" s="68">
        <v>0</v>
      </c>
      <c r="AC26" s="69">
        <v>0</v>
      </c>
      <c r="AD26" s="69">
        <v>12.11684771445063</v>
      </c>
      <c r="AE26" s="68">
        <v>12</v>
      </c>
      <c r="AF26" s="68">
        <v>0</v>
      </c>
      <c r="AG26" s="68">
        <v>1</v>
      </c>
      <c r="AH26" s="69">
        <v>184.70897899468741</v>
      </c>
      <c r="AI26" s="69">
        <v>433.45478258132925</v>
      </c>
      <c r="AJ26" s="69">
        <v>1103.510255622864</v>
      </c>
      <c r="AK26" s="69">
        <v>631.4518212000529</v>
      </c>
      <c r="AL26" s="69">
        <v>1786.435943857829</v>
      </c>
      <c r="AM26" s="69">
        <v>2154.0674405415848</v>
      </c>
      <c r="AN26" s="69">
        <v>604.8984358469645</v>
      </c>
      <c r="AO26" s="69">
        <v>2315.7057492574054</v>
      </c>
      <c r="AP26" s="69">
        <v>379.75912903149924</v>
      </c>
      <c r="AQ26" s="69">
        <v>740.51741046905522</v>
      </c>
    </row>
    <row r="27" spans="1:43" x14ac:dyDescent="0.25">
      <c r="A27" s="11">
        <v>41628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217.7972584088638</v>
      </c>
      <c r="J27" s="60">
        <v>695.72258014678982</v>
      </c>
      <c r="K27" s="60">
        <v>21.378438187638952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308.99</v>
      </c>
      <c r="V27" s="62">
        <v>0</v>
      </c>
      <c r="W27" s="62">
        <v>28.55</v>
      </c>
      <c r="X27" s="62">
        <v>0</v>
      </c>
      <c r="Y27" s="62">
        <v>209.64</v>
      </c>
      <c r="Z27" s="62">
        <v>0</v>
      </c>
      <c r="AA27" s="72">
        <v>0</v>
      </c>
      <c r="AB27" s="69">
        <v>0</v>
      </c>
      <c r="AC27" s="69">
        <v>0</v>
      </c>
      <c r="AD27" s="69">
        <v>12.11733001404335</v>
      </c>
      <c r="AE27" s="69">
        <v>12</v>
      </c>
      <c r="AF27" s="69">
        <v>0</v>
      </c>
      <c r="AG27" s="69">
        <v>1</v>
      </c>
      <c r="AH27" s="69">
        <v>222.77128601074216</v>
      </c>
      <c r="AI27" s="69">
        <v>480.07199645042425</v>
      </c>
      <c r="AJ27" s="69">
        <v>1126.142288271586</v>
      </c>
      <c r="AK27" s="69">
        <v>600.30532169342052</v>
      </c>
      <c r="AL27" s="69">
        <v>1933.1443021138512</v>
      </c>
      <c r="AM27" s="69">
        <v>2343.85728670756</v>
      </c>
      <c r="AN27" s="69">
        <v>699.13242076238021</v>
      </c>
      <c r="AO27" s="69">
        <v>2305.6931172688801</v>
      </c>
      <c r="AP27" s="69">
        <v>346.9414234161377</v>
      </c>
      <c r="AQ27" s="69">
        <v>752.59479643503823</v>
      </c>
    </row>
    <row r="28" spans="1:43" x14ac:dyDescent="0.25">
      <c r="A28" s="11">
        <v>41629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222.40537532170617</v>
      </c>
      <c r="J28" s="60">
        <v>695.66603225072151</v>
      </c>
      <c r="K28" s="60">
        <v>21.451478406786958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310.64999999999998</v>
      </c>
      <c r="V28" s="62">
        <v>0</v>
      </c>
      <c r="W28" s="62">
        <v>28.22</v>
      </c>
      <c r="X28" s="62">
        <v>0</v>
      </c>
      <c r="Y28" s="66">
        <v>209.58</v>
      </c>
      <c r="Z28" s="66">
        <v>0</v>
      </c>
      <c r="AA28" s="67">
        <v>0</v>
      </c>
      <c r="AB28" s="68">
        <v>0</v>
      </c>
      <c r="AC28" s="69">
        <v>0</v>
      </c>
      <c r="AD28" s="69">
        <v>12.114405955208676</v>
      </c>
      <c r="AE28" s="68">
        <v>12</v>
      </c>
      <c r="AF28" s="68">
        <v>0</v>
      </c>
      <c r="AG28" s="68">
        <v>1</v>
      </c>
      <c r="AH28" s="69">
        <v>236.96899347305299</v>
      </c>
      <c r="AI28" s="69">
        <v>506.28603620529174</v>
      </c>
      <c r="AJ28" s="69">
        <v>1113.4577669779458</v>
      </c>
      <c r="AK28" s="69">
        <v>631.57779639561966</v>
      </c>
      <c r="AL28" s="69">
        <v>1950.0707965215042</v>
      </c>
      <c r="AM28" s="69">
        <v>2286.5511039733888</v>
      </c>
      <c r="AN28" s="69">
        <v>692.04650945663457</v>
      </c>
      <c r="AO28" s="69">
        <v>2338.4237462361652</v>
      </c>
      <c r="AP28" s="69">
        <v>305.91083264350891</v>
      </c>
      <c r="AQ28" s="69">
        <v>783.43761507670092</v>
      </c>
    </row>
    <row r="29" spans="1:43" x14ac:dyDescent="0.25">
      <c r="A29" s="11">
        <v>41630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223.41472241083756</v>
      </c>
      <c r="J29" s="60">
        <v>698.70563681920328</v>
      </c>
      <c r="K29" s="60">
        <v>21.440614736080217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314.47000000000003</v>
      </c>
      <c r="V29" s="62">
        <v>0</v>
      </c>
      <c r="W29" s="62">
        <v>28.68</v>
      </c>
      <c r="X29" s="62">
        <v>0</v>
      </c>
      <c r="Y29" s="66">
        <v>210.18</v>
      </c>
      <c r="Z29" s="66">
        <v>0</v>
      </c>
      <c r="AA29" s="67">
        <v>0</v>
      </c>
      <c r="AB29" s="68">
        <v>0</v>
      </c>
      <c r="AC29" s="69">
        <v>0</v>
      </c>
      <c r="AD29" s="69">
        <v>12.170039155748153</v>
      </c>
      <c r="AE29" s="68">
        <v>12.06</v>
      </c>
      <c r="AF29" s="68">
        <v>0</v>
      </c>
      <c r="AG29" s="68">
        <v>1</v>
      </c>
      <c r="AH29" s="69">
        <v>257.2876670281093</v>
      </c>
      <c r="AI29" s="69">
        <v>516.97095702489219</v>
      </c>
      <c r="AJ29" s="69">
        <v>1133.4162659962972</v>
      </c>
      <c r="AK29" s="69">
        <v>632.0764782587687</v>
      </c>
      <c r="AL29" s="69">
        <v>1961.3706301371253</v>
      </c>
      <c r="AM29" s="69">
        <v>2259.1848395029701</v>
      </c>
      <c r="AN29" s="69">
        <v>673.64714005788164</v>
      </c>
      <c r="AO29" s="69">
        <v>2309.8268010457359</v>
      </c>
      <c r="AP29" s="69">
        <v>300.43263417879734</v>
      </c>
      <c r="AQ29" s="69">
        <v>752.02380733489986</v>
      </c>
    </row>
    <row r="30" spans="1:43" x14ac:dyDescent="0.25">
      <c r="A30" s="11">
        <v>41631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244.76724181175246</v>
      </c>
      <c r="J30" s="60">
        <v>811.77503706614198</v>
      </c>
      <c r="K30" s="60">
        <v>24.072053823868423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312.93</v>
      </c>
      <c r="V30" s="62">
        <v>0</v>
      </c>
      <c r="W30" s="62">
        <v>29.54</v>
      </c>
      <c r="X30" s="62">
        <v>0</v>
      </c>
      <c r="Y30" s="66">
        <v>216.2</v>
      </c>
      <c r="Z30" s="66">
        <v>0</v>
      </c>
      <c r="AA30" s="67">
        <v>0</v>
      </c>
      <c r="AB30" s="68">
        <v>0</v>
      </c>
      <c r="AC30" s="69">
        <v>0</v>
      </c>
      <c r="AD30" s="69">
        <v>12.282061728835107</v>
      </c>
      <c r="AE30" s="68">
        <v>12.05</v>
      </c>
      <c r="AF30" s="68">
        <v>0</v>
      </c>
      <c r="AG30" s="68">
        <v>1</v>
      </c>
      <c r="AH30" s="69">
        <v>246.46241917610169</v>
      </c>
      <c r="AI30" s="69">
        <v>507.29360253016159</v>
      </c>
      <c r="AJ30" s="69">
        <v>1111.5213170369466</v>
      </c>
      <c r="AK30" s="69">
        <v>633.87152452468865</v>
      </c>
      <c r="AL30" s="69">
        <v>1918.8086209615071</v>
      </c>
      <c r="AM30" s="69">
        <v>2342.4983762105308</v>
      </c>
      <c r="AN30" s="69">
        <v>655.71834424336737</v>
      </c>
      <c r="AO30" s="69">
        <v>2169.2171835581462</v>
      </c>
      <c r="AP30" s="69">
        <v>321.19097294807432</v>
      </c>
      <c r="AQ30" s="69">
        <v>730.38269443511979</v>
      </c>
    </row>
    <row r="31" spans="1:43" x14ac:dyDescent="0.25">
      <c r="A31" s="11">
        <v>41632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223.1697916030883</v>
      </c>
      <c r="J31" s="60">
        <v>836.10474828084295</v>
      </c>
      <c r="K31" s="60">
        <v>23.206470203399689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329.03093530866795</v>
      </c>
      <c r="V31" s="62">
        <v>0</v>
      </c>
      <c r="W31" s="62">
        <v>31.115336052576719</v>
      </c>
      <c r="X31" s="62">
        <v>0</v>
      </c>
      <c r="Y31" s="66">
        <v>254.01221055984411</v>
      </c>
      <c r="Z31" s="66">
        <v>0</v>
      </c>
      <c r="AA31" s="67">
        <v>0</v>
      </c>
      <c r="AB31" s="68">
        <v>0</v>
      </c>
      <c r="AC31" s="69">
        <v>0</v>
      </c>
      <c r="AD31" s="69">
        <v>12.883517638180003</v>
      </c>
      <c r="AE31" s="68">
        <v>12.622617581372458</v>
      </c>
      <c r="AF31" s="68">
        <v>0</v>
      </c>
      <c r="AG31" s="68">
        <v>1</v>
      </c>
      <c r="AH31" s="69">
        <v>224.924707921346</v>
      </c>
      <c r="AI31" s="69">
        <v>478.53411982854203</v>
      </c>
      <c r="AJ31" s="69">
        <v>1107.7098233540853</v>
      </c>
      <c r="AK31" s="69">
        <v>618.93691345850641</v>
      </c>
      <c r="AL31" s="69">
        <v>1871.466946919759</v>
      </c>
      <c r="AM31" s="69">
        <v>2060.6005428314211</v>
      </c>
      <c r="AN31" s="69">
        <v>634.98601214090979</v>
      </c>
      <c r="AO31" s="69">
        <v>1943.6464234670004</v>
      </c>
      <c r="AP31" s="69">
        <v>311.50749206542969</v>
      </c>
      <c r="AQ31" s="69">
        <v>737.24995559056606</v>
      </c>
    </row>
    <row r="32" spans="1:43" x14ac:dyDescent="0.25">
      <c r="A32" s="11">
        <v>41633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219.25443277359022</v>
      </c>
      <c r="J32" s="60">
        <v>825.40560474395716</v>
      </c>
      <c r="K32" s="60">
        <v>22.629039360086157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335.26828225453806</v>
      </c>
      <c r="V32" s="62">
        <v>0</v>
      </c>
      <c r="W32" s="62">
        <v>32.276709143320709</v>
      </c>
      <c r="X32" s="62">
        <v>0</v>
      </c>
      <c r="Y32" s="66">
        <v>246.88110537528956</v>
      </c>
      <c r="Z32" s="66">
        <v>0</v>
      </c>
      <c r="AA32" s="67">
        <v>0</v>
      </c>
      <c r="AB32" s="68">
        <v>0</v>
      </c>
      <c r="AC32" s="69">
        <v>0</v>
      </c>
      <c r="AD32" s="69">
        <v>13.155674472782342</v>
      </c>
      <c r="AE32" s="68">
        <v>12.893372708440369</v>
      </c>
      <c r="AF32" s="68">
        <v>0</v>
      </c>
      <c r="AG32" s="68">
        <v>1</v>
      </c>
      <c r="AH32" s="69">
        <v>250.07567877769472</v>
      </c>
      <c r="AI32" s="69">
        <v>499.98115202585859</v>
      </c>
      <c r="AJ32" s="69">
        <v>1093.4739198684695</v>
      </c>
      <c r="AK32" s="69">
        <v>621.44647967020671</v>
      </c>
      <c r="AL32" s="69">
        <v>1874.3858721415202</v>
      </c>
      <c r="AM32" s="69">
        <v>2032.624892171224</v>
      </c>
      <c r="AN32" s="69">
        <v>656.8504297256469</v>
      </c>
      <c r="AO32" s="69">
        <v>1939.5796928405764</v>
      </c>
      <c r="AP32" s="69">
        <v>311.50749206542969</v>
      </c>
      <c r="AQ32" s="69">
        <v>783.59655478795366</v>
      </c>
    </row>
    <row r="33" spans="1:43" x14ac:dyDescent="0.25">
      <c r="A33" s="11">
        <v>41634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217.52034726142921</v>
      </c>
      <c r="J33" s="60">
        <v>800.72280279795257</v>
      </c>
      <c r="K33" s="60">
        <v>23.933944081266795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316.69485706753278</v>
      </c>
      <c r="V33" s="62">
        <v>0</v>
      </c>
      <c r="W33" s="62">
        <v>30.140117383003222</v>
      </c>
      <c r="X33" s="62">
        <v>0</v>
      </c>
      <c r="Y33" s="66">
        <v>237.34223295847551</v>
      </c>
      <c r="Z33" s="66">
        <v>0</v>
      </c>
      <c r="AA33" s="67">
        <v>0</v>
      </c>
      <c r="AB33" s="68">
        <v>0</v>
      </c>
      <c r="AC33" s="69">
        <v>0</v>
      </c>
      <c r="AD33" s="69">
        <v>12.757157635688801</v>
      </c>
      <c r="AE33" s="68">
        <v>12.500110308465498</v>
      </c>
      <c r="AF33" s="68">
        <v>0</v>
      </c>
      <c r="AG33" s="68">
        <v>1</v>
      </c>
      <c r="AH33" s="69">
        <v>239.67305348714191</v>
      </c>
      <c r="AI33" s="69">
        <v>481.57824945449829</v>
      </c>
      <c r="AJ33" s="69">
        <v>1106.8085563023888</v>
      </c>
      <c r="AK33" s="69">
        <v>613.64731105168676</v>
      </c>
      <c r="AL33" s="69">
        <v>1778.6797718048097</v>
      </c>
      <c r="AM33" s="69">
        <v>2074.8687299092612</v>
      </c>
      <c r="AN33" s="69">
        <v>627.83591022491464</v>
      </c>
      <c r="AO33" s="69">
        <v>1918.4833730061848</v>
      </c>
      <c r="AP33" s="69">
        <v>311.50749206542969</v>
      </c>
      <c r="AQ33" s="69">
        <v>775.68708426157639</v>
      </c>
    </row>
    <row r="34" spans="1:43" x14ac:dyDescent="0.25">
      <c r="A34" s="11">
        <v>41635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217.40494449933354</v>
      </c>
      <c r="J34" s="60">
        <v>800.23978417714295</v>
      </c>
      <c r="K34" s="60">
        <v>25.129634849230474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317.40691998799446</v>
      </c>
      <c r="V34" s="62">
        <v>0</v>
      </c>
      <c r="W34" s="62">
        <v>29.974680630365995</v>
      </c>
      <c r="X34" s="62">
        <v>0</v>
      </c>
      <c r="Y34" s="66">
        <v>237.6708061059314</v>
      </c>
      <c r="Z34" s="66">
        <v>0</v>
      </c>
      <c r="AA34" s="67">
        <v>0</v>
      </c>
      <c r="AB34" s="68">
        <v>0</v>
      </c>
      <c r="AC34" s="69">
        <v>0</v>
      </c>
      <c r="AD34" s="69">
        <v>12.760816566149405</v>
      </c>
      <c r="AE34" s="68">
        <v>12.499090996752898</v>
      </c>
      <c r="AF34" s="68">
        <v>0</v>
      </c>
      <c r="AG34" s="68">
        <v>1</v>
      </c>
      <c r="AH34" s="69">
        <v>228.15432635943097</v>
      </c>
      <c r="AI34" s="69">
        <v>471.67660919825238</v>
      </c>
      <c r="AJ34" s="69">
        <v>1130.8621717453002</v>
      </c>
      <c r="AK34" s="69">
        <v>607.25074605941757</v>
      </c>
      <c r="AL34" s="69">
        <v>1732.1568859736124</v>
      </c>
      <c r="AM34" s="69">
        <v>2157.2321960449217</v>
      </c>
      <c r="AN34" s="69">
        <v>602.46098642349261</v>
      </c>
      <c r="AO34" s="69">
        <v>1914.741372044881</v>
      </c>
      <c r="AP34" s="69">
        <v>374.23821239471437</v>
      </c>
      <c r="AQ34" s="69">
        <v>751.45276457468663</v>
      </c>
    </row>
    <row r="35" spans="1:43" x14ac:dyDescent="0.25">
      <c r="A35" s="11">
        <v>41636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218.61586729685482</v>
      </c>
      <c r="J35" s="60">
        <v>778.28383169174163</v>
      </c>
      <c r="K35" s="60">
        <v>24.413400985797249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316.76754423777055</v>
      </c>
      <c r="V35" s="62">
        <v>0</v>
      </c>
      <c r="W35" s="62">
        <v>30.481192870934834</v>
      </c>
      <c r="X35" s="62">
        <v>0</v>
      </c>
      <c r="Y35" s="66">
        <v>235.41157243251837</v>
      </c>
      <c r="Z35" s="66">
        <v>0</v>
      </c>
      <c r="AA35" s="67">
        <v>0</v>
      </c>
      <c r="AB35" s="68">
        <v>0</v>
      </c>
      <c r="AC35" s="69">
        <v>0</v>
      </c>
      <c r="AD35" s="69">
        <v>12.407957453860186</v>
      </c>
      <c r="AE35" s="68">
        <v>12.152974112390842</v>
      </c>
      <c r="AF35" s="68">
        <v>0</v>
      </c>
      <c r="AG35" s="68">
        <v>1</v>
      </c>
      <c r="AH35" s="69">
        <v>222.34178250630697</v>
      </c>
      <c r="AI35" s="69">
        <v>465.79552726745601</v>
      </c>
      <c r="AJ35" s="69">
        <v>1136.8980240503947</v>
      </c>
      <c r="AK35" s="69">
        <v>617.25492092768343</v>
      </c>
      <c r="AL35" s="69">
        <v>1757.9881687164307</v>
      </c>
      <c r="AM35" s="69">
        <v>2117.1748032887785</v>
      </c>
      <c r="AN35" s="69">
        <v>597.19055258433025</v>
      </c>
      <c r="AO35" s="69">
        <v>1927.6933095296222</v>
      </c>
      <c r="AP35" s="69">
        <v>381.34549765586848</v>
      </c>
      <c r="AQ35" s="69">
        <v>695.50677576065073</v>
      </c>
    </row>
    <row r="36" spans="1:43" x14ac:dyDescent="0.25">
      <c r="A36" s="11">
        <v>41637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223.82659530639683</v>
      </c>
      <c r="J36" s="60">
        <v>794.40721826553397</v>
      </c>
      <c r="K36" s="60">
        <v>25.026497534910813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297.94</v>
      </c>
      <c r="V36" s="62">
        <v>0</v>
      </c>
      <c r="W36" s="62">
        <v>29.56</v>
      </c>
      <c r="X36" s="62">
        <v>0</v>
      </c>
      <c r="Y36" s="66">
        <v>227.09</v>
      </c>
      <c r="Z36" s="66">
        <v>0</v>
      </c>
      <c r="AA36" s="67">
        <v>0</v>
      </c>
      <c r="AB36" s="68">
        <v>0</v>
      </c>
      <c r="AC36" s="69">
        <v>0</v>
      </c>
      <c r="AD36" s="69">
        <v>11.971674600243579</v>
      </c>
      <c r="AE36" s="68">
        <v>11.74</v>
      </c>
      <c r="AF36" s="68">
        <v>0</v>
      </c>
      <c r="AG36" s="68">
        <v>1</v>
      </c>
      <c r="AH36" s="69">
        <v>237.49303929011026</v>
      </c>
      <c r="AI36" s="69">
        <v>487.05217599868774</v>
      </c>
      <c r="AJ36" s="69">
        <v>1094.330288314819</v>
      </c>
      <c r="AK36" s="69">
        <v>632.19776544570925</v>
      </c>
      <c r="AL36" s="69">
        <v>1845.1929723739624</v>
      </c>
      <c r="AM36" s="69">
        <v>2230.6568681081135</v>
      </c>
      <c r="AN36" s="69">
        <v>654.04960660934444</v>
      </c>
      <c r="AO36" s="69">
        <v>1897.5318562825521</v>
      </c>
      <c r="AP36" s="69">
        <v>406.25092873573311</v>
      </c>
      <c r="AQ36" s="69">
        <v>717.54496091206875</v>
      </c>
    </row>
    <row r="37" spans="1:43" x14ac:dyDescent="0.25">
      <c r="A37" s="11">
        <v>41638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215.39318121274306</v>
      </c>
      <c r="J37" s="60">
        <v>763.9343484242745</v>
      </c>
      <c r="K37" s="60">
        <v>23.683484934767105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301.79000000000002</v>
      </c>
      <c r="V37" s="62">
        <v>0</v>
      </c>
      <c r="W37" s="62">
        <v>28.64</v>
      </c>
      <c r="X37" s="62">
        <v>0</v>
      </c>
      <c r="Y37" s="66">
        <v>227.22</v>
      </c>
      <c r="Z37" s="66">
        <v>0</v>
      </c>
      <c r="AA37" s="67">
        <v>0</v>
      </c>
      <c r="AB37" s="68">
        <v>0</v>
      </c>
      <c r="AC37" s="69">
        <v>0</v>
      </c>
      <c r="AD37" s="69">
        <v>11.976734731263578</v>
      </c>
      <c r="AE37" s="68">
        <v>11.89</v>
      </c>
      <c r="AF37" s="68">
        <v>0</v>
      </c>
      <c r="AG37" s="68">
        <v>1</v>
      </c>
      <c r="AH37" s="69">
        <v>240.07216989199321</v>
      </c>
      <c r="AI37" s="69">
        <v>495.52746531168623</v>
      </c>
      <c r="AJ37" s="69">
        <v>1132.7704381306964</v>
      </c>
      <c r="AK37" s="69">
        <v>616.14867347081508</v>
      </c>
      <c r="AL37" s="69">
        <v>1803.2239278157556</v>
      </c>
      <c r="AM37" s="69">
        <v>2327.0515791575117</v>
      </c>
      <c r="AN37" s="69">
        <v>635.52009032567355</v>
      </c>
      <c r="AO37" s="69">
        <v>1930.2803738911948</v>
      </c>
      <c r="AP37" s="69">
        <v>388.93035864830028</v>
      </c>
      <c r="AQ37" s="69">
        <v>793.2344800949096</v>
      </c>
    </row>
    <row r="38" spans="1:43" ht="15.75" thickBot="1" x14ac:dyDescent="0.3">
      <c r="A38" s="11">
        <v>41639</v>
      </c>
      <c r="B38" s="73"/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6">
        <v>220.01812289555849</v>
      </c>
      <c r="J38" s="74">
        <v>780.50183054606009</v>
      </c>
      <c r="K38" s="74">
        <v>23.978818322221507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316.16000000000003</v>
      </c>
      <c r="V38" s="80">
        <v>0</v>
      </c>
      <c r="W38" s="81">
        <v>28.97</v>
      </c>
      <c r="X38" s="81">
        <v>0</v>
      </c>
      <c r="Y38" s="80">
        <v>235.76</v>
      </c>
      <c r="Z38" s="80">
        <v>0</v>
      </c>
      <c r="AA38" s="82">
        <v>0</v>
      </c>
      <c r="AB38" s="83">
        <v>0</v>
      </c>
      <c r="AC38" s="84">
        <v>0</v>
      </c>
      <c r="AD38" s="85">
        <v>12.433675636847799</v>
      </c>
      <c r="AE38" s="83">
        <v>12.32</v>
      </c>
      <c r="AF38" s="83">
        <v>0</v>
      </c>
      <c r="AG38" s="83">
        <v>1</v>
      </c>
      <c r="AH38" s="84">
        <v>230.80017933845519</v>
      </c>
      <c r="AI38" s="84">
        <v>474.57576684951783</v>
      </c>
      <c r="AJ38" s="84">
        <v>1145.3582224527995</v>
      </c>
      <c r="AK38" s="84">
        <v>613.24507748285941</v>
      </c>
      <c r="AL38" s="84">
        <v>1737.6728123982746</v>
      </c>
      <c r="AM38" s="84">
        <v>2196.8431125640873</v>
      </c>
      <c r="AN38" s="84">
        <v>630.44737103780108</v>
      </c>
      <c r="AO38" s="84">
        <v>1995.8865010579427</v>
      </c>
      <c r="AP38" s="84">
        <v>370.08360735575371</v>
      </c>
      <c r="AQ38" s="84">
        <v>755.59957914352424</v>
      </c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7280.5763240814167</v>
      </c>
      <c r="J39" s="30">
        <f t="shared" si="0"/>
        <v>23392.226388231891</v>
      </c>
      <c r="K39" s="30">
        <f t="shared" si="0"/>
        <v>679.55237314502392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9407.7933116128734</v>
      </c>
      <c r="V39" s="255">
        <f t="shared" si="0"/>
        <v>0</v>
      </c>
      <c r="W39" s="255">
        <f t="shared" si="0"/>
        <v>882.19549922227839</v>
      </c>
      <c r="X39" s="255">
        <f t="shared" si="0"/>
        <v>0</v>
      </c>
      <c r="Y39" s="255">
        <f t="shared" si="0"/>
        <v>7289.7312388006821</v>
      </c>
      <c r="Z39" s="255">
        <f t="shared" si="0"/>
        <v>0</v>
      </c>
      <c r="AA39" s="263">
        <f t="shared" si="0"/>
        <v>0</v>
      </c>
      <c r="AB39" s="266">
        <f t="shared" si="0"/>
        <v>0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Q39" si="1">SUM(AH8:AH38)</f>
        <v>8567.4558818499263</v>
      </c>
      <c r="AI39" s="266">
        <f t="shared" si="1"/>
        <v>16849.954405355456</v>
      </c>
      <c r="AJ39" s="266">
        <f t="shared" si="1"/>
        <v>35109.588169415787</v>
      </c>
      <c r="AK39" s="266">
        <f t="shared" si="1"/>
        <v>18844.386466280615</v>
      </c>
      <c r="AL39" s="266">
        <f t="shared" si="1"/>
        <v>57786.46316687268</v>
      </c>
      <c r="AM39" s="266">
        <f t="shared" si="1"/>
        <v>69536.2823162079</v>
      </c>
      <c r="AN39" s="266">
        <f t="shared" si="1"/>
        <v>20975.05641829173</v>
      </c>
      <c r="AO39" s="266">
        <f t="shared" si="1"/>
        <v>64267.85784276326</v>
      </c>
      <c r="AP39" s="266">
        <f t="shared" si="1"/>
        <v>11542.015552155177</v>
      </c>
      <c r="AQ39" s="266">
        <f t="shared" si="1"/>
        <v>23448.46672201157</v>
      </c>
    </row>
    <row r="40" spans="1:43" ht="15.75" thickBot="1" x14ac:dyDescent="0.3">
      <c r="A40" s="47" t="s">
        <v>172</v>
      </c>
      <c r="B40" s="32">
        <f>Projection!$AD$30</f>
        <v>0.91139353199999984</v>
      </c>
      <c r="C40" s="33">
        <f>Projection!$AD$28</f>
        <v>1.4375491199999999</v>
      </c>
      <c r="D40" s="33">
        <f>Projection!$AD$31</f>
        <v>2.0999286000000001</v>
      </c>
      <c r="E40" s="33">
        <f>Projection!$AD$26</f>
        <v>3.8734129199999998</v>
      </c>
      <c r="F40" s="33">
        <f>Projection!$AC$23</f>
        <v>5.8379999999999994E-2</v>
      </c>
      <c r="G40" s="33">
        <f>Projection!$AD$24</f>
        <v>5.3200000000000004E-2</v>
      </c>
      <c r="H40" s="34">
        <f>Projection!$AD$29</f>
        <v>3.6371774160000006</v>
      </c>
      <c r="I40" s="32">
        <f>Projection!$AD$30</f>
        <v>0.91139353199999984</v>
      </c>
      <c r="J40" s="33">
        <f>Projection!$AD$28</f>
        <v>1.4375491199999999</v>
      </c>
      <c r="K40" s="33">
        <f>Projection!$AD$26</f>
        <v>3.8734129199999998</v>
      </c>
      <c r="L40" s="33">
        <f>Projection!$AD$25</f>
        <v>0.37613399999999997</v>
      </c>
      <c r="M40" s="33">
        <f>Projection!$AC$23</f>
        <v>5.8379999999999994E-2</v>
      </c>
      <c r="N40" s="34">
        <f>Projection!$AC$23</f>
        <v>5.8379999999999994E-2</v>
      </c>
      <c r="O40" s="257">
        <v>15.77</v>
      </c>
      <c r="P40" s="258">
        <v>15.77</v>
      </c>
      <c r="Q40" s="258">
        <v>15.77</v>
      </c>
      <c r="R40" s="258">
        <v>15.77</v>
      </c>
      <c r="S40" s="258">
        <f>Projection!$AD$28</f>
        <v>1.4375491199999999</v>
      </c>
      <c r="T40" s="259">
        <f>Projection!$AD$28</f>
        <v>1.4375491199999999</v>
      </c>
      <c r="U40" s="257">
        <f>Projection!$AD$27</f>
        <v>0.26250000000000001</v>
      </c>
      <c r="V40" s="258">
        <f>Projection!$AD$27</f>
        <v>0.26250000000000001</v>
      </c>
      <c r="W40" s="258">
        <f>Projection!$AD$22</f>
        <v>1.2186999999999999</v>
      </c>
      <c r="X40" s="258">
        <f>Projection!$AD$22</f>
        <v>1.2186999999999999</v>
      </c>
      <c r="Y40" s="258">
        <f>Projection!$AD$31</f>
        <v>2.0999286000000001</v>
      </c>
      <c r="Z40" s="258">
        <f>Projection!$AD$31</f>
        <v>2.0999286000000001</v>
      </c>
      <c r="AA40" s="264">
        <v>0</v>
      </c>
      <c r="AB40" s="267">
        <f>Projection!$AD$27</f>
        <v>0.26250000000000001</v>
      </c>
      <c r="AC40" s="267">
        <f>Projection!$AD$30</f>
        <v>0.91139353199999984</v>
      </c>
      <c r="AD40" s="270">
        <f>SUM(AD8:AD38)</f>
        <v>369.36947072976176</v>
      </c>
      <c r="AE40" s="270">
        <f>SUM(AE8:AE38)</f>
        <v>363.58328365873359</v>
      </c>
      <c r="AF40" s="270">
        <f>SUM(AF8:AF38)</f>
        <v>0</v>
      </c>
      <c r="AG40" s="270">
        <f>IF(SUM(AE40:AF40)&gt;0, AE40/(AE40+AF40), "")</f>
        <v>1</v>
      </c>
      <c r="AH40" s="306">
        <v>6.7000000000000004E-2</v>
      </c>
      <c r="AI40" s="306">
        <f t="shared" ref="AI40:AQ40" si="2">$AH$40</f>
        <v>6.7000000000000004E-2</v>
      </c>
      <c r="AJ40" s="306">
        <f t="shared" si="2"/>
        <v>6.7000000000000004E-2</v>
      </c>
      <c r="AK40" s="306">
        <f t="shared" si="2"/>
        <v>6.7000000000000004E-2</v>
      </c>
      <c r="AL40" s="306">
        <f t="shared" si="2"/>
        <v>6.7000000000000004E-2</v>
      </c>
      <c r="AM40" s="306">
        <f t="shared" si="2"/>
        <v>6.7000000000000004E-2</v>
      </c>
      <c r="AN40" s="306">
        <f t="shared" si="2"/>
        <v>6.7000000000000004E-2</v>
      </c>
      <c r="AO40" s="306">
        <f t="shared" si="2"/>
        <v>6.7000000000000004E-2</v>
      </c>
      <c r="AP40" s="306">
        <f t="shared" si="2"/>
        <v>6.7000000000000004E-2</v>
      </c>
      <c r="AQ40" s="306">
        <f t="shared" si="2"/>
        <v>6.7000000000000004E-2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6635.4701710001382</v>
      </c>
      <c r="J41" s="36">
        <f t="shared" si="3"/>
        <v>33627.474459243531</v>
      </c>
      <c r="K41" s="36">
        <f t="shared" si="3"/>
        <v>2632.1869419565965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0">
        <f t="shared" si="3"/>
        <v>0</v>
      </c>
      <c r="P41" s="261">
        <f t="shared" si="3"/>
        <v>0</v>
      </c>
      <c r="Q41" s="261">
        <f t="shared" si="3"/>
        <v>0</v>
      </c>
      <c r="R41" s="261">
        <f t="shared" si="3"/>
        <v>0</v>
      </c>
      <c r="S41" s="261">
        <f t="shared" si="3"/>
        <v>0</v>
      </c>
      <c r="T41" s="262">
        <f t="shared" si="3"/>
        <v>0</v>
      </c>
      <c r="U41" s="260">
        <f t="shared" si="3"/>
        <v>2469.5457442983793</v>
      </c>
      <c r="V41" s="261">
        <f t="shared" si="3"/>
        <v>0</v>
      </c>
      <c r="W41" s="261">
        <f t="shared" si="3"/>
        <v>1075.1316549021906</v>
      </c>
      <c r="X41" s="261">
        <f t="shared" si="3"/>
        <v>0</v>
      </c>
      <c r="Y41" s="261">
        <f t="shared" si="3"/>
        <v>15307.915114670983</v>
      </c>
      <c r="Z41" s="261">
        <f t="shared" si="3"/>
        <v>0</v>
      </c>
      <c r="AA41" s="265">
        <f t="shared" si="3"/>
        <v>0</v>
      </c>
      <c r="AB41" s="268">
        <f t="shared" si="3"/>
        <v>0</v>
      </c>
      <c r="AC41" s="268">
        <f t="shared" si="3"/>
        <v>0</v>
      </c>
      <c r="AH41" s="271">
        <f t="shared" ref="AH41:AQ41" si="4">AH40*AH39</f>
        <v>574.01954408394511</v>
      </c>
      <c r="AI41" s="271">
        <f t="shared" si="4"/>
        <v>1128.9469451588157</v>
      </c>
      <c r="AJ41" s="271">
        <f t="shared" si="4"/>
        <v>2352.3424073508577</v>
      </c>
      <c r="AK41" s="271">
        <f t="shared" si="4"/>
        <v>1262.5738932408012</v>
      </c>
      <c r="AL41" s="271">
        <f t="shared" si="4"/>
        <v>3871.6930321804698</v>
      </c>
      <c r="AM41" s="271">
        <f t="shared" si="4"/>
        <v>4658.9309151859297</v>
      </c>
      <c r="AN41" s="271">
        <f t="shared" si="4"/>
        <v>1405.3287800255459</v>
      </c>
      <c r="AO41" s="271">
        <f t="shared" si="4"/>
        <v>4305.946475465139</v>
      </c>
      <c r="AP41" s="271">
        <f t="shared" si="4"/>
        <v>773.31504199439689</v>
      </c>
      <c r="AQ41" s="271">
        <f t="shared" si="4"/>
        <v>1571.0472703747753</v>
      </c>
    </row>
    <row r="42" spans="1:43" ht="49.5" customHeight="1" thickTop="1" thickBot="1" x14ac:dyDescent="0.3">
      <c r="A42" s="562" t="s">
        <v>208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1313.61</v>
      </c>
      <c r="AI42" s="271" t="s">
        <v>197</v>
      </c>
      <c r="AJ42" s="271">
        <v>3742.24</v>
      </c>
      <c r="AK42" s="271">
        <v>1153.0999999999999</v>
      </c>
      <c r="AL42" s="271">
        <v>2019.42</v>
      </c>
      <c r="AM42" s="271">
        <v>4752.41</v>
      </c>
      <c r="AN42" s="271">
        <v>2363.73</v>
      </c>
      <c r="AO42" s="271" t="s">
        <v>197</v>
      </c>
      <c r="AP42" s="271">
        <v>346.84</v>
      </c>
      <c r="AQ42" s="271">
        <v>895.17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24.75" thickTop="1" thickBot="1" x14ac:dyDescent="0.3">
      <c r="A44" s="275" t="s">
        <v>135</v>
      </c>
      <c r="B44" s="276">
        <f>SUM(B41:AC41)</f>
        <v>61747.72408607183</v>
      </c>
      <c r="C44" s="12"/>
      <c r="D44" s="275" t="s">
        <v>135</v>
      </c>
      <c r="E44" s="276">
        <f>SUM(B41:H41)+P41+R41+T41+V41+X41+Z41</f>
        <v>0</v>
      </c>
      <c r="F44" s="12"/>
      <c r="G44" s="275" t="s">
        <v>135</v>
      </c>
      <c r="H44" s="276">
        <f>SUM(I41:N41)+O41+Q41+S41+U41+W41+Y41</f>
        <v>61747.72408607183</v>
      </c>
      <c r="I44" s="12"/>
      <c r="J44" s="275" t="s">
        <v>198</v>
      </c>
      <c r="K44" s="276">
        <v>84145.86</v>
      </c>
      <c r="L44" s="12"/>
      <c r="M44" s="12"/>
      <c r="N44" s="12"/>
      <c r="O44" s="12"/>
      <c r="P44" s="12"/>
      <c r="Q44" s="12"/>
      <c r="R44" s="313" t="s">
        <v>135</v>
      </c>
      <c r="S44" s="314"/>
      <c r="T44" s="307" t="s">
        <v>167</v>
      </c>
      <c r="U44" s="248" t="s">
        <v>168</v>
      </c>
    </row>
    <row r="45" spans="1:43" ht="24" thickBot="1" x14ac:dyDescent="0.4">
      <c r="A45" s="277" t="s">
        <v>183</v>
      </c>
      <c r="B45" s="278">
        <f>SUM(AH41:AQ41)</f>
        <v>21904.144305060676</v>
      </c>
      <c r="C45" s="12"/>
      <c r="D45" s="277" t="s">
        <v>183</v>
      </c>
      <c r="E45" s="278">
        <f>AH41*(1-$AG$40)+AI41+AJ41*0.5+AL41+AM41*(1-$AG$40)+AN41*(1-$AG$40)+AO41*(1-$AG$40)+AP41*0.5+AQ41*0.5</f>
        <v>7348.9923371993009</v>
      </c>
      <c r="F45" s="24"/>
      <c r="G45" s="277" t="s">
        <v>183</v>
      </c>
      <c r="H45" s="278">
        <f>AH41*AG40+AJ41*0.5+AK41+AM41*AG40+AN41*AG40+AO41*AG40+AP41*0.5+AQ41*0.5</f>
        <v>14555.151967861377</v>
      </c>
      <c r="I45" s="12"/>
      <c r="J45" s="12"/>
      <c r="K45" s="281"/>
      <c r="L45" s="12"/>
      <c r="M45" s="12"/>
      <c r="N45" s="12"/>
      <c r="O45" s="12"/>
      <c r="P45" s="12"/>
      <c r="Q45" s="12"/>
      <c r="R45" s="311" t="s">
        <v>141</v>
      </c>
      <c r="S45" s="312"/>
      <c r="T45" s="247">
        <f>$W$39+$X$39</f>
        <v>882.19549922227839</v>
      </c>
      <c r="U45" s="249">
        <f>(T45*8.34*0.895)/27000</f>
        <v>0.24388784684610565</v>
      </c>
    </row>
    <row r="46" spans="1:43" ht="32.25" thickBot="1" x14ac:dyDescent="0.3">
      <c r="A46" s="279" t="s">
        <v>184</v>
      </c>
      <c r="B46" s="280">
        <f>SUM(AH42:AQ42)</f>
        <v>16586.519999999997</v>
      </c>
      <c r="C46" s="12"/>
      <c r="D46" s="279" t="s">
        <v>184</v>
      </c>
      <c r="E46" s="280">
        <f>AH42*(1-$AG$40)+AJ42*0.5+AL42+AM42*(1-$AG$40)+AN42*(1-$AG$40)+AP42*0.5+AQ42*0.5</f>
        <v>4511.5450000000001</v>
      </c>
      <c r="F46" s="23"/>
      <c r="G46" s="279" t="s">
        <v>184</v>
      </c>
      <c r="H46" s="280">
        <f>AH42*AG40+AJ42*0.5+AK42+AM42*AG40+AN42*AG40+AP42*0.5+AQ42*0.5</f>
        <v>12074.974999999999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311" t="s">
        <v>145</v>
      </c>
      <c r="S46" s="312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84145.86</v>
      </c>
      <c r="C47" s="12"/>
      <c r="D47" s="279" t="s">
        <v>187</v>
      </c>
      <c r="E47" s="280">
        <f>K44*0.5</f>
        <v>42072.93</v>
      </c>
      <c r="F47" s="24"/>
      <c r="G47" s="279" t="s">
        <v>185</v>
      </c>
      <c r="H47" s="280">
        <f>K44*0.5</f>
        <v>42072.93</v>
      </c>
      <c r="I47" s="12"/>
      <c r="J47" s="275" t="s">
        <v>198</v>
      </c>
      <c r="K47" s="276">
        <v>54075.55</v>
      </c>
      <c r="L47" s="12"/>
      <c r="M47" s="12"/>
      <c r="N47" s="12"/>
      <c r="O47" s="12"/>
      <c r="P47" s="12"/>
      <c r="Q47" s="12"/>
      <c r="R47" s="311" t="s">
        <v>148</v>
      </c>
      <c r="S47" s="312"/>
      <c r="T47" s="247">
        <f>$G$39</f>
        <v>0</v>
      </c>
      <c r="U47" s="249">
        <f>T47/40000</f>
        <v>0</v>
      </c>
    </row>
    <row r="48" spans="1:43" ht="24" thickBot="1" x14ac:dyDescent="0.3">
      <c r="A48" s="279" t="s">
        <v>186</v>
      </c>
      <c r="B48" s="280">
        <f>K47</f>
        <v>54075.55</v>
      </c>
      <c r="C48" s="12"/>
      <c r="D48" s="279" t="s">
        <v>186</v>
      </c>
      <c r="E48" s="280">
        <f>K47*0.5</f>
        <v>27037.775000000001</v>
      </c>
      <c r="F48" s="23"/>
      <c r="G48" s="279" t="s">
        <v>186</v>
      </c>
      <c r="H48" s="280">
        <f>K47*0.5</f>
        <v>27037.775000000001</v>
      </c>
      <c r="I48" s="12"/>
      <c r="J48" s="12"/>
      <c r="K48" s="86"/>
      <c r="L48" s="12"/>
      <c r="M48" s="12"/>
      <c r="N48" s="12"/>
      <c r="O48" s="12"/>
      <c r="P48" s="12"/>
      <c r="Q48" s="12"/>
      <c r="R48" s="311" t="s">
        <v>150</v>
      </c>
      <c r="S48" s="312"/>
      <c r="T48" s="247">
        <f>$L$39</f>
        <v>0</v>
      </c>
      <c r="U48" s="249">
        <f>T48*9.34*0.107</f>
        <v>0</v>
      </c>
    </row>
    <row r="49" spans="1:25" ht="48" thickTop="1" thickBot="1" x14ac:dyDescent="0.3">
      <c r="A49" s="284" t="s">
        <v>194</v>
      </c>
      <c r="B49" s="285">
        <f>AD40</f>
        <v>369.36947072976176</v>
      </c>
      <c r="C49" s="12"/>
      <c r="D49" s="284" t="s">
        <v>195</v>
      </c>
      <c r="E49" s="285">
        <f>AF40</f>
        <v>0</v>
      </c>
      <c r="F49" s="23"/>
      <c r="G49" s="284" t="s">
        <v>196</v>
      </c>
      <c r="H49" s="285">
        <f>AE40</f>
        <v>363.58328365873359</v>
      </c>
      <c r="I49" s="12"/>
      <c r="J49" s="12"/>
      <c r="K49" s="86"/>
      <c r="L49" s="12"/>
      <c r="M49" s="12"/>
      <c r="N49" s="12"/>
      <c r="O49" s="12"/>
      <c r="P49" s="12"/>
      <c r="Q49" s="12"/>
      <c r="R49" s="311" t="s">
        <v>152</v>
      </c>
      <c r="S49" s="312"/>
      <c r="T49" s="247">
        <f>$E$39+$K$39</f>
        <v>679.55237314502392</v>
      </c>
      <c r="U49" s="249">
        <f>(T49*8.34*1.04)/45000</f>
        <v>0.1309814547491262</v>
      </c>
    </row>
    <row r="50" spans="1:25" ht="48" thickTop="1" thickBot="1" x14ac:dyDescent="0.3">
      <c r="A50" s="284" t="s">
        <v>190</v>
      </c>
      <c r="B50" s="286">
        <f>(SUM(B44:B48)/AD40)</f>
        <v>645.5861062908325</v>
      </c>
      <c r="C50" s="12"/>
      <c r="D50" s="284" t="s">
        <v>188</v>
      </c>
      <c r="E50" s="286" t="e">
        <f>SUM(E44:E48)/AF40</f>
        <v>#DIV/0!</v>
      </c>
      <c r="F50" s="23"/>
      <c r="G50" s="284" t="s">
        <v>189</v>
      </c>
      <c r="H50" s="286">
        <f>SUM(H44:H48)/AE40</f>
        <v>433.15675701349085</v>
      </c>
      <c r="I50" s="12"/>
      <c r="J50" s="12"/>
      <c r="K50" s="86"/>
      <c r="L50" s="12"/>
      <c r="M50" s="12"/>
      <c r="N50" s="12"/>
      <c r="O50" s="12"/>
      <c r="P50" s="12"/>
      <c r="Q50" s="12"/>
      <c r="R50" s="311" t="s">
        <v>153</v>
      </c>
      <c r="S50" s="312"/>
      <c r="T50" s="247">
        <f>$U$39+$V$39+$AB$39</f>
        <v>9407.7933116128734</v>
      </c>
      <c r="U50" s="249">
        <f>T50/2000/8</f>
        <v>0.58798708197580463</v>
      </c>
    </row>
    <row r="51" spans="1:25" ht="48" thickTop="1" thickBot="1" x14ac:dyDescent="0.3">
      <c r="A51" s="274" t="s">
        <v>191</v>
      </c>
      <c r="B51" s="287">
        <f>B50/1000</f>
        <v>0.64558610629083246</v>
      </c>
      <c r="C51" s="12"/>
      <c r="D51" s="274" t="s">
        <v>192</v>
      </c>
      <c r="E51" s="287" t="e">
        <f>E50/1000</f>
        <v>#DIV/0!</v>
      </c>
      <c r="F51" s="12"/>
      <c r="G51" s="274" t="s">
        <v>193</v>
      </c>
      <c r="H51" s="287">
        <f>H50/1000</f>
        <v>0.43315675701349082</v>
      </c>
      <c r="I51" s="12"/>
      <c r="J51" s="12"/>
      <c r="K51" s="86"/>
      <c r="L51" s="12"/>
      <c r="M51" s="12"/>
      <c r="N51" s="12"/>
      <c r="O51" s="12"/>
      <c r="P51" s="12"/>
      <c r="Q51" s="12"/>
      <c r="R51" s="311" t="s">
        <v>154</v>
      </c>
      <c r="S51" s="312"/>
      <c r="T51" s="247">
        <f>$C$39+$J$39+$S$39+$T$39</f>
        <v>23392.226388231891</v>
      </c>
      <c r="U51" s="249">
        <f>(T51*8.34*1.4)/45000</f>
        <v>6.0695030068665679</v>
      </c>
    </row>
    <row r="52" spans="1:25" ht="16.5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1" t="s">
        <v>155</v>
      </c>
      <c r="S52" s="312"/>
      <c r="T52" s="247">
        <f>$H$39</f>
        <v>0</v>
      </c>
      <c r="U52" s="249">
        <f>(T52*8.34*1.135)/45000</f>
        <v>0</v>
      </c>
    </row>
    <row r="53" spans="1:25" ht="33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1" t="s">
        <v>156</v>
      </c>
      <c r="S53" s="312"/>
      <c r="T53" s="247">
        <f>$B$39+$I$39+$AC$39</f>
        <v>7280.5763240814167</v>
      </c>
      <c r="U53" s="249">
        <f>(T53*8.34*1.029*0.03)/3300</f>
        <v>0.56800806120528491</v>
      </c>
    </row>
    <row r="54" spans="1:25" ht="54.75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97"/>
      <c r="T54" s="320">
        <f>$D$39+$Y$39+$Z$39</f>
        <v>7289.7312388006821</v>
      </c>
      <c r="U54" s="321">
        <f>(T54*1.54*8.34)/45000</f>
        <v>2.0805864919702319</v>
      </c>
      <c r="V54" s="319"/>
      <c r="W54" s="12"/>
      <c r="X54" s="12"/>
      <c r="Y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23"/>
      <c r="T55" s="555"/>
      <c r="U55" s="555"/>
      <c r="V55" s="317"/>
      <c r="W55" s="318"/>
      <c r="X55" s="316"/>
      <c r="Y55" s="316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16"/>
      <c r="T56" s="596"/>
      <c r="U56" s="596"/>
      <c r="V56" s="317"/>
      <c r="W56" s="318"/>
      <c r="X56" s="316"/>
      <c r="Y56" s="316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16"/>
      <c r="T57" s="596"/>
      <c r="U57" s="596"/>
      <c r="V57" s="317"/>
      <c r="W57" s="318"/>
      <c r="X57" s="316"/>
      <c r="Y57" s="316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16"/>
      <c r="T58" s="596"/>
      <c r="U58" s="596"/>
      <c r="V58" s="317"/>
      <c r="W58" s="318"/>
      <c r="X58" s="316"/>
      <c r="Y58" s="316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16"/>
      <c r="T59" s="596"/>
      <c r="U59" s="596"/>
      <c r="V59" s="317"/>
      <c r="W59" s="318"/>
      <c r="X59" s="316"/>
      <c r="Y59" s="316"/>
    </row>
    <row r="60" spans="1:25" x14ac:dyDescent="0.25">
      <c r="S60" s="316"/>
      <c r="T60" s="596"/>
      <c r="U60" s="596"/>
      <c r="V60" s="317"/>
      <c r="W60" s="318"/>
      <c r="X60" s="316"/>
      <c r="Y60" s="316"/>
    </row>
    <row r="61" spans="1:25" x14ac:dyDescent="0.25">
      <c r="S61" s="316"/>
      <c r="T61" s="596"/>
      <c r="U61" s="596"/>
      <c r="V61" s="317"/>
      <c r="W61" s="318"/>
      <c r="X61" s="316"/>
      <c r="Y61" s="316"/>
    </row>
    <row r="62" spans="1:25" x14ac:dyDescent="0.25">
      <c r="S62" s="316"/>
      <c r="T62" s="596"/>
      <c r="U62" s="596"/>
      <c r="V62" s="317"/>
      <c r="W62" s="318"/>
      <c r="X62" s="316"/>
      <c r="Y62" s="316"/>
    </row>
    <row r="63" spans="1:25" x14ac:dyDescent="0.25">
      <c r="S63" s="316"/>
      <c r="T63" s="316"/>
      <c r="U63" s="316"/>
      <c r="V63" s="316"/>
      <c r="W63" s="316"/>
      <c r="X63" s="316"/>
      <c r="Y63" s="316"/>
    </row>
    <row r="64" spans="1:25" x14ac:dyDescent="0.25">
      <c r="S64" s="316"/>
      <c r="T64" s="316"/>
      <c r="U64" s="316"/>
      <c r="V64" s="316"/>
      <c r="W64" s="316"/>
      <c r="X64" s="316"/>
      <c r="Y64" s="316"/>
    </row>
    <row r="65" spans="19:25" x14ac:dyDescent="0.25">
      <c r="S65" s="316"/>
      <c r="T65" s="316"/>
      <c r="U65" s="316"/>
      <c r="V65" s="316"/>
      <c r="W65" s="316"/>
      <c r="X65" s="316"/>
      <c r="Y65" s="316"/>
    </row>
  </sheetData>
  <sheetProtection password="A25B" sheet="1" objects="1" scenarios="1" selectLockedCells="1" selectUnlockedCells="1"/>
  <mergeCells count="38"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T61:U61"/>
    <mergeCell ref="T62:U62"/>
    <mergeCell ref="T56:U56"/>
    <mergeCell ref="T57:U57"/>
    <mergeCell ref="T58:U58"/>
    <mergeCell ref="T59:U59"/>
    <mergeCell ref="T60:U60"/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</mergeCells>
  <pageMargins left="0.33" right="0.19" top="0.75" bottom="0.75" header="0.3" footer="0.3"/>
  <pageSetup scale="54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tabSelected="1" zoomScale="80" zoomScaleNormal="80" workbookViewId="0">
      <selection activeCell="B48" sqref="B48:E58"/>
    </sheetView>
  </sheetViews>
  <sheetFormatPr defaultRowHeight="15" x14ac:dyDescent="0.25"/>
  <cols>
    <col min="1" max="1" width="10.140625" customWidth="1"/>
    <col min="2" max="2" width="25.5703125" bestFit="1" customWidth="1"/>
    <col min="3" max="5" width="9.85546875" bestFit="1" customWidth="1"/>
    <col min="6" max="9" width="8.7109375" customWidth="1"/>
    <col min="10" max="10" width="10.140625" customWidth="1"/>
    <col min="11" max="11" width="9.28515625" bestFit="1" customWidth="1"/>
    <col min="12" max="34" width="8.7109375" customWidth="1"/>
  </cols>
  <sheetData>
    <row r="1" spans="1:34" ht="28.5" customHeight="1" thickTop="1" thickBot="1" x14ac:dyDescent="0.3">
      <c r="A1" s="414">
        <v>2013</v>
      </c>
      <c r="B1" s="415"/>
      <c r="C1" s="379" t="s">
        <v>89</v>
      </c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1"/>
      <c r="X1" s="381"/>
      <c r="Y1" s="381"/>
      <c r="Z1" s="381"/>
      <c r="AA1" s="381"/>
      <c r="AB1" s="381"/>
      <c r="AC1" s="380"/>
      <c r="AD1" s="380"/>
      <c r="AE1" s="380"/>
      <c r="AF1" s="380"/>
      <c r="AG1" s="380"/>
      <c r="AH1" s="382"/>
    </row>
    <row r="2" spans="1:34" ht="28.5" customHeight="1" thickTop="1" thickBot="1" x14ac:dyDescent="0.3">
      <c r="A2" s="383"/>
      <c r="B2" s="384"/>
      <c r="C2" s="390" t="s">
        <v>66</v>
      </c>
      <c r="D2" s="391"/>
      <c r="E2" s="391"/>
      <c r="F2" s="391"/>
      <c r="G2" s="391"/>
      <c r="H2" s="391"/>
      <c r="I2" s="392"/>
      <c r="J2" s="393" t="s">
        <v>71</v>
      </c>
      <c r="K2" s="394"/>
      <c r="L2" s="394"/>
      <c r="M2" s="394"/>
      <c r="N2" s="394"/>
      <c r="O2" s="395"/>
      <c r="P2" s="396" t="s">
        <v>73</v>
      </c>
      <c r="Q2" s="397"/>
      <c r="R2" s="397"/>
      <c r="S2" s="397"/>
      <c r="T2" s="397"/>
      <c r="U2" s="398"/>
      <c r="V2" s="399" t="s">
        <v>82</v>
      </c>
      <c r="W2" s="400"/>
      <c r="X2" s="400"/>
      <c r="Y2" s="400"/>
      <c r="Z2" s="400"/>
      <c r="AA2" s="400"/>
      <c r="AB2" s="401"/>
      <c r="AC2" s="402" t="s">
        <v>83</v>
      </c>
      <c r="AD2" s="403"/>
      <c r="AE2" s="387" t="s">
        <v>85</v>
      </c>
      <c r="AF2" s="388"/>
      <c r="AG2" s="388"/>
      <c r="AH2" s="389"/>
    </row>
    <row r="3" spans="1:34" ht="119.25" customHeight="1" thickBot="1" x14ac:dyDescent="0.3">
      <c r="A3" s="385"/>
      <c r="B3" s="386"/>
      <c r="C3" s="226" t="s">
        <v>67</v>
      </c>
      <c r="D3" s="226" t="s">
        <v>68</v>
      </c>
      <c r="E3" s="226" t="s">
        <v>11</v>
      </c>
      <c r="F3" s="226" t="s">
        <v>12</v>
      </c>
      <c r="G3" s="226" t="s">
        <v>13</v>
      </c>
      <c r="H3" s="226" t="s">
        <v>69</v>
      </c>
      <c r="I3" s="227" t="s">
        <v>70</v>
      </c>
      <c r="J3" s="228" t="s">
        <v>67</v>
      </c>
      <c r="K3" s="228" t="s">
        <v>72</v>
      </c>
      <c r="L3" s="229" t="s">
        <v>17</v>
      </c>
      <c r="M3" s="228" t="s">
        <v>18</v>
      </c>
      <c r="N3" s="228" t="s">
        <v>19</v>
      </c>
      <c r="O3" s="228" t="s">
        <v>13</v>
      </c>
      <c r="P3" s="230" t="s">
        <v>35</v>
      </c>
      <c r="Q3" s="231" t="s">
        <v>36</v>
      </c>
      <c r="R3" s="230" t="s">
        <v>74</v>
      </c>
      <c r="S3" s="230" t="s">
        <v>75</v>
      </c>
      <c r="T3" s="230" t="s">
        <v>76</v>
      </c>
      <c r="U3" s="230" t="s">
        <v>77</v>
      </c>
      <c r="V3" s="232" t="s">
        <v>78</v>
      </c>
      <c r="W3" s="232" t="s">
        <v>79</v>
      </c>
      <c r="X3" s="232" t="s">
        <v>80</v>
      </c>
      <c r="Y3" s="232" t="s">
        <v>81</v>
      </c>
      <c r="Z3" s="232" t="s">
        <v>45</v>
      </c>
      <c r="AA3" s="232" t="s">
        <v>46</v>
      </c>
      <c r="AB3" s="232" t="s">
        <v>20</v>
      </c>
      <c r="AC3" s="233" t="s">
        <v>7</v>
      </c>
      <c r="AD3" s="234" t="s">
        <v>84</v>
      </c>
      <c r="AE3" s="235" t="s">
        <v>27</v>
      </c>
      <c r="AF3" s="235" t="s">
        <v>31</v>
      </c>
      <c r="AG3" s="235" t="s">
        <v>32</v>
      </c>
      <c r="AH3" s="236" t="s">
        <v>33</v>
      </c>
    </row>
    <row r="4" spans="1:34" ht="15.75" customHeight="1" thickTop="1" x14ac:dyDescent="0.25">
      <c r="A4" s="411" t="s">
        <v>86</v>
      </c>
      <c r="B4" s="89" t="s">
        <v>52</v>
      </c>
      <c r="C4" s="101">
        <f>JANUARY!B39</f>
        <v>0</v>
      </c>
      <c r="D4" s="101">
        <f>JANUARY!C39</f>
        <v>3593.4258274356489</v>
      </c>
      <c r="E4" s="101">
        <f>JANUARY!D39</f>
        <v>38486.049276638027</v>
      </c>
      <c r="F4" s="101">
        <f>JANUARY!E39</f>
        <v>396.62993983825032</v>
      </c>
      <c r="G4" s="101">
        <f>JANUARY!F39</f>
        <v>0</v>
      </c>
      <c r="H4" s="101">
        <f>JANUARY!G39</f>
        <v>96527.567621867027</v>
      </c>
      <c r="I4" s="101">
        <f>JANUARY!H39</f>
        <v>1637.2734116454949</v>
      </c>
      <c r="J4" s="101">
        <f>JANUARY!I39</f>
        <v>5192.1795323212918</v>
      </c>
      <c r="K4" s="101">
        <f>JANUARY!J39</f>
        <v>12162.248325490957</v>
      </c>
      <c r="L4" s="237">
        <f>JANUARY!K39</f>
        <v>528.29889737417272</v>
      </c>
      <c r="M4" s="101">
        <f>JANUARY!L39</f>
        <v>728.86063261413335</v>
      </c>
      <c r="N4" s="101">
        <f>JANUARY!M39</f>
        <v>0</v>
      </c>
      <c r="O4" s="101">
        <f>JANUARY!N39</f>
        <v>0</v>
      </c>
      <c r="P4" s="101">
        <f>JANUARY!O39</f>
        <v>0</v>
      </c>
      <c r="Q4" s="101">
        <f>JANUARY!P39</f>
        <v>0</v>
      </c>
      <c r="R4" s="101">
        <f>JANUARY!Q39</f>
        <v>0</v>
      </c>
      <c r="S4" s="101">
        <f>JANUARY!R39</f>
        <v>0</v>
      </c>
      <c r="T4" s="101">
        <f>JANUARY!S39</f>
        <v>0</v>
      </c>
      <c r="U4" s="101">
        <f>JANUARY!T39</f>
        <v>0</v>
      </c>
      <c r="V4" s="101">
        <f>JANUARY!U39</f>
        <v>7345.7777634388967</v>
      </c>
      <c r="W4" s="101">
        <f>JANUARY!V39</f>
        <v>3512.8119115743357</v>
      </c>
      <c r="X4" s="101">
        <f>JANUARY!W39</f>
        <v>640.44540097108063</v>
      </c>
      <c r="Y4" s="101">
        <f>JANUARY!X39</f>
        <v>306.28434590706649</v>
      </c>
      <c r="Z4" s="101">
        <f>JANUARY!Y39</f>
        <v>1719.4925469536613</v>
      </c>
      <c r="AA4" s="101">
        <f>JANUARY!Z39</f>
        <v>822.33689912368482</v>
      </c>
      <c r="AB4" s="101">
        <f>JANUARY!AA39</f>
        <v>0</v>
      </c>
      <c r="AC4" s="102">
        <f>JANUARY!AB39</f>
        <v>0</v>
      </c>
      <c r="AD4" s="102">
        <f>JANUARY!AC39</f>
        <v>0</v>
      </c>
      <c r="AE4" s="238">
        <f>JANUARY!AD40</f>
        <v>392.77834785514409</v>
      </c>
      <c r="AF4" s="238">
        <f>JANUARY!AE40</f>
        <v>261.94034680115806</v>
      </c>
      <c r="AG4" s="238">
        <f>JANUARY!AF40</f>
        <v>125.27192976419583</v>
      </c>
      <c r="AH4" s="239">
        <f>JANUARY!AG40</f>
        <v>0.67647738115283551</v>
      </c>
    </row>
    <row r="5" spans="1:34" ht="15.75" customHeight="1" x14ac:dyDescent="0.25">
      <c r="A5" s="412"/>
      <c r="B5" s="90" t="s">
        <v>53</v>
      </c>
      <c r="C5" s="103">
        <f>FEBRUARY!B39</f>
        <v>0</v>
      </c>
      <c r="D5" s="103">
        <f>FEBRUARY!C39</f>
        <v>1910.053819618623</v>
      </c>
      <c r="E5" s="103">
        <f>FEBRUARY!D39</f>
        <v>30295.133751922851</v>
      </c>
      <c r="F5" s="103">
        <f>FEBRUARY!E39</f>
        <v>338.29693060368294</v>
      </c>
      <c r="G5" s="103">
        <f>FEBRUARY!F39</f>
        <v>0</v>
      </c>
      <c r="H5" s="103">
        <f>FEBRUARY!G39</f>
        <v>88592.772195434678</v>
      </c>
      <c r="I5" s="103">
        <f>FEBRUARY!H39</f>
        <v>1430.5994545221356</v>
      </c>
      <c r="J5" s="103">
        <f>FEBRUARY!I39</f>
        <v>4925.4147717952683</v>
      </c>
      <c r="K5" s="103">
        <f>FEBRUARY!J39</f>
        <v>10806.223315763475</v>
      </c>
      <c r="L5" s="104">
        <f>FEBRUARY!K39</f>
        <v>436.51644922743259</v>
      </c>
      <c r="M5" s="103">
        <f>FEBRUARY!L39</f>
        <v>0.88773636817931489</v>
      </c>
      <c r="N5" s="103">
        <f>FEBRUARY!M39</f>
        <v>0</v>
      </c>
      <c r="O5" s="103">
        <f>FEBRUARY!N39</f>
        <v>0</v>
      </c>
      <c r="P5" s="103">
        <f>FEBRUARY!O39</f>
        <v>0</v>
      </c>
      <c r="Q5" s="103">
        <f>FEBRUARY!P39</f>
        <v>0</v>
      </c>
      <c r="R5" s="103">
        <f>FEBRUARY!Q39</f>
        <v>0</v>
      </c>
      <c r="S5" s="103">
        <f>FEBRUARY!R39</f>
        <v>0</v>
      </c>
      <c r="T5" s="103">
        <f>FEBRUARY!S39</f>
        <v>0</v>
      </c>
      <c r="U5" s="103">
        <f>FEBRUARY!T39</f>
        <v>0</v>
      </c>
      <c r="V5" s="103">
        <f>FEBRUARY!U39</f>
        <v>6431.5989893175301</v>
      </c>
      <c r="W5" s="103">
        <f>FEBRUARY!V39</f>
        <v>3064.7781546588994</v>
      </c>
      <c r="X5" s="103">
        <f>FEBRUARY!W39</f>
        <v>560.43994603926194</v>
      </c>
      <c r="Y5" s="103">
        <f>FEBRUARY!X39</f>
        <v>267.02641591653997</v>
      </c>
      <c r="Z5" s="103">
        <f>FEBRUARY!Y39</f>
        <v>1475.4175636744562</v>
      </c>
      <c r="AA5" s="103">
        <f>FEBRUARY!Z39</f>
        <v>702.95821885505597</v>
      </c>
      <c r="AB5" s="103">
        <f>FEBRUARY!AA39</f>
        <v>0</v>
      </c>
      <c r="AC5" s="105">
        <f>FEBRUARY!AB39</f>
        <v>0</v>
      </c>
      <c r="AD5" s="105">
        <f>FEBRUARY!AC39</f>
        <v>0</v>
      </c>
      <c r="AE5" s="99">
        <f>FEBRUARY!AD40</f>
        <v>349.30901474323542</v>
      </c>
      <c r="AF5" s="99">
        <f>FEBRUARY!AE40</f>
        <v>233.08090459209009</v>
      </c>
      <c r="AG5" s="99">
        <f>FEBRUARY!AF40</f>
        <v>111.01521355705265</v>
      </c>
      <c r="AH5" s="91">
        <f>FEBRUARY!AG40</f>
        <v>0.5</v>
      </c>
    </row>
    <row r="6" spans="1:34" ht="15.75" customHeight="1" x14ac:dyDescent="0.25">
      <c r="A6" s="412"/>
      <c r="B6" s="90" t="s">
        <v>54</v>
      </c>
      <c r="C6" s="103">
        <f>MARCH!B39</f>
        <v>0</v>
      </c>
      <c r="D6" s="103">
        <f>MARCH!C39</f>
        <v>0</v>
      </c>
      <c r="E6" s="103">
        <f>MARCH!D39</f>
        <v>0</v>
      </c>
      <c r="F6" s="103">
        <f>MARCH!E39</f>
        <v>15.93823724736769</v>
      </c>
      <c r="G6" s="103">
        <f>MARCH!F39</f>
        <v>0</v>
      </c>
      <c r="H6" s="103">
        <f>MARCH!G39</f>
        <v>0</v>
      </c>
      <c r="I6" s="103">
        <f>MARCH!H39</f>
        <v>0</v>
      </c>
      <c r="J6" s="103">
        <f>MARCH!I39</f>
        <v>6875.6073082923886</v>
      </c>
      <c r="K6" s="103">
        <f>MARCH!J39</f>
        <v>19276.822145366652</v>
      </c>
      <c r="L6" s="104">
        <f>MARCH!K39</f>
        <v>601.85292559365473</v>
      </c>
      <c r="M6" s="103">
        <f>MARCH!L39</f>
        <v>0</v>
      </c>
      <c r="N6" s="103">
        <f>MARCH!M39</f>
        <v>0</v>
      </c>
      <c r="O6" s="103">
        <f>MARCH!N39</f>
        <v>0</v>
      </c>
      <c r="P6" s="103">
        <f>MARCH!O39</f>
        <v>0</v>
      </c>
      <c r="Q6" s="103">
        <f>MARCH!P39</f>
        <v>0</v>
      </c>
      <c r="R6" s="103">
        <f>MARCH!Q39</f>
        <v>0</v>
      </c>
      <c r="S6" s="103">
        <f>MARCH!R39</f>
        <v>0</v>
      </c>
      <c r="T6" s="103">
        <f>MARCH!S39</f>
        <v>0</v>
      </c>
      <c r="U6" s="103">
        <f>MARCH!T39</f>
        <v>0</v>
      </c>
      <c r="V6" s="103">
        <f>MARCH!U39</f>
        <v>10195.261651908024</v>
      </c>
      <c r="W6" s="103">
        <f>MARCH!V39</f>
        <v>0</v>
      </c>
      <c r="X6" s="103">
        <f>MARCH!W39</f>
        <v>894.11310450633346</v>
      </c>
      <c r="Y6" s="103">
        <f>MARCH!X39</f>
        <v>0</v>
      </c>
      <c r="Z6" s="103">
        <f>MARCH!Y39</f>
        <v>5170.9563881238309</v>
      </c>
      <c r="AA6" s="103">
        <f>MARCH!Z39</f>
        <v>0</v>
      </c>
      <c r="AB6" s="103">
        <f>MARCH!AA39</f>
        <v>0</v>
      </c>
      <c r="AC6" s="105">
        <f>MARCH!AB39</f>
        <v>0</v>
      </c>
      <c r="AD6" s="105">
        <f>MARCH!AC39</f>
        <v>0</v>
      </c>
      <c r="AE6" s="99">
        <f>MARCH!AD40</f>
        <v>384.13766434474115</v>
      </c>
      <c r="AF6" s="99">
        <f>MARCH!AE40</f>
        <v>377.8822475871263</v>
      </c>
      <c r="AG6" s="99">
        <f>MARCH!AF40</f>
        <v>0</v>
      </c>
      <c r="AH6" s="91">
        <f>MARCH!AG40</f>
        <v>0.5</v>
      </c>
    </row>
    <row r="7" spans="1:34" ht="15.75" customHeight="1" x14ac:dyDescent="0.25">
      <c r="A7" s="412"/>
      <c r="B7" s="90" t="s">
        <v>55</v>
      </c>
      <c r="C7" s="103">
        <f>APRIL!B39</f>
        <v>0</v>
      </c>
      <c r="D7" s="103">
        <f>APRIL!C39</f>
        <v>1714.1953023950286</v>
      </c>
      <c r="E7" s="103">
        <f>APRIL!D39</f>
        <v>31427.599744888172</v>
      </c>
      <c r="F7" s="103">
        <f>APRIL!E39</f>
        <v>354.59223333398484</v>
      </c>
      <c r="G7" s="103">
        <f>APRIL!F39</f>
        <v>0</v>
      </c>
      <c r="H7" s="103">
        <f>APRIL!G39</f>
        <v>100852.35176531473</v>
      </c>
      <c r="I7" s="103">
        <f>APRIL!H39</f>
        <v>1518.2300811727869</v>
      </c>
      <c r="J7" s="103">
        <f>APRIL!I39</f>
        <v>4978.0112250089624</v>
      </c>
      <c r="K7" s="103">
        <f>APRIL!J39</f>
        <v>11790.165809981021</v>
      </c>
      <c r="L7" s="104">
        <f>APRIL!K39</f>
        <v>337.33240148971481</v>
      </c>
      <c r="M7" s="103">
        <f>APRIL!L39</f>
        <v>0</v>
      </c>
      <c r="N7" s="103">
        <f>APRIL!M39</f>
        <v>0</v>
      </c>
      <c r="O7" s="103">
        <f>APRIL!N39</f>
        <v>0</v>
      </c>
      <c r="P7" s="103">
        <f>APRIL!O39</f>
        <v>0</v>
      </c>
      <c r="Q7" s="103">
        <f>APRIL!P39</f>
        <v>0</v>
      </c>
      <c r="R7" s="103">
        <f>APRIL!Q39</f>
        <v>0</v>
      </c>
      <c r="S7" s="103">
        <f>APRIL!R39</f>
        <v>0</v>
      </c>
      <c r="T7" s="103">
        <f>APRIL!S39</f>
        <v>0</v>
      </c>
      <c r="U7" s="103">
        <f>APRIL!T39</f>
        <v>0</v>
      </c>
      <c r="V7" s="103">
        <f>APRIL!U39</f>
        <v>8050.6570656730873</v>
      </c>
      <c r="W7" s="103">
        <f>APRIL!V39</f>
        <v>4231.8392153951118</v>
      </c>
      <c r="X7" s="103">
        <f>APRIL!W39</f>
        <v>550.19232201313378</v>
      </c>
      <c r="Y7" s="103">
        <f>APRIL!X39</f>
        <v>287.1225483801424</v>
      </c>
      <c r="Z7" s="103">
        <f>APRIL!Y39</f>
        <v>1708.4701051915863</v>
      </c>
      <c r="AA7" s="103">
        <f>APRIL!Z39</f>
        <v>838.85082079120639</v>
      </c>
      <c r="AB7" s="103">
        <f>APRIL!AA39</f>
        <v>0</v>
      </c>
      <c r="AC7" s="105">
        <f>APRIL!AB39</f>
        <v>1028.4645635313473</v>
      </c>
      <c r="AD7" s="105">
        <f>APRIL!AC39</f>
        <v>0</v>
      </c>
      <c r="AE7" s="99">
        <f>APRIL!AD40</f>
        <v>346.23035338752788</v>
      </c>
      <c r="AF7" s="99">
        <f>APRIL!AE40</f>
        <v>224.06634091932713</v>
      </c>
      <c r="AG7" s="99">
        <f>APRIL!AF40</f>
        <v>116.66976007752959</v>
      </c>
      <c r="AH7" s="91">
        <f>APRIL!AG40</f>
        <v>0.5</v>
      </c>
    </row>
    <row r="8" spans="1:34" ht="15.75" customHeight="1" x14ac:dyDescent="0.25">
      <c r="A8" s="412"/>
      <c r="B8" s="90" t="s">
        <v>56</v>
      </c>
      <c r="C8" s="103">
        <f>MAY!B39</f>
        <v>0</v>
      </c>
      <c r="D8" s="103">
        <f>MAY!C39</f>
        <v>2099.7047829469061</v>
      </c>
      <c r="E8" s="103">
        <f>MAY!D39</f>
        <v>39610.399651590968</v>
      </c>
      <c r="F8" s="103">
        <f>MAY!E39</f>
        <v>447.31269213259225</v>
      </c>
      <c r="G8" s="103">
        <f>MAY!F39</f>
        <v>0</v>
      </c>
      <c r="H8" s="103">
        <f>MAY!G39</f>
        <v>118350.09282925936</v>
      </c>
      <c r="I8" s="103">
        <f>MAY!H39</f>
        <v>1935.1104386270051</v>
      </c>
      <c r="J8" s="103">
        <f>MAY!I39</f>
        <v>8577.9083755970005</v>
      </c>
      <c r="K8" s="103">
        <f>MAY!J39</f>
        <v>18860.727196693413</v>
      </c>
      <c r="L8" s="104">
        <f>MAY!K39</f>
        <v>540.41031403293209</v>
      </c>
      <c r="M8" s="103">
        <f>MAY!L39</f>
        <v>8.5621476173399033E-2</v>
      </c>
      <c r="N8" s="103">
        <f>MAY!M39</f>
        <v>0</v>
      </c>
      <c r="O8" s="103">
        <f>MAY!N39</f>
        <v>0</v>
      </c>
      <c r="P8" s="103">
        <f>MAY!O39</f>
        <v>0</v>
      </c>
      <c r="Q8" s="103">
        <f>MAY!P39</f>
        <v>0</v>
      </c>
      <c r="R8" s="103">
        <f>MAY!Q39</f>
        <v>0</v>
      </c>
      <c r="S8" s="103">
        <f>MAY!R39</f>
        <v>0</v>
      </c>
      <c r="T8" s="103">
        <f>MAY!S39</f>
        <v>0</v>
      </c>
      <c r="U8" s="103">
        <f>MAY!T39</f>
        <v>0</v>
      </c>
      <c r="V8" s="103">
        <f>MAY!U39</f>
        <v>10067.074877852736</v>
      </c>
      <c r="W8" s="103">
        <f>MAY!V39</f>
        <v>4254.3906852961945</v>
      </c>
      <c r="X8" s="103">
        <f>MAY!W39</f>
        <v>860.22968102017353</v>
      </c>
      <c r="Y8" s="103">
        <f>MAY!X39</f>
        <v>362.70065828045915</v>
      </c>
      <c r="Z8" s="103">
        <f>MAY!Y39</f>
        <v>2911.0291612752671</v>
      </c>
      <c r="AA8" s="103">
        <f>MAY!Z39</f>
        <v>1173.884720161717</v>
      </c>
      <c r="AB8" s="103">
        <f>MAY!AA39</f>
        <v>0</v>
      </c>
      <c r="AC8" s="105">
        <f>MAY!AB39</f>
        <v>7050.1356280008404</v>
      </c>
      <c r="AD8" s="105">
        <f>MAY!AC39</f>
        <v>0</v>
      </c>
      <c r="AE8" s="99">
        <f>MAY!AD40</f>
        <v>517.98554506103198</v>
      </c>
      <c r="AF8" s="99">
        <f>MAY!AE40</f>
        <v>359.41523883147437</v>
      </c>
      <c r="AG8" s="99">
        <f>MAY!AF40</f>
        <v>151.03198321016288</v>
      </c>
      <c r="AH8" s="91">
        <f>MAY!AG40</f>
        <v>0.70411831686324045</v>
      </c>
    </row>
    <row r="9" spans="1:34" ht="15.75" customHeight="1" x14ac:dyDescent="0.25">
      <c r="A9" s="412"/>
      <c r="B9" s="90" t="s">
        <v>57</v>
      </c>
      <c r="C9" s="103">
        <f>JUNE!B39</f>
        <v>0</v>
      </c>
      <c r="D9" s="103">
        <f>JUNE!C39</f>
        <v>5719.7477356234813</v>
      </c>
      <c r="E9" s="103">
        <f>JUNE!D39</f>
        <v>63545.57293961844</v>
      </c>
      <c r="F9" s="103">
        <f>JUNE!E39</f>
        <v>778.62529879460737</v>
      </c>
      <c r="G9" s="103">
        <f>JUNE!F39</f>
        <v>0</v>
      </c>
      <c r="H9" s="103">
        <f>JUNE!G39</f>
        <v>192625.88128471377</v>
      </c>
      <c r="I9" s="103">
        <f>JUNE!H39</f>
        <v>2464.9545916358588</v>
      </c>
      <c r="J9" s="103">
        <f>JUNE!I39</f>
        <v>15731.311963025726</v>
      </c>
      <c r="K9" s="103">
        <f>JUNE!J39</f>
        <v>35166.59400100707</v>
      </c>
      <c r="L9" s="104">
        <f>JUNE!K39</f>
        <v>893.2698979407545</v>
      </c>
      <c r="M9" s="103">
        <f>JUNE!L39</f>
        <v>0.45341538190841246</v>
      </c>
      <c r="N9" s="103">
        <f>JUNE!M39</f>
        <v>0</v>
      </c>
      <c r="O9" s="103">
        <f>JUNE!N39</f>
        <v>0</v>
      </c>
      <c r="P9" s="103">
        <f>JUNE!O39</f>
        <v>0</v>
      </c>
      <c r="Q9" s="103">
        <f>JUNE!P39</f>
        <v>0</v>
      </c>
      <c r="R9" s="103">
        <f>JUNE!Q39</f>
        <v>0</v>
      </c>
      <c r="S9" s="103">
        <f>JUNE!R39</f>
        <v>0</v>
      </c>
      <c r="T9" s="103">
        <f>JUNE!S39</f>
        <v>0</v>
      </c>
      <c r="U9" s="103">
        <f>JUNE!T39</f>
        <v>0</v>
      </c>
      <c r="V9" s="103">
        <f>JUNE!U39</f>
        <v>13230.649594411558</v>
      </c>
      <c r="W9" s="103">
        <f>JUNE!V39</f>
        <v>6108.1117260204264</v>
      </c>
      <c r="X9" s="103">
        <f>JUNE!W39</f>
        <v>1128.0210288619505</v>
      </c>
      <c r="Y9" s="103">
        <f>JUNE!X39</f>
        <v>521.04589667960931</v>
      </c>
      <c r="Z9" s="103">
        <f>JUNE!Y39</f>
        <v>5623.5251997539381</v>
      </c>
      <c r="AA9" s="103">
        <f>JUNE!Z39</f>
        <v>2590.7001745155444</v>
      </c>
      <c r="AB9" s="103">
        <f>JUNE!AA39</f>
        <v>0</v>
      </c>
      <c r="AC9" s="105">
        <f>JUNE!AB39</f>
        <v>6833.8097153239605</v>
      </c>
      <c r="AD9" s="105">
        <f>JUNE!AC39</f>
        <v>0</v>
      </c>
      <c r="AE9" s="99">
        <f>JUNE!AD40</f>
        <v>709.5801821894114</v>
      </c>
      <c r="AF9" s="99">
        <f>JUNE!AE40</f>
        <v>478.53530189255054</v>
      </c>
      <c r="AG9" s="99">
        <f>JUNE!AF40</f>
        <v>220.96566392851318</v>
      </c>
      <c r="AH9" s="91">
        <f>JUNE!AG40</f>
        <v>0.68410956563991732</v>
      </c>
    </row>
    <row r="10" spans="1:34" ht="15.75" customHeight="1" x14ac:dyDescent="0.25">
      <c r="A10" s="412"/>
      <c r="B10" s="90" t="s">
        <v>58</v>
      </c>
      <c r="C10" s="103">
        <f>JULY!B39</f>
        <v>0</v>
      </c>
      <c r="D10" s="103">
        <f>JULY!C39</f>
        <v>7972.560662722547</v>
      </c>
      <c r="E10" s="103">
        <f>JULY!D39</f>
        <v>66736.840808184978</v>
      </c>
      <c r="F10" s="103">
        <f>JULY!E39</f>
        <v>1027.305417389671</v>
      </c>
      <c r="G10" s="103">
        <f>JULY!F39</f>
        <v>0</v>
      </c>
      <c r="H10" s="103">
        <f>JULY!G39</f>
        <v>213623.49301147455</v>
      </c>
      <c r="I10" s="103">
        <f>JULY!H39</f>
        <v>2585.6764786382473</v>
      </c>
      <c r="J10" s="103">
        <f>JULY!I39</f>
        <v>20123.439096248156</v>
      </c>
      <c r="K10" s="103">
        <f>JULY!J39</f>
        <v>40094.857667732234</v>
      </c>
      <c r="L10" s="104">
        <f>JULY!K39</f>
        <v>928.17608994096531</v>
      </c>
      <c r="M10" s="103">
        <f>JULY!L39</f>
        <v>0</v>
      </c>
      <c r="N10" s="103">
        <f>JULY!M39</f>
        <v>0</v>
      </c>
      <c r="O10" s="103">
        <f>JULY!N39</f>
        <v>0</v>
      </c>
      <c r="P10" s="103">
        <f>JULY!O39</f>
        <v>0</v>
      </c>
      <c r="Q10" s="103">
        <f>JULY!P39</f>
        <v>0</v>
      </c>
      <c r="R10" s="103">
        <f>JULY!Q39</f>
        <v>0</v>
      </c>
      <c r="S10" s="103">
        <f>JULY!R39</f>
        <v>0</v>
      </c>
      <c r="T10" s="103">
        <f>JULY!S39</f>
        <v>0</v>
      </c>
      <c r="U10" s="103">
        <f>JULY!T39</f>
        <v>0</v>
      </c>
      <c r="V10" s="103">
        <f>JULY!U39</f>
        <v>12920.64646328504</v>
      </c>
      <c r="W10" s="103">
        <f>JULY!V39</f>
        <v>6921.3784093252852</v>
      </c>
      <c r="X10" s="103">
        <f>JULY!W39</f>
        <v>1111.4039351694867</v>
      </c>
      <c r="Y10" s="103">
        <f>JULY!X39</f>
        <v>595.35894543795962</v>
      </c>
      <c r="Z10" s="103">
        <f>JULY!Y39</f>
        <v>9182.3904695813526</v>
      </c>
      <c r="AA10" s="103">
        <f>JULY!Z39</f>
        <v>4901.3637888049352</v>
      </c>
      <c r="AB10" s="103">
        <f>JULY!AA39</f>
        <v>0</v>
      </c>
      <c r="AC10" s="105">
        <f>JULY!AB39</f>
        <v>7080.3071922832351</v>
      </c>
      <c r="AD10" s="105">
        <f>JULY!AC39</f>
        <v>0</v>
      </c>
      <c r="AE10" s="99">
        <f>JULY!AD40</f>
        <v>718.76287059916376</v>
      </c>
      <c r="AF10" s="99">
        <f>JULY!AE40</f>
        <v>461.08087642193311</v>
      </c>
      <c r="AG10" s="99">
        <f>JULY!AF40</f>
        <v>247.08656520399737</v>
      </c>
      <c r="AH10" s="91">
        <f>JULY!AG40</f>
        <v>0.65109019325049133</v>
      </c>
    </row>
    <row r="11" spans="1:34" ht="15.75" customHeight="1" x14ac:dyDescent="0.25">
      <c r="A11" s="412"/>
      <c r="B11" s="90" t="s">
        <v>59</v>
      </c>
      <c r="C11" s="103">
        <f>AUGUST!B39</f>
        <v>0</v>
      </c>
      <c r="D11" s="103">
        <f>AUGUST!C39</f>
        <v>5151.5160995960059</v>
      </c>
      <c r="E11" s="103">
        <f>AUGUST!D39</f>
        <v>56760.565267308586</v>
      </c>
      <c r="F11" s="103">
        <f>AUGUST!E39</f>
        <v>877.36535951693804</v>
      </c>
      <c r="G11" s="103">
        <f>AUGUST!F39</f>
        <v>0</v>
      </c>
      <c r="H11" s="103">
        <f>AUGUST!G39</f>
        <v>169264.10994618721</v>
      </c>
      <c r="I11" s="103">
        <f>AUGUST!H39</f>
        <v>2233.0011419097586</v>
      </c>
      <c r="J11" s="103">
        <f>AUGUST!I39</f>
        <v>18573.891685438146</v>
      </c>
      <c r="K11" s="103">
        <f>AUGUST!J39</f>
        <v>41717.114508438099</v>
      </c>
      <c r="L11" s="104">
        <f>AUGUST!K39</f>
        <v>915.20258188843707</v>
      </c>
      <c r="M11" s="103">
        <f>AUGUST!L39</f>
        <v>4.7019362449646197E-2</v>
      </c>
      <c r="N11" s="103">
        <f>AUGUST!M39</f>
        <v>0</v>
      </c>
      <c r="O11" s="103">
        <f>AUGUST!N39</f>
        <v>0</v>
      </c>
      <c r="P11" s="103">
        <f>AUGUST!O39</f>
        <v>0</v>
      </c>
      <c r="Q11" s="103">
        <f>AUGUST!P39</f>
        <v>0</v>
      </c>
      <c r="R11" s="103">
        <f>AUGUST!Q39</f>
        <v>0</v>
      </c>
      <c r="S11" s="103">
        <f>AUGUST!R39</f>
        <v>0</v>
      </c>
      <c r="T11" s="103">
        <f>AUGUST!S39</f>
        <v>0</v>
      </c>
      <c r="U11" s="103">
        <f>AUGUST!T39</f>
        <v>0</v>
      </c>
      <c r="V11" s="103">
        <f>AUGUST!U39</f>
        <v>13019.472631673272</v>
      </c>
      <c r="W11" s="103">
        <f>AUGUST!V39</f>
        <v>6271.1139456786341</v>
      </c>
      <c r="X11" s="103">
        <f>AUGUST!W39</f>
        <v>1104.4445326593768</v>
      </c>
      <c r="Y11" s="103">
        <f>AUGUST!X39</f>
        <v>532.38492957082906</v>
      </c>
      <c r="Z11" s="103">
        <f>AUGUST!Y39</f>
        <v>9460.9321202593655</v>
      </c>
      <c r="AA11" s="103">
        <f>AUGUST!Z39</f>
        <v>4509.7779294095817</v>
      </c>
      <c r="AB11" s="103">
        <f>AUGUST!AA39</f>
        <v>0</v>
      </c>
      <c r="AC11" s="105">
        <f>AUGUST!AB39</f>
        <v>2840.3669250382241</v>
      </c>
      <c r="AD11" s="105">
        <f>AUGUST!AC39</f>
        <v>0</v>
      </c>
      <c r="AE11" s="99">
        <f>AUGUST!AD40</f>
        <v>682.8967945059137</v>
      </c>
      <c r="AF11" s="99">
        <f>AUGUST!AE40</f>
        <v>454.16704316233097</v>
      </c>
      <c r="AG11" s="99">
        <f>AUGUST!AF40</f>
        <v>218.74021346734975</v>
      </c>
      <c r="AH11" s="91">
        <f>AUGUST!AG40</f>
        <v>0.67493259834508157</v>
      </c>
    </row>
    <row r="12" spans="1:34" ht="15.75" customHeight="1" x14ac:dyDescent="0.25">
      <c r="A12" s="412"/>
      <c r="B12" s="90" t="s">
        <v>60</v>
      </c>
      <c r="C12" s="103">
        <f>SEPTEMBER!B39</f>
        <v>0</v>
      </c>
      <c r="D12" s="103">
        <f>SEPTEMBER!C39</f>
        <v>2511.7668105105554</v>
      </c>
      <c r="E12" s="103">
        <f>SEPTEMBER!D39</f>
        <v>29681.442656697833</v>
      </c>
      <c r="F12" s="103">
        <f>SEPTEMBER!E39</f>
        <v>469.75045689741751</v>
      </c>
      <c r="G12" s="103">
        <f>SEPTEMBER!F39</f>
        <v>0</v>
      </c>
      <c r="H12" s="103">
        <f>SEPTEMBER!G39</f>
        <v>86912.036321640029</v>
      </c>
      <c r="I12" s="103">
        <f>SEPTEMBER!H39</f>
        <v>1189.1505164782209</v>
      </c>
      <c r="J12" s="103">
        <f>SEPTEMBER!I39</f>
        <v>14880.781087303174</v>
      </c>
      <c r="K12" s="103">
        <f>SEPTEMBER!J39</f>
        <v>35963.31953131756</v>
      </c>
      <c r="L12" s="104">
        <f>SEPTEMBER!K39</f>
        <v>791.86486591349023</v>
      </c>
      <c r="M12" s="103">
        <f>SEPTEMBER!L39</f>
        <v>5.3100919723511671E-2</v>
      </c>
      <c r="N12" s="103">
        <f>SEPTEMBER!M39</f>
        <v>0</v>
      </c>
      <c r="O12" s="103">
        <f>SEPTEMBER!N39</f>
        <v>0</v>
      </c>
      <c r="P12" s="103">
        <f>SEPTEMBER!O39</f>
        <v>0</v>
      </c>
      <c r="Q12" s="103">
        <f>SEPTEMBER!P39</f>
        <v>0</v>
      </c>
      <c r="R12" s="103">
        <f>SEPTEMBER!Q39</f>
        <v>0</v>
      </c>
      <c r="S12" s="103">
        <f>SEPTEMBER!R39</f>
        <v>0</v>
      </c>
      <c r="T12" s="103">
        <f>SEPTEMBER!S39</f>
        <v>0</v>
      </c>
      <c r="U12" s="103">
        <f>SEPTEMBER!T39</f>
        <v>0</v>
      </c>
      <c r="V12" s="103">
        <f>SEPTEMBER!U39</f>
        <v>11468.388568493458</v>
      </c>
      <c r="W12" s="103">
        <f>SEPTEMBER!V39</f>
        <v>3297.0893202516077</v>
      </c>
      <c r="X12" s="103">
        <f>SEPTEMBER!W39</f>
        <v>978.9263388709046</v>
      </c>
      <c r="Y12" s="103">
        <f>SEPTEMBER!X39</f>
        <v>280.26098188203355</v>
      </c>
      <c r="Z12" s="103">
        <f>SEPTEMBER!Y39</f>
        <v>9214.0310284563402</v>
      </c>
      <c r="AA12" s="103">
        <f>SEPTEMBER!Z39</f>
        <v>2642.3328386516914</v>
      </c>
      <c r="AB12" s="103">
        <f>SEPTEMBER!AA39</f>
        <v>0</v>
      </c>
      <c r="AC12" s="105">
        <f>SEPTEMBER!AB39</f>
        <v>0</v>
      </c>
      <c r="AD12" s="105">
        <f>SEPTEMBER!AC39</f>
        <v>0</v>
      </c>
      <c r="AE12" s="99">
        <f>SEPTEMBER!AD40</f>
        <v>517.70740485091994</v>
      </c>
      <c r="AF12" s="99">
        <f>SEPTEMBER!AE40</f>
        <v>394.23628977080921</v>
      </c>
      <c r="AG12" s="99">
        <f>SEPTEMBER!AF40</f>
        <v>114.55161878737691</v>
      </c>
      <c r="AH12" s="91">
        <f>SEPTEMBER!AG40</f>
        <v>0.77485388929152088</v>
      </c>
    </row>
    <row r="13" spans="1:34" ht="15.75" customHeight="1" x14ac:dyDescent="0.25">
      <c r="A13" s="412"/>
      <c r="B13" s="90" t="s">
        <v>61</v>
      </c>
      <c r="C13" s="103">
        <f>OCTOBER!B39</f>
        <v>0</v>
      </c>
      <c r="D13" s="103">
        <f>OCTOBER!C39</f>
        <v>2453.0911573350463</v>
      </c>
      <c r="E13" s="103">
        <f>OCTOBER!D39</f>
        <v>28039.626415626219</v>
      </c>
      <c r="F13" s="103">
        <f>OCTOBER!E39</f>
        <v>387.19583569268428</v>
      </c>
      <c r="G13" s="103">
        <f>OCTOBER!F39</f>
        <v>0</v>
      </c>
      <c r="H13" s="103">
        <f>OCTOBER!G39</f>
        <v>64318.374997234336</v>
      </c>
      <c r="I13" s="103">
        <f>OCTOBER!H39</f>
        <v>1502.1723581969727</v>
      </c>
      <c r="J13" s="103">
        <f>OCTOBER!I39</f>
        <v>10092.269178597138</v>
      </c>
      <c r="K13" s="103">
        <f>OCTOBER!J39</f>
        <v>21839.278857739748</v>
      </c>
      <c r="L13" s="104">
        <f>OCTOBER!K39</f>
        <v>454.63514393121051</v>
      </c>
      <c r="M13" s="103">
        <f>OCTOBER!L39</f>
        <v>0.81937556266785638</v>
      </c>
      <c r="N13" s="103">
        <f>OCTOBER!M39</f>
        <v>0</v>
      </c>
      <c r="O13" s="103">
        <f>OCTOBER!N39</f>
        <v>0</v>
      </c>
      <c r="P13" s="103">
        <f>OCTOBER!O39</f>
        <v>0</v>
      </c>
      <c r="Q13" s="103">
        <f>OCTOBER!P39</f>
        <v>0</v>
      </c>
      <c r="R13" s="103">
        <f>OCTOBER!Q39</f>
        <v>0</v>
      </c>
      <c r="S13" s="103">
        <f>OCTOBER!R39</f>
        <v>0</v>
      </c>
      <c r="T13" s="103">
        <f>OCTOBER!S39</f>
        <v>0</v>
      </c>
      <c r="U13" s="103">
        <f>OCTOBER!T39</f>
        <v>0</v>
      </c>
      <c r="V13" s="103">
        <f>OCTOBER!U39</f>
        <v>7059.3629528801212</v>
      </c>
      <c r="W13" s="103">
        <f>OCTOBER!V39</f>
        <v>3463.2636577592471</v>
      </c>
      <c r="X13" s="103">
        <f>OCTOBER!W39</f>
        <v>620.62745895900127</v>
      </c>
      <c r="Y13" s="103">
        <f>OCTOBER!X39</f>
        <v>303.69895084979345</v>
      </c>
      <c r="Z13" s="103">
        <f>OCTOBER!Y39</f>
        <v>5252.137995328234</v>
      </c>
      <c r="AA13" s="103">
        <f>OCTOBER!Z39</f>
        <v>2561.2138526541739</v>
      </c>
      <c r="AB13" s="103">
        <f>OCTOBER!AA39</f>
        <v>0</v>
      </c>
      <c r="AC13" s="105">
        <f>OCTOBER!AB39</f>
        <v>0</v>
      </c>
      <c r="AD13" s="105">
        <f>OCTOBER!AC39</f>
        <v>0</v>
      </c>
      <c r="AE13" s="99">
        <f>OCTOBER!AD40</f>
        <v>368.54122187991919</v>
      </c>
      <c r="AF13" s="99">
        <f>OCTOBER!AE40</f>
        <v>242.44795315458279</v>
      </c>
      <c r="AG13" s="99">
        <f>OCTOBER!AF40</f>
        <v>119.39271850282226</v>
      </c>
      <c r="AH13" s="91">
        <f>OCTOBER!AG40</f>
        <v>0.67004063430474547</v>
      </c>
    </row>
    <row r="14" spans="1:34" ht="15.75" customHeight="1" x14ac:dyDescent="0.25">
      <c r="A14" s="412"/>
      <c r="B14" s="90" t="s">
        <v>62</v>
      </c>
      <c r="C14" s="103">
        <f>NOVEMBER!B39</f>
        <v>0</v>
      </c>
      <c r="D14" s="103">
        <f>NOVEMBER!C39</f>
        <v>0</v>
      </c>
      <c r="E14" s="103">
        <f>NOVEMBER!D39</f>
        <v>0</v>
      </c>
      <c r="F14" s="103">
        <f>NOVEMBER!E39</f>
        <v>15.624768016238995</v>
      </c>
      <c r="G14" s="103">
        <f>NOVEMBER!F39</f>
        <v>0</v>
      </c>
      <c r="H14" s="103">
        <f>NOVEMBER!G39</f>
        <v>0</v>
      </c>
      <c r="I14" s="103">
        <f>NOVEMBER!H39</f>
        <v>0</v>
      </c>
      <c r="J14" s="103">
        <f>NOVEMBER!I39</f>
        <v>9559.2892701347737</v>
      </c>
      <c r="K14" s="103">
        <f>NOVEMBER!J39</f>
        <v>27065.951920668271</v>
      </c>
      <c r="L14" s="104">
        <f>NOVEMBER!K39</f>
        <v>579.29229135413971</v>
      </c>
      <c r="M14" s="103">
        <f>NOVEMBER!L39</f>
        <v>0.91899833679200094</v>
      </c>
      <c r="N14" s="103">
        <f>NOVEMBER!M39</f>
        <v>0</v>
      </c>
      <c r="O14" s="103">
        <f>NOVEMBER!N39</f>
        <v>0</v>
      </c>
      <c r="P14" s="103">
        <f>NOVEMBER!O39</f>
        <v>0</v>
      </c>
      <c r="Q14" s="103">
        <f>NOVEMBER!P39</f>
        <v>0</v>
      </c>
      <c r="R14" s="103">
        <f>NOVEMBER!Q39</f>
        <v>0</v>
      </c>
      <c r="S14" s="103">
        <f>NOVEMBER!R39</f>
        <v>0</v>
      </c>
      <c r="T14" s="103">
        <f>NOVEMBER!S39</f>
        <v>0</v>
      </c>
      <c r="U14" s="103">
        <f>NOVEMBER!T39</f>
        <v>0</v>
      </c>
      <c r="V14" s="103">
        <f>NOVEMBER!U39</f>
        <v>9113.363540893155</v>
      </c>
      <c r="W14" s="103">
        <f>NOVEMBER!V39</f>
        <v>0</v>
      </c>
      <c r="X14" s="103">
        <f>NOVEMBER!W39</f>
        <v>806.56333880821876</v>
      </c>
      <c r="Y14" s="103">
        <f>NOVEMBER!X39</f>
        <v>0</v>
      </c>
      <c r="Z14" s="103">
        <f>NOVEMBER!Y39</f>
        <v>8959.1583941062254</v>
      </c>
      <c r="AA14" s="103">
        <f>NOVEMBER!Z39</f>
        <v>0</v>
      </c>
      <c r="AB14" s="103">
        <f>NOVEMBER!AA39</f>
        <v>0</v>
      </c>
      <c r="AC14" s="105">
        <f>NOVEMBER!AB39</f>
        <v>0</v>
      </c>
      <c r="AD14" s="105">
        <f>NOVEMBER!AC39</f>
        <v>0</v>
      </c>
      <c r="AE14" s="99">
        <f>NOVEMBER!AD40</f>
        <v>324.12801533904337</v>
      </c>
      <c r="AF14" s="99">
        <f>NOVEMBER!AE40</f>
        <v>318.56997959378094</v>
      </c>
      <c r="AG14" s="99">
        <f>NOVEMBER!AF40</f>
        <v>0</v>
      </c>
      <c r="AH14" s="91">
        <f>NOVEMBER!AG40</f>
        <v>1</v>
      </c>
    </row>
    <row r="15" spans="1:34" ht="15.75" customHeight="1" x14ac:dyDescent="0.25">
      <c r="A15" s="413"/>
      <c r="B15" s="92" t="s">
        <v>63</v>
      </c>
      <c r="C15" s="106">
        <f>DECEMBER!B39</f>
        <v>0</v>
      </c>
      <c r="D15" s="106">
        <f>DECEMBER!C39</f>
        <v>0</v>
      </c>
      <c r="E15" s="106">
        <f>DECEMBER!D39</f>
        <v>0</v>
      </c>
      <c r="F15" s="106">
        <f>DECEMBER!E39</f>
        <v>0</v>
      </c>
      <c r="G15" s="106">
        <f>DECEMBER!F39</f>
        <v>0</v>
      </c>
      <c r="H15" s="106">
        <f>DECEMBER!G39</f>
        <v>0</v>
      </c>
      <c r="I15" s="106">
        <f>DECEMBER!H39</f>
        <v>0</v>
      </c>
      <c r="J15" s="106">
        <f>DECEMBER!I39</f>
        <v>7280.5763240814167</v>
      </c>
      <c r="K15" s="106">
        <f>DECEMBER!J39</f>
        <v>23392.226388231891</v>
      </c>
      <c r="L15" s="107">
        <f>DECEMBER!K39</f>
        <v>679.55237314502392</v>
      </c>
      <c r="M15" s="106">
        <f>DECEMBER!L39</f>
        <v>0</v>
      </c>
      <c r="N15" s="106">
        <f>DECEMBER!M39</f>
        <v>0</v>
      </c>
      <c r="O15" s="106">
        <f>DECEMBER!N39</f>
        <v>0</v>
      </c>
      <c r="P15" s="106">
        <f>DECEMBER!O39</f>
        <v>0</v>
      </c>
      <c r="Q15" s="106">
        <f>DECEMBER!P39</f>
        <v>0</v>
      </c>
      <c r="R15" s="106">
        <f>DECEMBER!Q39</f>
        <v>0</v>
      </c>
      <c r="S15" s="106">
        <f>DECEMBER!R39</f>
        <v>0</v>
      </c>
      <c r="T15" s="106">
        <f>DECEMBER!S39</f>
        <v>0</v>
      </c>
      <c r="U15" s="106">
        <f>DECEMBER!T39</f>
        <v>0</v>
      </c>
      <c r="V15" s="106">
        <f>DECEMBER!U39</f>
        <v>9407.7933116128734</v>
      </c>
      <c r="W15" s="106">
        <f>DECEMBER!V39</f>
        <v>0</v>
      </c>
      <c r="X15" s="106">
        <f>DECEMBER!W39</f>
        <v>882.19549922227839</v>
      </c>
      <c r="Y15" s="106">
        <f>DECEMBER!X39</f>
        <v>0</v>
      </c>
      <c r="Z15" s="106">
        <f>DECEMBER!Y39</f>
        <v>7289.7312388006821</v>
      </c>
      <c r="AA15" s="106">
        <f>DECEMBER!Z39</f>
        <v>0</v>
      </c>
      <c r="AB15" s="106">
        <f>DECEMBER!AA39</f>
        <v>0</v>
      </c>
      <c r="AC15" s="108">
        <f>DECEMBER!AB39</f>
        <v>0</v>
      </c>
      <c r="AD15" s="108">
        <f>DECEMBER!AC39</f>
        <v>0</v>
      </c>
      <c r="AE15" s="100">
        <f>DECEMBER!AD40</f>
        <v>369.36947072976176</v>
      </c>
      <c r="AF15" s="100">
        <f>DECEMBER!AE40</f>
        <v>363.58328365873359</v>
      </c>
      <c r="AG15" s="100">
        <f>DECEMBER!AF40</f>
        <v>0</v>
      </c>
      <c r="AH15" s="93">
        <f>DECEMBER!AG40</f>
        <v>1</v>
      </c>
    </row>
    <row r="16" spans="1:34" ht="15.75" customHeight="1" x14ac:dyDescent="0.25">
      <c r="A16" s="416" t="s">
        <v>160</v>
      </c>
      <c r="B16" s="417"/>
      <c r="C16" s="142" t="s">
        <v>100</v>
      </c>
      <c r="D16" s="142" t="s">
        <v>100</v>
      </c>
      <c r="E16" s="142" t="s">
        <v>100</v>
      </c>
      <c r="F16" s="142" t="s">
        <v>100</v>
      </c>
      <c r="G16" s="142" t="s">
        <v>100</v>
      </c>
      <c r="H16" s="142" t="s">
        <v>101</v>
      </c>
      <c r="I16" s="142" t="s">
        <v>100</v>
      </c>
      <c r="J16" s="142" t="s">
        <v>100</v>
      </c>
      <c r="K16" s="142" t="s">
        <v>100</v>
      </c>
      <c r="L16" s="144" t="s">
        <v>100</v>
      </c>
      <c r="M16" s="144" t="s">
        <v>100</v>
      </c>
      <c r="N16" s="144" t="s">
        <v>100</v>
      </c>
      <c r="O16" s="144" t="s">
        <v>100</v>
      </c>
      <c r="P16" s="144" t="s">
        <v>100</v>
      </c>
      <c r="Q16" s="144" t="s">
        <v>100</v>
      </c>
      <c r="R16" s="144" t="s">
        <v>100</v>
      </c>
      <c r="S16" s="144" t="s">
        <v>100</v>
      </c>
      <c r="T16" s="144" t="s">
        <v>100</v>
      </c>
      <c r="U16" s="144" t="s">
        <v>100</v>
      </c>
      <c r="V16" s="142" t="s">
        <v>101</v>
      </c>
      <c r="W16" s="142" t="s">
        <v>101</v>
      </c>
      <c r="X16" s="144" t="s">
        <v>100</v>
      </c>
      <c r="Y16" s="144" t="s">
        <v>100</v>
      </c>
      <c r="Z16" s="144" t="s">
        <v>100</v>
      </c>
      <c r="AA16" s="144" t="s">
        <v>100</v>
      </c>
      <c r="AB16" s="144" t="s">
        <v>100</v>
      </c>
      <c r="AC16" s="142" t="s">
        <v>101</v>
      </c>
      <c r="AD16" s="173" t="s">
        <v>100</v>
      </c>
      <c r="AE16" s="240" t="s">
        <v>28</v>
      </c>
      <c r="AF16" s="240" t="s">
        <v>28</v>
      </c>
      <c r="AG16" s="240" t="s">
        <v>28</v>
      </c>
      <c r="AH16" s="241" t="s">
        <v>34</v>
      </c>
    </row>
    <row r="17" spans="1:34" ht="15.75" customHeight="1" thickBot="1" x14ac:dyDescent="0.3">
      <c r="A17" s="94" t="s">
        <v>65</v>
      </c>
      <c r="B17" s="95" t="s">
        <v>64</v>
      </c>
      <c r="C17" s="109">
        <f>SUM(C4:C15)</f>
        <v>0</v>
      </c>
      <c r="D17" s="109">
        <f t="shared" ref="D17:AG17" si="0">SUM(D4:D15)</f>
        <v>33126.062198183841</v>
      </c>
      <c r="E17" s="109">
        <f t="shared" si="0"/>
        <v>384583.230512476</v>
      </c>
      <c r="F17" s="109">
        <f t="shared" si="0"/>
        <v>5108.6371694634345</v>
      </c>
      <c r="G17" s="109">
        <f t="shared" si="0"/>
        <v>0</v>
      </c>
      <c r="H17" s="109">
        <f t="shared" si="0"/>
        <v>1131066.6799731259</v>
      </c>
      <c r="I17" s="109">
        <f t="shared" si="0"/>
        <v>16496.168472826481</v>
      </c>
      <c r="J17" s="109">
        <f t="shared" si="0"/>
        <v>126790.67981784344</v>
      </c>
      <c r="K17" s="109">
        <f t="shared" si="0"/>
        <v>298135.52966843039</v>
      </c>
      <c r="L17" s="109">
        <f t="shared" si="0"/>
        <v>7686.404231831928</v>
      </c>
      <c r="M17" s="109">
        <f t="shared" si="0"/>
        <v>732.12590002202739</v>
      </c>
      <c r="N17" s="109">
        <f t="shared" si="0"/>
        <v>0</v>
      </c>
      <c r="O17" s="109">
        <f t="shared" si="0"/>
        <v>0</v>
      </c>
      <c r="P17" s="109">
        <f t="shared" si="0"/>
        <v>0</v>
      </c>
      <c r="Q17" s="109">
        <f t="shared" si="0"/>
        <v>0</v>
      </c>
      <c r="R17" s="109">
        <f t="shared" si="0"/>
        <v>0</v>
      </c>
      <c r="S17" s="109">
        <f t="shared" si="0"/>
        <v>0</v>
      </c>
      <c r="T17" s="109">
        <f t="shared" si="0"/>
        <v>0</v>
      </c>
      <c r="U17" s="109">
        <f t="shared" si="0"/>
        <v>0</v>
      </c>
      <c r="V17" s="109">
        <f t="shared" si="0"/>
        <v>118310.04741143975</v>
      </c>
      <c r="W17" s="109">
        <f t="shared" si="0"/>
        <v>41124.777025959746</v>
      </c>
      <c r="X17" s="109">
        <f t="shared" si="0"/>
        <v>10137.602587101201</v>
      </c>
      <c r="Y17" s="109">
        <f t="shared" si="0"/>
        <v>3455.8836729044333</v>
      </c>
      <c r="Z17" s="109">
        <f t="shared" si="0"/>
        <v>67967.27221150494</v>
      </c>
      <c r="AA17" s="109">
        <f t="shared" si="0"/>
        <v>20743.419242967593</v>
      </c>
      <c r="AB17" s="109">
        <f t="shared" si="0"/>
        <v>0</v>
      </c>
      <c r="AC17" s="109">
        <f t="shared" si="0"/>
        <v>24833.084024177606</v>
      </c>
      <c r="AD17" s="109">
        <f t="shared" si="0"/>
        <v>0</v>
      </c>
      <c r="AE17" s="96">
        <f t="shared" si="0"/>
        <v>5681.4268854858146</v>
      </c>
      <c r="AF17" s="96">
        <f t="shared" si="0"/>
        <v>4169.0058063858969</v>
      </c>
      <c r="AG17" s="96">
        <f t="shared" si="0"/>
        <v>1424.7256664990002</v>
      </c>
      <c r="AH17" s="224">
        <f>IF(SUM(AF17:AG17)&gt;0, AF17/(AF17+AG17), "")</f>
        <v>0.74529959591281281</v>
      </c>
    </row>
    <row r="18" spans="1:34" ht="15.75" customHeight="1" thickTop="1" x14ac:dyDescent="0.25">
      <c r="A18" s="411" t="s">
        <v>87</v>
      </c>
      <c r="B18" s="89" t="s">
        <v>52</v>
      </c>
      <c r="C18" s="110">
        <f>JANUARY!B41</f>
        <v>0</v>
      </c>
      <c r="D18" s="110">
        <f>JANUARY!C41</f>
        <v>5165.7261360153889</v>
      </c>
      <c r="E18" s="110">
        <f>JANUARY!D41</f>
        <v>80817.955577021508</v>
      </c>
      <c r="F18" s="110">
        <f>JANUARY!E41</f>
        <v>1536.3115334283013</v>
      </c>
      <c r="G18" s="110">
        <f>JANUARY!F41</f>
        <v>0</v>
      </c>
      <c r="H18" s="110">
        <f>JANUARY!G41</f>
        <v>5115.9610839589523</v>
      </c>
      <c r="I18" s="110">
        <f>JANUARY!H41</f>
        <v>5955.0538766542659</v>
      </c>
      <c r="J18" s="110">
        <f>JANUARY!I41</f>
        <v>4732.1188427404095</v>
      </c>
      <c r="K18" s="110">
        <f>JANUARY!J41</f>
        <v>17483.829377530998</v>
      </c>
      <c r="L18" s="111">
        <f>JANUARY!K41</f>
        <v>2046.3197747108745</v>
      </c>
      <c r="M18" s="110">
        <f>JANUARY!L41</f>
        <v>274.14926518768442</v>
      </c>
      <c r="N18" s="110">
        <f>JANUARY!M41</f>
        <v>0</v>
      </c>
      <c r="O18" s="112">
        <f>JANUARY!N41</f>
        <v>0</v>
      </c>
      <c r="P18" s="112">
        <f>JANUARY!O41</f>
        <v>0</v>
      </c>
      <c r="Q18" s="110">
        <f>JANUARY!P41</f>
        <v>0</v>
      </c>
      <c r="R18" s="110">
        <f>JANUARY!Q41</f>
        <v>0</v>
      </c>
      <c r="S18" s="110">
        <f>JANUARY!R41</f>
        <v>0</v>
      </c>
      <c r="T18" s="110">
        <f>JANUARY!S41</f>
        <v>0</v>
      </c>
      <c r="U18" s="110">
        <f>JANUARY!T41</f>
        <v>0</v>
      </c>
      <c r="V18" s="110">
        <f>JANUARY!U41</f>
        <v>1928.2666629027106</v>
      </c>
      <c r="W18" s="110">
        <f>JANUARY!V41</f>
        <v>922.11312678826312</v>
      </c>
      <c r="X18" s="110">
        <f>JANUARY!W41</f>
        <v>780.51081016345586</v>
      </c>
      <c r="Y18" s="110">
        <f>JANUARY!X41</f>
        <v>373.26873235694188</v>
      </c>
      <c r="Z18" s="110">
        <f>JANUARY!Y41</f>
        <v>3610.8115768348366</v>
      </c>
      <c r="AA18" s="110">
        <f>JANUARY!Z41</f>
        <v>1726.8487733051409</v>
      </c>
      <c r="AB18" s="110">
        <f>JANUARY!AA41</f>
        <v>0</v>
      </c>
      <c r="AC18" s="113">
        <f>JANUARY!AB41</f>
        <v>0</v>
      </c>
      <c r="AD18" s="113">
        <f>JANUARY!AC41</f>
        <v>0</v>
      </c>
      <c r="AE18" s="123"/>
      <c r="AF18" s="123"/>
      <c r="AG18" s="123"/>
      <c r="AH18" s="124"/>
    </row>
    <row r="19" spans="1:34" ht="15.75" customHeight="1" x14ac:dyDescent="0.25">
      <c r="A19" s="412"/>
      <c r="B19" s="90" t="s">
        <v>53</v>
      </c>
      <c r="C19" s="114">
        <f>FEBRUARY!B41</f>
        <v>0</v>
      </c>
      <c r="D19" s="114">
        <f>FEBRUARY!C41</f>
        <v>2745.7961875453902</v>
      </c>
      <c r="E19" s="114">
        <f>FEBRUARY!D41</f>
        <v>63617.617806488102</v>
      </c>
      <c r="F19" s="114">
        <f>FEBRUARY!E41</f>
        <v>1310.3637017966489</v>
      </c>
      <c r="G19" s="114">
        <f>FEBRUARY!F41</f>
        <v>0</v>
      </c>
      <c r="H19" s="114">
        <f>FEBRUARY!G41</f>
        <v>4695.4169263580379</v>
      </c>
      <c r="I19" s="114">
        <f>FEBRUARY!H41</f>
        <v>5203.3440273298311</v>
      </c>
      <c r="J19" s="114">
        <f>FEBRUARY!I41</f>
        <v>4488.9911654314628</v>
      </c>
      <c r="K19" s="114">
        <f>FEBRUARY!J41</f>
        <v>15534.476818099263</v>
      </c>
      <c r="L19" s="115">
        <f>FEBRUARY!K41</f>
        <v>1690.8084542300612</v>
      </c>
      <c r="M19" s="114">
        <f>FEBRUARY!L41</f>
        <v>0.33390783110875838</v>
      </c>
      <c r="N19" s="114">
        <f>FEBRUARY!M41</f>
        <v>0</v>
      </c>
      <c r="O19" s="116">
        <f>FEBRUARY!N41</f>
        <v>0</v>
      </c>
      <c r="P19" s="116">
        <f>FEBRUARY!O41</f>
        <v>0</v>
      </c>
      <c r="Q19" s="114">
        <f>FEBRUARY!P41</f>
        <v>0</v>
      </c>
      <c r="R19" s="114">
        <f>FEBRUARY!Q41</f>
        <v>0</v>
      </c>
      <c r="S19" s="114">
        <f>FEBRUARY!R41</f>
        <v>0</v>
      </c>
      <c r="T19" s="114">
        <f>FEBRUARY!S41</f>
        <v>0</v>
      </c>
      <c r="U19" s="114">
        <f>FEBRUARY!T41</f>
        <v>0</v>
      </c>
      <c r="V19" s="114">
        <f>FEBRUARY!U41</f>
        <v>1688.2947346958517</v>
      </c>
      <c r="W19" s="114">
        <f>FEBRUARY!V41</f>
        <v>804.50426559796108</v>
      </c>
      <c r="X19" s="114">
        <f>FEBRUARY!W41</f>
        <v>683.0081622380485</v>
      </c>
      <c r="Y19" s="114">
        <f>FEBRUARY!X41</f>
        <v>325.42509307748725</v>
      </c>
      <c r="Z19" s="114">
        <f>FEBRUARY!Y41</f>
        <v>3098.2715389023119</v>
      </c>
      <c r="AA19" s="114">
        <f>FEBRUARY!Z41</f>
        <v>1476.1620683787914</v>
      </c>
      <c r="AB19" s="114">
        <f>FEBRUARY!AA41</f>
        <v>0</v>
      </c>
      <c r="AC19" s="117">
        <f>FEBRUARY!AB41</f>
        <v>0</v>
      </c>
      <c r="AD19" s="117">
        <f>FEBRUARY!AC41</f>
        <v>0</v>
      </c>
      <c r="AE19" s="125"/>
      <c r="AF19" s="125"/>
      <c r="AG19" s="125"/>
      <c r="AH19" s="126"/>
    </row>
    <row r="20" spans="1:34" ht="15.75" customHeight="1" x14ac:dyDescent="0.25">
      <c r="A20" s="412"/>
      <c r="B20" s="90" t="s">
        <v>54</v>
      </c>
      <c r="C20" s="114">
        <f>MARCH!B41</f>
        <v>0</v>
      </c>
      <c r="D20" s="114">
        <f>MARCH!C41</f>
        <v>0</v>
      </c>
      <c r="E20" s="114">
        <f>MARCH!D41</f>
        <v>0</v>
      </c>
      <c r="F20" s="114">
        <f>MARCH!E41</f>
        <v>61.735374075979244</v>
      </c>
      <c r="G20" s="114">
        <f>MARCH!F41</f>
        <v>0</v>
      </c>
      <c r="H20" s="114">
        <f>MARCH!G41</f>
        <v>0</v>
      </c>
      <c r="I20" s="114">
        <f>MARCH!H41</f>
        <v>0</v>
      </c>
      <c r="J20" s="114">
        <f>MARCH!I41</f>
        <v>6266.3840293496114</v>
      </c>
      <c r="K20" s="114">
        <f>MARCH!J41</f>
        <v>27711.37871146834</v>
      </c>
      <c r="L20" s="115">
        <f>MARCH!K41</f>
        <v>2331.2248979342608</v>
      </c>
      <c r="M20" s="114">
        <f>MARCH!L41</f>
        <v>0</v>
      </c>
      <c r="N20" s="114">
        <f>MARCH!M41</f>
        <v>0</v>
      </c>
      <c r="O20" s="116">
        <f>MARCH!N41</f>
        <v>0</v>
      </c>
      <c r="P20" s="116">
        <f>MARCH!O41</f>
        <v>0</v>
      </c>
      <c r="Q20" s="114">
        <f>MARCH!P41</f>
        <v>0</v>
      </c>
      <c r="R20" s="114">
        <f>MARCH!Q41</f>
        <v>0</v>
      </c>
      <c r="S20" s="114">
        <f>MARCH!R41</f>
        <v>0</v>
      </c>
      <c r="T20" s="114">
        <f>MARCH!S41</f>
        <v>0</v>
      </c>
      <c r="U20" s="114">
        <f>MARCH!T41</f>
        <v>0</v>
      </c>
      <c r="V20" s="114">
        <f>MARCH!U41</f>
        <v>2676.2561836258565</v>
      </c>
      <c r="W20" s="114">
        <f>MARCH!V41</f>
        <v>0</v>
      </c>
      <c r="X20" s="114">
        <f>MARCH!W41</f>
        <v>1089.6556404618684</v>
      </c>
      <c r="Y20" s="114">
        <f>MARCH!X41</f>
        <v>0</v>
      </c>
      <c r="Z20" s="114">
        <f>MARCH!Y41</f>
        <v>10858.639208773933</v>
      </c>
      <c r="AA20" s="114">
        <f>MARCH!Z41</f>
        <v>0</v>
      </c>
      <c r="AB20" s="114">
        <f>MARCH!AA41</f>
        <v>0</v>
      </c>
      <c r="AC20" s="117">
        <f>MARCH!AB41</f>
        <v>0</v>
      </c>
      <c r="AD20" s="117">
        <f>MARCH!AC41</f>
        <v>0</v>
      </c>
      <c r="AE20" s="125"/>
      <c r="AF20" s="125"/>
      <c r="AG20" s="125"/>
      <c r="AH20" s="126"/>
    </row>
    <row r="21" spans="1:34" ht="15.75" customHeight="1" x14ac:dyDescent="0.25">
      <c r="A21" s="412"/>
      <c r="B21" s="90" t="s">
        <v>55</v>
      </c>
      <c r="C21" s="114">
        <f>APRIL!B41</f>
        <v>0</v>
      </c>
      <c r="D21" s="114">
        <f>APRIL!C41</f>
        <v>2464.2399484661073</v>
      </c>
      <c r="E21" s="114">
        <f>APRIL!D41</f>
        <v>65995.715533643379</v>
      </c>
      <c r="F21" s="114">
        <f>APRIL!E41</f>
        <v>1373.4821379275115</v>
      </c>
      <c r="G21" s="114">
        <f>APRIL!F41</f>
        <v>0</v>
      </c>
      <c r="H21" s="114">
        <f>APRIL!G41</f>
        <v>5345.1746435616806</v>
      </c>
      <c r="I21" s="114">
        <f>APRIL!H41</f>
        <v>5522.0721635335076</v>
      </c>
      <c r="J21" s="114">
        <f>APRIL!I41</f>
        <v>4536.9272326965638</v>
      </c>
      <c r="K21" s="114">
        <f>APRIL!J41</f>
        <v>16948.942484792304</v>
      </c>
      <c r="L21" s="115">
        <f>APRIL!K41</f>
        <v>1306.6276822648886</v>
      </c>
      <c r="M21" s="114">
        <f>APRIL!L41</f>
        <v>0</v>
      </c>
      <c r="N21" s="114">
        <f>APRIL!M41</f>
        <v>0</v>
      </c>
      <c r="O21" s="116">
        <f>APRIL!N41</f>
        <v>0</v>
      </c>
      <c r="P21" s="116">
        <f>APRIL!O41</f>
        <v>0</v>
      </c>
      <c r="Q21" s="114">
        <f>APRIL!P41</f>
        <v>0</v>
      </c>
      <c r="R21" s="114">
        <f>APRIL!Q41</f>
        <v>0</v>
      </c>
      <c r="S21" s="114">
        <f>APRIL!R41</f>
        <v>0</v>
      </c>
      <c r="T21" s="114">
        <f>APRIL!S41</f>
        <v>0</v>
      </c>
      <c r="U21" s="114">
        <f>APRIL!T41</f>
        <v>0</v>
      </c>
      <c r="V21" s="114">
        <f>APRIL!U41</f>
        <v>2113.2974797391853</v>
      </c>
      <c r="W21" s="114">
        <f>APRIL!V41</f>
        <v>1110.8577940412169</v>
      </c>
      <c r="X21" s="114">
        <f>APRIL!W41</f>
        <v>670.51938283740606</v>
      </c>
      <c r="Y21" s="114">
        <f>APRIL!X41</f>
        <v>349.91624971087953</v>
      </c>
      <c r="Z21" s="114">
        <f>APRIL!Y41</f>
        <v>3587.665236136821</v>
      </c>
      <c r="AA21" s="114">
        <f>APRIL!Z41</f>
        <v>1761.5268297129292</v>
      </c>
      <c r="AB21" s="114">
        <f>APRIL!AA41</f>
        <v>0</v>
      </c>
      <c r="AC21" s="117">
        <f>APRIL!AB41</f>
        <v>269.97194792697866</v>
      </c>
      <c r="AD21" s="117">
        <f>APRIL!AC41</f>
        <v>0</v>
      </c>
      <c r="AE21" s="125"/>
      <c r="AF21" s="125"/>
      <c r="AG21" s="125"/>
      <c r="AH21" s="126"/>
    </row>
    <row r="22" spans="1:34" ht="15.75" customHeight="1" x14ac:dyDescent="0.25">
      <c r="A22" s="412"/>
      <c r="B22" s="90" t="s">
        <v>56</v>
      </c>
      <c r="C22" s="114">
        <f>MAY!B41</f>
        <v>0</v>
      </c>
      <c r="D22" s="114">
        <f>MAY!C41</f>
        <v>3018.4287629851156</v>
      </c>
      <c r="E22" s="114">
        <f>MAY!D41</f>
        <v>83179.01108580592</v>
      </c>
      <c r="F22" s="114">
        <f>MAY!E41</f>
        <v>1732.6267609863651</v>
      </c>
      <c r="G22" s="114">
        <f>MAY!F41</f>
        <v>0</v>
      </c>
      <c r="H22" s="114">
        <f>MAY!G41</f>
        <v>6272.5549199507459</v>
      </c>
      <c r="I22" s="114">
        <f>MAY!H41</f>
        <v>7038.3399848399986</v>
      </c>
      <c r="J22" s="114">
        <f>MAY!I41</f>
        <v>7817.8502116077316</v>
      </c>
      <c r="K22" s="114">
        <f>MAY!J41</f>
        <v>27113.221784166682</v>
      </c>
      <c r="L22" s="115">
        <f>MAY!K41</f>
        <v>2093.2322924764162</v>
      </c>
      <c r="M22" s="114">
        <f>MAY!L41</f>
        <v>3.220514831900527E-2</v>
      </c>
      <c r="N22" s="114">
        <f>MAY!M41</f>
        <v>0</v>
      </c>
      <c r="O22" s="116">
        <f>MAY!N41</f>
        <v>0</v>
      </c>
      <c r="P22" s="116">
        <f>MAY!O41</f>
        <v>0</v>
      </c>
      <c r="Q22" s="114">
        <f>MAY!P41</f>
        <v>0</v>
      </c>
      <c r="R22" s="114">
        <f>MAY!Q41</f>
        <v>0</v>
      </c>
      <c r="S22" s="114">
        <f>MAY!R41</f>
        <v>0</v>
      </c>
      <c r="T22" s="114">
        <f>MAY!S41</f>
        <v>0</v>
      </c>
      <c r="U22" s="114">
        <f>MAY!T41</f>
        <v>0</v>
      </c>
      <c r="V22" s="114">
        <f>MAY!U41</f>
        <v>2642.6071554363434</v>
      </c>
      <c r="W22" s="114">
        <f>MAY!V41</f>
        <v>1116.7775548902512</v>
      </c>
      <c r="X22" s="114">
        <f>MAY!W41</f>
        <v>1048.3619122592854</v>
      </c>
      <c r="Y22" s="114">
        <f>MAY!X41</f>
        <v>442.02329224639556</v>
      </c>
      <c r="Z22" s="114">
        <f>MAY!Y41</f>
        <v>6112.9533911959461</v>
      </c>
      <c r="AA22" s="114">
        <f>MAY!Z41</f>
        <v>2465.0740969705862</v>
      </c>
      <c r="AB22" s="114">
        <f>MAY!AA41</f>
        <v>0</v>
      </c>
      <c r="AC22" s="117">
        <f>MAY!AB41</f>
        <v>1850.6606023502206</v>
      </c>
      <c r="AD22" s="117">
        <f>MAY!AC41</f>
        <v>0</v>
      </c>
      <c r="AE22" s="125"/>
      <c r="AF22" s="125"/>
      <c r="AG22" s="125"/>
      <c r="AH22" s="126"/>
    </row>
    <row r="23" spans="1:34" ht="15.75" customHeight="1" x14ac:dyDescent="0.25">
      <c r="A23" s="412"/>
      <c r="B23" s="90" t="s">
        <v>57</v>
      </c>
      <c r="C23" s="114">
        <f>JUNE!B41</f>
        <v>0</v>
      </c>
      <c r="D23" s="114">
        <f>JUNE!C41</f>
        <v>8222.4183239675276</v>
      </c>
      <c r="E23" s="114">
        <f>JUNE!D41</f>
        <v>133441.16601929083</v>
      </c>
      <c r="F23" s="114">
        <f>JUNE!E41</f>
        <v>3015.9372921898926</v>
      </c>
      <c r="G23" s="114">
        <f>JUNE!F41</f>
        <v>0</v>
      </c>
      <c r="H23" s="114">
        <f>JUNE!G41</f>
        <v>10209.171708089831</v>
      </c>
      <c r="I23" s="114">
        <f>JUNE!H41</f>
        <v>8965.4771721634497</v>
      </c>
      <c r="J23" s="114">
        <f>JUNE!I41</f>
        <v>14337.415972975867</v>
      </c>
      <c r="K23" s="114">
        <f>JUNE!J41</f>
        <v>50553.70625954499</v>
      </c>
      <c r="L23" s="115">
        <f>JUNE!K41</f>
        <v>3460.0031637307998</v>
      </c>
      <c r="M23" s="114">
        <f>JUNE!L41</f>
        <v>0.17054494125873879</v>
      </c>
      <c r="N23" s="114">
        <f>JUNE!M41</f>
        <v>0</v>
      </c>
      <c r="O23" s="116">
        <f>JUNE!N41</f>
        <v>0</v>
      </c>
      <c r="P23" s="116">
        <f>JUNE!O41</f>
        <v>0</v>
      </c>
      <c r="Q23" s="114">
        <f>JUNE!P41</f>
        <v>0</v>
      </c>
      <c r="R23" s="114">
        <f>JUNE!Q41</f>
        <v>0</v>
      </c>
      <c r="S23" s="114">
        <f>JUNE!R41</f>
        <v>0</v>
      </c>
      <c r="T23" s="114">
        <f>JUNE!S41</f>
        <v>0</v>
      </c>
      <c r="U23" s="114">
        <f>JUNE!T41</f>
        <v>0</v>
      </c>
      <c r="V23" s="114">
        <f>JUNE!U41</f>
        <v>3473.0455185330338</v>
      </c>
      <c r="W23" s="114">
        <f>JUNE!V41</f>
        <v>1603.379328080362</v>
      </c>
      <c r="X23" s="114">
        <f>JUNE!W41</f>
        <v>1374.719227874059</v>
      </c>
      <c r="Y23" s="114">
        <f>JUNE!X41</f>
        <v>634.99863428343986</v>
      </c>
      <c r="Z23" s="114">
        <f>JUNE!Y41</f>
        <v>11809.001399784009</v>
      </c>
      <c r="AA23" s="114">
        <f>JUNE!Z41</f>
        <v>5440.2853904901831</v>
      </c>
      <c r="AB23" s="114">
        <f>JUNE!AA41</f>
        <v>0</v>
      </c>
      <c r="AC23" s="117">
        <f>JUNE!AB41</f>
        <v>1793.8750502725397</v>
      </c>
      <c r="AD23" s="117">
        <f>JUNE!AC41</f>
        <v>0</v>
      </c>
      <c r="AE23" s="125"/>
      <c r="AF23" s="125"/>
      <c r="AG23" s="125"/>
      <c r="AH23" s="126"/>
    </row>
    <row r="24" spans="1:34" ht="15.75" customHeight="1" x14ac:dyDescent="0.25">
      <c r="A24" s="412"/>
      <c r="B24" s="90" t="s">
        <v>58</v>
      </c>
      <c r="C24" s="114">
        <f>JULY!B41</f>
        <v>0</v>
      </c>
      <c r="D24" s="114">
        <f>JULY!C41</f>
        <v>11460.947564843413</v>
      </c>
      <c r="E24" s="114">
        <f>JULY!D41</f>
        <v>140142.60068675477</v>
      </c>
      <c r="F24" s="114">
        <f>JULY!E41</f>
        <v>3979.178076503144</v>
      </c>
      <c r="G24" s="114">
        <f>JULY!F41</f>
        <v>0</v>
      </c>
      <c r="H24" s="114">
        <f>JULY!G41</f>
        <v>11364.769828210447</v>
      </c>
      <c r="I24" s="114">
        <f>JULY!H41</f>
        <v>9404.5640931854414</v>
      </c>
      <c r="J24" s="114">
        <f>JULY!I41</f>
        <v>18340.372233916492</v>
      </c>
      <c r="K24" s="114">
        <f>JULY!J41</f>
        <v>57638.32735677372</v>
      </c>
      <c r="L24" s="115">
        <f>JULY!K41</f>
        <v>3595.2092588124169</v>
      </c>
      <c r="M24" s="114">
        <f>JULY!L41</f>
        <v>0</v>
      </c>
      <c r="N24" s="114">
        <f>JULY!M41</f>
        <v>0</v>
      </c>
      <c r="O24" s="116">
        <f>JULY!N41</f>
        <v>0</v>
      </c>
      <c r="P24" s="116">
        <f>JULY!O41</f>
        <v>0</v>
      </c>
      <c r="Q24" s="114">
        <f>JULY!P41</f>
        <v>0</v>
      </c>
      <c r="R24" s="114">
        <f>JULY!Q41</f>
        <v>0</v>
      </c>
      <c r="S24" s="114">
        <f>JULY!R41</f>
        <v>0</v>
      </c>
      <c r="T24" s="114">
        <f>JULY!S41</f>
        <v>0</v>
      </c>
      <c r="U24" s="114">
        <f>JULY!T41</f>
        <v>0</v>
      </c>
      <c r="V24" s="114">
        <f>JULY!U41</f>
        <v>3391.6696966123232</v>
      </c>
      <c r="W24" s="114">
        <f>JULY!V41</f>
        <v>1816.8618324478875</v>
      </c>
      <c r="X24" s="114">
        <f>JULY!W41</f>
        <v>1354.4679757910533</v>
      </c>
      <c r="Y24" s="114">
        <f>JULY!X41</f>
        <v>725.56394680524136</v>
      </c>
      <c r="Z24" s="114">
        <f>JULY!Y41</f>
        <v>19282.364363441313</v>
      </c>
      <c r="AA24" s="114">
        <f>JULY!Z41</f>
        <v>10292.513999115845</v>
      </c>
      <c r="AB24" s="114">
        <f>JULY!AA41</f>
        <v>0</v>
      </c>
      <c r="AC24" s="117">
        <f>JULY!AB41</f>
        <v>1858.5806379743492</v>
      </c>
      <c r="AD24" s="117">
        <f>JULY!AC41</f>
        <v>0</v>
      </c>
      <c r="AE24" s="125"/>
      <c r="AF24" s="125"/>
      <c r="AG24" s="125"/>
      <c r="AH24" s="126"/>
    </row>
    <row r="25" spans="1:34" ht="15.75" customHeight="1" x14ac:dyDescent="0.25">
      <c r="A25" s="412"/>
      <c r="B25" s="90" t="s">
        <v>59</v>
      </c>
      <c r="C25" s="114">
        <f>AUGUST!B41</f>
        <v>0</v>
      </c>
      <c r="D25" s="114">
        <f>AUGUST!C41</f>
        <v>7405.5574356400703</v>
      </c>
      <c r="E25" s="114">
        <f>AUGUST!D41</f>
        <v>119193.13435698795</v>
      </c>
      <c r="F25" s="114">
        <f>AUGUST!E41</f>
        <v>3398.3983191133525</v>
      </c>
      <c r="G25" s="114">
        <f>AUGUST!F41</f>
        <v>0</v>
      </c>
      <c r="H25" s="114">
        <f>AUGUST!G41</f>
        <v>9004.8506491371609</v>
      </c>
      <c r="I25" s="114">
        <f>AUGUST!H41</f>
        <v>8121.8213232563867</v>
      </c>
      <c r="J25" s="114">
        <f>AUGUST!I41</f>
        <v>16928.124746176902</v>
      </c>
      <c r="K25" s="114">
        <f>AUGUST!J41</f>
        <v>59970.401250544419</v>
      </c>
      <c r="L25" s="115">
        <f>AUGUST!K41</f>
        <v>3544.9575051040301</v>
      </c>
      <c r="M25" s="114">
        <f>AUGUST!L41</f>
        <v>1.768558087563522E-2</v>
      </c>
      <c r="N25" s="114">
        <f>AUGUST!M41</f>
        <v>0</v>
      </c>
      <c r="O25" s="116">
        <f>AUGUST!N41</f>
        <v>0</v>
      </c>
      <c r="P25" s="116">
        <f>AUGUST!O41</f>
        <v>0</v>
      </c>
      <c r="Q25" s="114">
        <f>AUGUST!P41</f>
        <v>0</v>
      </c>
      <c r="R25" s="114">
        <f>AUGUST!Q41</f>
        <v>0</v>
      </c>
      <c r="S25" s="114">
        <f>AUGUST!R41</f>
        <v>0</v>
      </c>
      <c r="T25" s="114">
        <f>AUGUST!S41</f>
        <v>0</v>
      </c>
      <c r="U25" s="114">
        <f>AUGUST!T41</f>
        <v>0</v>
      </c>
      <c r="V25" s="114">
        <f>AUGUST!U41</f>
        <v>3417.6115658142339</v>
      </c>
      <c r="W25" s="114">
        <f>AUGUST!V41</f>
        <v>1646.1674107406416</v>
      </c>
      <c r="X25" s="114">
        <f>AUGUST!W41</f>
        <v>1345.9865519519824</v>
      </c>
      <c r="Y25" s="114">
        <f>AUGUST!X41</f>
        <v>648.81751366796937</v>
      </c>
      <c r="Z25" s="114">
        <f>AUGUST!Y41</f>
        <v>19867.281941991281</v>
      </c>
      <c r="AA25" s="114">
        <f>AUGUST!Z41</f>
        <v>9470.2116536159629</v>
      </c>
      <c r="AB25" s="114">
        <f>AUGUST!AA41</f>
        <v>0</v>
      </c>
      <c r="AC25" s="117">
        <f>AUGUST!AB41</f>
        <v>745.59631782253382</v>
      </c>
      <c r="AD25" s="117">
        <f>AUGUST!AC41</f>
        <v>0</v>
      </c>
      <c r="AE25" s="125"/>
      <c r="AF25" s="125"/>
      <c r="AG25" s="125"/>
      <c r="AH25" s="126"/>
    </row>
    <row r="26" spans="1:34" ht="15.75" customHeight="1" x14ac:dyDescent="0.25">
      <c r="A26" s="412"/>
      <c r="B26" s="90" t="s">
        <v>60</v>
      </c>
      <c r="C26" s="114">
        <f>SEPTEMBER!B41</f>
        <v>0</v>
      </c>
      <c r="D26" s="114">
        <f>SEPTEMBER!C41</f>
        <v>3610.7881680946552</v>
      </c>
      <c r="E26" s="114">
        <f>SEPTEMBER!D41</f>
        <v>62328.910324059761</v>
      </c>
      <c r="F26" s="114">
        <f>SEPTEMBER!E41</f>
        <v>1819.5374889223599</v>
      </c>
      <c r="G26" s="114">
        <f>SEPTEMBER!F41</f>
        <v>0</v>
      </c>
      <c r="H26" s="114">
        <f>SEPTEMBER!G41</f>
        <v>4623.7203323112499</v>
      </c>
      <c r="I26" s="114">
        <f>SEPTEMBER!H41</f>
        <v>4325.1514027593212</v>
      </c>
      <c r="J26" s="114">
        <f>SEPTEMBER!I41</f>
        <v>13562.247634076039</v>
      </c>
      <c r="K26" s="114">
        <f>SEPTEMBER!J41</f>
        <v>51699.038344524364</v>
      </c>
      <c r="L26" s="115">
        <f>SEPTEMBER!K41</f>
        <v>3067.2196025233807</v>
      </c>
      <c r="M26" s="114">
        <f>SEPTEMBER!L41</f>
        <v>1.9973061339283338E-2</v>
      </c>
      <c r="N26" s="114">
        <f>SEPTEMBER!M41</f>
        <v>0</v>
      </c>
      <c r="O26" s="116">
        <f>SEPTEMBER!N41</f>
        <v>0</v>
      </c>
      <c r="P26" s="116">
        <f>SEPTEMBER!O41</f>
        <v>0</v>
      </c>
      <c r="Q26" s="114">
        <f>SEPTEMBER!P41</f>
        <v>0</v>
      </c>
      <c r="R26" s="114">
        <f>SEPTEMBER!Q41</f>
        <v>0</v>
      </c>
      <c r="S26" s="114">
        <f>SEPTEMBER!R41</f>
        <v>0</v>
      </c>
      <c r="T26" s="114">
        <f>SEPTEMBER!S41</f>
        <v>0</v>
      </c>
      <c r="U26" s="114">
        <f>SEPTEMBER!T41</f>
        <v>0</v>
      </c>
      <c r="V26" s="114">
        <f>SEPTEMBER!U41</f>
        <v>3010.4519992295327</v>
      </c>
      <c r="W26" s="114">
        <f>SEPTEMBER!V41</f>
        <v>865.48594656604701</v>
      </c>
      <c r="X26" s="114">
        <f>SEPTEMBER!W41</f>
        <v>1193.0175291819714</v>
      </c>
      <c r="Y26" s="114">
        <f>SEPTEMBER!X41</f>
        <v>341.55405861963425</v>
      </c>
      <c r="Z26" s="114">
        <f>SEPTEMBER!Y41</f>
        <v>19348.807277942884</v>
      </c>
      <c r="AA26" s="114">
        <f>SEPTEMBER!Z41</f>
        <v>5548.7102986038726</v>
      </c>
      <c r="AB26" s="114">
        <f>SEPTEMBER!AA41</f>
        <v>0</v>
      </c>
      <c r="AC26" s="117">
        <f>SEPTEMBER!AB41</f>
        <v>0</v>
      </c>
      <c r="AD26" s="117">
        <f>SEPTEMBER!AC41</f>
        <v>0</v>
      </c>
      <c r="AE26" s="125"/>
      <c r="AF26" s="125"/>
      <c r="AG26" s="125"/>
      <c r="AH26" s="126"/>
    </row>
    <row r="27" spans="1:34" ht="15.75" customHeight="1" x14ac:dyDescent="0.25">
      <c r="A27" s="412"/>
      <c r="B27" s="90" t="s">
        <v>61</v>
      </c>
      <c r="C27" s="114">
        <f>OCTOBER!B41</f>
        <v>0</v>
      </c>
      <c r="D27" s="114">
        <f>OCTOBER!C41</f>
        <v>3526.4390345067773</v>
      </c>
      <c r="E27" s="114">
        <f>OCTOBER!D41</f>
        <v>58881.213443488989</v>
      </c>
      <c r="F27" s="114">
        <f>OCTOBER!E41</f>
        <v>1499.7693525422403</v>
      </c>
      <c r="G27" s="114">
        <f>OCTOBER!F41</f>
        <v>0</v>
      </c>
      <c r="H27" s="114">
        <f>OCTOBER!G41</f>
        <v>3421.7375498528668</v>
      </c>
      <c r="I27" s="114">
        <f>OCTOBER!H41</f>
        <v>5463.6673761734928</v>
      </c>
      <c r="J27" s="114">
        <f>OCTOBER!I41</f>
        <v>9198.0288525763826</v>
      </c>
      <c r="K27" s="114">
        <f>OCTOBER!J41</f>
        <v>31395.036103378377</v>
      </c>
      <c r="L27" s="115">
        <f>OCTOBER!K41</f>
        <v>1760.9896403892103</v>
      </c>
      <c r="M27" s="114">
        <f>OCTOBER!L41</f>
        <v>0.30819500788851145</v>
      </c>
      <c r="N27" s="114">
        <f>OCTOBER!M41</f>
        <v>0</v>
      </c>
      <c r="O27" s="116">
        <f>OCTOBER!N41</f>
        <v>0</v>
      </c>
      <c r="P27" s="116">
        <f>OCTOBER!O41</f>
        <v>0</v>
      </c>
      <c r="Q27" s="114">
        <f>OCTOBER!P41</f>
        <v>0</v>
      </c>
      <c r="R27" s="114">
        <f>OCTOBER!Q41</f>
        <v>0</v>
      </c>
      <c r="S27" s="114">
        <f>OCTOBER!R41</f>
        <v>0</v>
      </c>
      <c r="T27" s="114">
        <f>OCTOBER!S41</f>
        <v>0</v>
      </c>
      <c r="U27" s="114">
        <f>OCTOBER!T41</f>
        <v>0</v>
      </c>
      <c r="V27" s="114">
        <f>OCTOBER!U41</f>
        <v>1853.0827751310319</v>
      </c>
      <c r="W27" s="114">
        <f>OCTOBER!V41</f>
        <v>909.10671016180243</v>
      </c>
      <c r="X27" s="114">
        <f>OCTOBER!W41</f>
        <v>756.35868423333477</v>
      </c>
      <c r="Y27" s="114">
        <f>OCTOBER!X41</f>
        <v>370.11791140064327</v>
      </c>
      <c r="Z27" s="114">
        <f>OCTOBER!Y41</f>
        <v>11029.114787536426</v>
      </c>
      <c r="AA27" s="114">
        <f>OCTOBER!Z41</f>
        <v>5378.3662199046857</v>
      </c>
      <c r="AB27" s="114">
        <f>OCTOBER!AA41</f>
        <v>0</v>
      </c>
      <c r="AC27" s="117">
        <f>OCTOBER!AB41</f>
        <v>0</v>
      </c>
      <c r="AD27" s="117">
        <f>OCTOBER!AC41</f>
        <v>0</v>
      </c>
      <c r="AE27" s="125"/>
      <c r="AF27" s="125"/>
      <c r="AG27" s="125"/>
      <c r="AH27" s="126"/>
    </row>
    <row r="28" spans="1:34" ht="15.75" customHeight="1" x14ac:dyDescent="0.25">
      <c r="A28" s="412"/>
      <c r="B28" s="90" t="s">
        <v>62</v>
      </c>
      <c r="C28" s="114">
        <f>NOVEMBER!B41</f>
        <v>0</v>
      </c>
      <c r="D28" s="114">
        <f>NOVEMBER!C41</f>
        <v>0</v>
      </c>
      <c r="E28" s="114">
        <f>NOVEMBER!D41</f>
        <v>0</v>
      </c>
      <c r="F28" s="114">
        <f>NOVEMBER!E41</f>
        <v>60.52117830610289</v>
      </c>
      <c r="G28" s="114">
        <f>NOVEMBER!F41</f>
        <v>0</v>
      </c>
      <c r="H28" s="114">
        <f>NOVEMBER!G41</f>
        <v>0</v>
      </c>
      <c r="I28" s="114">
        <f>NOVEMBER!H41</f>
        <v>0</v>
      </c>
      <c r="J28" s="114">
        <f>NOVEMBER!I41</f>
        <v>8712.2744113178323</v>
      </c>
      <c r="K28" s="114">
        <f>NOVEMBER!J41</f>
        <v>38908.635365518981</v>
      </c>
      <c r="L28" s="115">
        <f>NOVEMBER!K41</f>
        <v>2243.8382457875291</v>
      </c>
      <c r="M28" s="114">
        <f>NOVEMBER!L41</f>
        <v>0.34566652041092244</v>
      </c>
      <c r="N28" s="114">
        <f>NOVEMBER!M41</f>
        <v>0</v>
      </c>
      <c r="O28" s="116">
        <f>NOVEMBER!N41</f>
        <v>0</v>
      </c>
      <c r="P28" s="116">
        <f>NOVEMBER!O41</f>
        <v>0</v>
      </c>
      <c r="Q28" s="114">
        <f>NOVEMBER!P41</f>
        <v>0</v>
      </c>
      <c r="R28" s="114">
        <f>NOVEMBER!Q41</f>
        <v>0</v>
      </c>
      <c r="S28" s="114">
        <f>NOVEMBER!R41</f>
        <v>0</v>
      </c>
      <c r="T28" s="114">
        <f>NOVEMBER!S41</f>
        <v>0</v>
      </c>
      <c r="U28" s="114">
        <f>NOVEMBER!T41</f>
        <v>0</v>
      </c>
      <c r="V28" s="114">
        <f>NOVEMBER!U41</f>
        <v>2392.2579294844531</v>
      </c>
      <c r="W28" s="114">
        <f>NOVEMBER!V41</f>
        <v>0</v>
      </c>
      <c r="X28" s="114">
        <f>NOVEMBER!W41</f>
        <v>982.95874100557614</v>
      </c>
      <c r="Y28" s="114">
        <f>NOVEMBER!X41</f>
        <v>0</v>
      </c>
      <c r="Z28" s="114">
        <f>NOVEMBER!Y41</f>
        <v>18813.592943713735</v>
      </c>
      <c r="AA28" s="114">
        <f>NOVEMBER!Z41</f>
        <v>0</v>
      </c>
      <c r="AB28" s="114">
        <f>NOVEMBER!AA41</f>
        <v>0</v>
      </c>
      <c r="AC28" s="117">
        <f>NOVEMBER!AB41</f>
        <v>0</v>
      </c>
      <c r="AD28" s="117">
        <f>NOVEMBER!AC41</f>
        <v>0</v>
      </c>
      <c r="AE28" s="125"/>
      <c r="AF28" s="125"/>
      <c r="AG28" s="125"/>
      <c r="AH28" s="126"/>
    </row>
    <row r="29" spans="1:34" ht="15.75" customHeight="1" x14ac:dyDescent="0.25">
      <c r="A29" s="413"/>
      <c r="B29" s="92" t="s">
        <v>63</v>
      </c>
      <c r="C29" s="118">
        <f>DECEMBER!B41</f>
        <v>0</v>
      </c>
      <c r="D29" s="118">
        <f>DECEMBER!C41</f>
        <v>0</v>
      </c>
      <c r="E29" s="118">
        <f>DECEMBER!D41</f>
        <v>0</v>
      </c>
      <c r="F29" s="118">
        <f>DECEMBER!E41</f>
        <v>0</v>
      </c>
      <c r="G29" s="118">
        <f>DECEMBER!F41</f>
        <v>0</v>
      </c>
      <c r="H29" s="118">
        <f>DECEMBER!G41</f>
        <v>0</v>
      </c>
      <c r="I29" s="118">
        <f>DECEMBER!H41</f>
        <v>0</v>
      </c>
      <c r="J29" s="118">
        <f>DECEMBER!I41</f>
        <v>6635.4701710001382</v>
      </c>
      <c r="K29" s="118">
        <f>DECEMBER!J41</f>
        <v>33627.474459243531</v>
      </c>
      <c r="L29" s="119">
        <f>DECEMBER!K41</f>
        <v>2632.1869419565965</v>
      </c>
      <c r="M29" s="118">
        <f>DECEMBER!L41</f>
        <v>0</v>
      </c>
      <c r="N29" s="118">
        <f>DECEMBER!M41</f>
        <v>0</v>
      </c>
      <c r="O29" s="120">
        <f>DECEMBER!N41</f>
        <v>0</v>
      </c>
      <c r="P29" s="120">
        <f>DECEMBER!O41</f>
        <v>0</v>
      </c>
      <c r="Q29" s="118">
        <f>DECEMBER!P41</f>
        <v>0</v>
      </c>
      <c r="R29" s="118">
        <f>DECEMBER!Q41</f>
        <v>0</v>
      </c>
      <c r="S29" s="118">
        <f>DECEMBER!R41</f>
        <v>0</v>
      </c>
      <c r="T29" s="118">
        <f>DECEMBER!S41</f>
        <v>0</v>
      </c>
      <c r="U29" s="118">
        <f>DECEMBER!T41</f>
        <v>0</v>
      </c>
      <c r="V29" s="118">
        <f>DECEMBER!U41</f>
        <v>2469.5457442983793</v>
      </c>
      <c r="W29" s="118">
        <f>DECEMBER!V41</f>
        <v>0</v>
      </c>
      <c r="X29" s="118">
        <f>DECEMBER!W41</f>
        <v>1075.1316549021906</v>
      </c>
      <c r="Y29" s="118">
        <f>DECEMBER!X41</f>
        <v>0</v>
      </c>
      <c r="Z29" s="118">
        <f>DECEMBER!Y41</f>
        <v>15307.915114670983</v>
      </c>
      <c r="AA29" s="118">
        <f>DECEMBER!Z41</f>
        <v>0</v>
      </c>
      <c r="AB29" s="118">
        <f>DECEMBER!AA41</f>
        <v>0</v>
      </c>
      <c r="AC29" s="121">
        <f>DECEMBER!AB41</f>
        <v>0</v>
      </c>
      <c r="AD29" s="121">
        <f>DECEMBER!AC41</f>
        <v>0</v>
      </c>
      <c r="AE29" s="127"/>
      <c r="AF29" s="127"/>
      <c r="AG29" s="127"/>
      <c r="AH29" s="128"/>
    </row>
    <row r="30" spans="1:34" ht="15.75" customHeight="1" thickBot="1" x14ac:dyDescent="0.3">
      <c r="A30" s="97" t="s">
        <v>88</v>
      </c>
      <c r="B30" s="98" t="s">
        <v>64</v>
      </c>
      <c r="C30" s="122">
        <f>SUM(C18:C29)</f>
        <v>0</v>
      </c>
      <c r="D30" s="122">
        <f t="shared" ref="D30:AD30" si="1">SUM(D18:D29)</f>
        <v>47620.341562064437</v>
      </c>
      <c r="E30" s="122">
        <f t="shared" si="1"/>
        <v>807597.32483354118</v>
      </c>
      <c r="F30" s="122">
        <f t="shared" si="1"/>
        <v>19787.861215791898</v>
      </c>
      <c r="G30" s="122">
        <f t="shared" si="1"/>
        <v>0</v>
      </c>
      <c r="H30" s="122">
        <f t="shared" si="1"/>
        <v>60053.357641430965</v>
      </c>
      <c r="I30" s="122">
        <f t="shared" si="1"/>
        <v>59999.49141989569</v>
      </c>
      <c r="J30" s="122">
        <f t="shared" si="1"/>
        <v>115556.20550386541</v>
      </c>
      <c r="K30" s="122">
        <f t="shared" si="1"/>
        <v>428584.46831558604</v>
      </c>
      <c r="L30" s="122">
        <f t="shared" si="1"/>
        <v>29772.617459920464</v>
      </c>
      <c r="M30" s="122">
        <f t="shared" si="1"/>
        <v>275.37744327888532</v>
      </c>
      <c r="N30" s="122">
        <f t="shared" si="1"/>
        <v>0</v>
      </c>
      <c r="O30" s="122">
        <f t="shared" si="1"/>
        <v>0</v>
      </c>
      <c r="P30" s="122">
        <f t="shared" si="1"/>
        <v>0</v>
      </c>
      <c r="Q30" s="122">
        <f t="shared" si="1"/>
        <v>0</v>
      </c>
      <c r="R30" s="122">
        <f t="shared" si="1"/>
        <v>0</v>
      </c>
      <c r="S30" s="122">
        <f t="shared" si="1"/>
        <v>0</v>
      </c>
      <c r="T30" s="122">
        <f t="shared" si="1"/>
        <v>0</v>
      </c>
      <c r="U30" s="122">
        <f t="shared" si="1"/>
        <v>0</v>
      </c>
      <c r="V30" s="122">
        <f t="shared" si="1"/>
        <v>31056.387445502933</v>
      </c>
      <c r="W30" s="122">
        <f t="shared" si="1"/>
        <v>10795.253969314434</v>
      </c>
      <c r="X30" s="122">
        <f t="shared" si="1"/>
        <v>12354.69627290023</v>
      </c>
      <c r="Y30" s="122">
        <f t="shared" si="1"/>
        <v>4211.6854321686324</v>
      </c>
      <c r="Z30" s="122">
        <f t="shared" si="1"/>
        <v>142726.41878092449</v>
      </c>
      <c r="AA30" s="122">
        <f t="shared" si="1"/>
        <v>43559.699330097996</v>
      </c>
      <c r="AB30" s="122">
        <f t="shared" si="1"/>
        <v>0</v>
      </c>
      <c r="AC30" s="122">
        <f t="shared" si="1"/>
        <v>6518.6845563466222</v>
      </c>
      <c r="AD30" s="122">
        <f t="shared" si="1"/>
        <v>0</v>
      </c>
      <c r="AE30" s="129" t="str">
        <f>IF(SUM(AE18:AE29)&gt;0, AVERAGE(AE18:AE29), "")</f>
        <v/>
      </c>
      <c r="AF30" s="129" t="str">
        <f>IF(SUM(AF18:AF29)&gt;0, AVERAGE(AF18:AF29), "")</f>
        <v/>
      </c>
      <c r="AG30" s="129" t="str">
        <f>IF(SUM(AG18:AG29)&gt;0, AVERAGE(AG18:AG29), "")</f>
        <v/>
      </c>
      <c r="AH30" s="225" t="str">
        <f>IF(SUM(AH18:AH29)&gt;0, AVERAGE(AH18:AH29), "")</f>
        <v/>
      </c>
    </row>
    <row r="31" spans="1:34" ht="16.5" customHeight="1" thickTop="1" x14ac:dyDescent="0.25"/>
    <row r="32" spans="1:34" ht="15.75" thickBot="1" x14ac:dyDescent="0.3">
      <c r="C32" s="329" t="s">
        <v>201</v>
      </c>
      <c r="D32" s="329" t="s">
        <v>202</v>
      </c>
      <c r="E32" s="329" t="s">
        <v>203</v>
      </c>
    </row>
    <row r="33" spans="1:5" ht="15.75" customHeight="1" thickTop="1" x14ac:dyDescent="0.25">
      <c r="A33" s="408" t="s">
        <v>204</v>
      </c>
      <c r="B33" s="89" t="s">
        <v>52</v>
      </c>
      <c r="C33" s="324">
        <f>IF(ISNUMBER(JANUARY!B51)=TRUE,JANUARY!B51,"")</f>
        <v>0.82134470754645161</v>
      </c>
      <c r="D33" s="324">
        <f>IF(ISNUMBER(JANUARY!E51)=TRUE,JANUARY!E51,"")</f>
        <v>1.5763534549318641</v>
      </c>
      <c r="E33" s="324">
        <f>IF(ISNUMBER(JANUARY!H51)=TRUE,JANUARY!H51,"")</f>
        <v>0.4777178448758802</v>
      </c>
    </row>
    <row r="34" spans="1:5" ht="15.75" customHeight="1" x14ac:dyDescent="0.25">
      <c r="A34" s="409"/>
      <c r="B34" s="90" t="s">
        <v>53</v>
      </c>
      <c r="C34" s="325">
        <f>IF(ISNUMBER(FEBRUARY!$B$51)=TRUE,FEBRUARY!$B$51,"")</f>
        <v>0.85326321406079675</v>
      </c>
      <c r="D34" s="325">
        <f>IF(ISNUMBER(FEBRUARY!$E$51)=TRUE,FEBRUARY!$E$51,"")</f>
        <v>1.6309384143074261</v>
      </c>
      <c r="E34" s="325">
        <f>IF(ISNUMBER(FEBRUARY!$H$51)=TRUE,FEBRUARY!$H$51,"")</f>
        <v>0.50194397718779882</v>
      </c>
    </row>
    <row r="35" spans="1:5" x14ac:dyDescent="0.25">
      <c r="A35" s="409"/>
      <c r="B35" s="90" t="s">
        <v>54</v>
      </c>
      <c r="C35" s="325">
        <f>IF(ISNUMBER(MARCH!$B$51)=TRUE,MARCH!$B$51,"")</f>
        <v>0.57567046697134072</v>
      </c>
      <c r="D35" s="325" t="str">
        <f>IF(ISNUMBER(MARCH!$E$51)=TRUE,MARCH!$E$51,"")</f>
        <v/>
      </c>
      <c r="E35" s="325">
        <f>IF(ISNUMBER(MARCH!$H$51)=TRUE,MARCH!$H$51,"")</f>
        <v>0.34761056032455467</v>
      </c>
    </row>
    <row r="36" spans="1:5" x14ac:dyDescent="0.25">
      <c r="A36" s="409"/>
      <c r="B36" s="90" t="s">
        <v>55</v>
      </c>
      <c r="C36" s="325">
        <f>IF(ISNUMBER(APRIL!$B$51)=TRUE,APRIL!$B$51,"")</f>
        <v>0.81069379416447707</v>
      </c>
      <c r="D36" s="325">
        <f>IF(ISNUMBER(APRIL!$E$51)=TRUE,APRIL!$E$51,"")</f>
        <v>1.4781680902679379</v>
      </c>
      <c r="E36" s="325">
        <f>IF(ISNUMBER(APRIL!$H$51)=TRUE,APRIL!$H$51,"")</f>
        <v>0.48181850966970963</v>
      </c>
    </row>
    <row r="37" spans="1:5" x14ac:dyDescent="0.25">
      <c r="A37" s="409"/>
      <c r="B37" s="90" t="s">
        <v>56</v>
      </c>
      <c r="C37" s="325">
        <f>IF(ISNUMBER(MAY!$B$51)=TRUE,MAY!$B$51,"")</f>
        <v>0.76813695173374452</v>
      </c>
      <c r="D37" s="325">
        <f>IF(ISNUMBER(MAY!$E$51)=TRUE,MAY!$E$51,"")</f>
        <v>1.5150601256068814</v>
      </c>
      <c r="E37" s="325">
        <f>IF(ISNUMBER(MAY!$H$51)=TRUE,MAY!$H$51,"")</f>
        <v>0.46522969397057307</v>
      </c>
    </row>
    <row r="38" spans="1:5" x14ac:dyDescent="0.25">
      <c r="A38" s="409"/>
      <c r="B38" s="90" t="s">
        <v>57</v>
      </c>
      <c r="C38" s="325">
        <f>IF(ISNUMBER(JUNE!$B$51)=TRUE,JUNE!$B$51,"")</f>
        <v>0.57935747643958235</v>
      </c>
      <c r="D38" s="325">
        <f>IF(ISNUMBER(JUNE!$E$51)=TRUE,JUNE!$E$51,"")</f>
        <v>1.134795075868579</v>
      </c>
      <c r="E38" s="325">
        <f>IF(ISNUMBER(JUNE!$H$51)=TRUE,JUNE!$H$51,"")</f>
        <v>0.33133597593604031</v>
      </c>
    </row>
    <row r="39" spans="1:5" x14ac:dyDescent="0.25">
      <c r="A39" s="409"/>
      <c r="B39" s="90" t="s">
        <v>58</v>
      </c>
      <c r="C39" s="325">
        <f>IF(ISNUMBER(JULY!$B$51)=TRUE,JULY!$B$51,"")</f>
        <v>0.66550422355570571</v>
      </c>
      <c r="D39" s="325">
        <f>IF(ISNUMBER(JULY!$E$51)=TRUE,JULY!$E$51,"")</f>
        <v>1.158078761260924</v>
      </c>
      <c r="E39" s="325">
        <f>IF(ISNUMBER(JULY!$H$51)=TRUE,JULY!$H$51,"")</f>
        <v>0.4128027247674339</v>
      </c>
    </row>
    <row r="40" spans="1:5" x14ac:dyDescent="0.25">
      <c r="A40" s="409"/>
      <c r="B40" s="90" t="s">
        <v>59</v>
      </c>
      <c r="C40" s="325">
        <f>IF(ISNUMBER(AUGUST!$B$51)=TRUE,AUGUST!$B$51,"")</f>
        <v>0.63925370729848752</v>
      </c>
      <c r="D40" s="325">
        <f>IF(ISNUMBER(AUGUST!$E$51)=TRUE,AUGUST!$E$51,"")</f>
        <v>1.1356245662875546</v>
      </c>
      <c r="E40" s="325">
        <f>IF(ISNUMBER(AUGUST!$H$51)=TRUE,AUGUST!$H$51,"")</f>
        <v>0.41260578909256374</v>
      </c>
    </row>
    <row r="41" spans="1:5" x14ac:dyDescent="0.25">
      <c r="A41" s="409"/>
      <c r="B41" s="90" t="s">
        <v>60</v>
      </c>
      <c r="C41" s="325">
        <f>IF(ISNUMBER(SEPTEMBER!$B$51)=TRUE,SEPTEMBER!$B$51,"")</f>
        <v>0.67506607128768348</v>
      </c>
      <c r="D41" s="325">
        <f>IF(ISNUMBER(SEPTEMBER!$E$51)=TRUE,SEPTEMBER!$E$51,"")</f>
        <v>1.4882632268280664</v>
      </c>
      <c r="E41" s="325" t="str">
        <f>IF(ISNUMBER(SEPTEMBER!$BH$51)=TRUE,SEPTEMBER!$H$51,"")</f>
        <v/>
      </c>
    </row>
    <row r="42" spans="1:5" x14ac:dyDescent="0.25">
      <c r="A42" s="409"/>
      <c r="B42" s="90" t="s">
        <v>61</v>
      </c>
      <c r="C42" s="325">
        <f>IF(ISNUMBER(OCTOBER!$B$51)=TRUE,OCTOBER!$B$51,"")</f>
        <v>0.87535612663658846</v>
      </c>
      <c r="D42" s="325">
        <f>IF(ISNUMBER(OCTOBER!$E$51)=TRUE,OCTOBER!$E$51,"")</f>
        <v>1.4577708383070016</v>
      </c>
      <c r="E42" s="325">
        <f>IF(ISNUMBER(OCTOBER!$H$51)=TRUE,OCTOBER!$H$51,"")</f>
        <v>0.61274014161873092</v>
      </c>
    </row>
    <row r="43" spans="1:5" x14ac:dyDescent="0.25">
      <c r="A43" s="409"/>
      <c r="B43" s="90" t="s">
        <v>62</v>
      </c>
      <c r="C43" s="325">
        <f>IF(ISNUMBER(NOVEMBER!$B$51)=TRUE,NOVEMBER!$B$51,"")</f>
        <v>1.0474661832912575</v>
      </c>
      <c r="D43" s="325" t="str">
        <f>IF(ISNUMBER(NOVEMBER!$E$51)=TRUE,NOVEMBER!$E$51,"")</f>
        <v/>
      </c>
      <c r="E43" s="325">
        <f>IF(ISNUMBER(NOVEMBER!$H$51)=TRUE,NOVEMBER!$H$51,"")</f>
        <v>0.6685383824453589</v>
      </c>
    </row>
    <row r="44" spans="1:5" ht="15.75" thickBot="1" x14ac:dyDescent="0.3">
      <c r="A44" s="409"/>
      <c r="B44" s="92" t="s">
        <v>63</v>
      </c>
      <c r="C44" s="326">
        <f>IF(ISNUMBER(DECEMBER!$B$51)=TRUE,DECEMBER!$B$51,"")</f>
        <v>0.64558610629083246</v>
      </c>
      <c r="D44" s="326" t="str">
        <f>IF(ISNUMBER(DECEMBER!$E$51)=TRUE,DECEMBER!$E$51,"")</f>
        <v/>
      </c>
      <c r="E44" s="326">
        <f>IF(ISNUMBER(DECEMBER!$H$51)=TRUE,DECEMBER!$H$51,"")</f>
        <v>0.43315675701349082</v>
      </c>
    </row>
    <row r="45" spans="1:5" ht="15.75" thickBot="1" x14ac:dyDescent="0.3">
      <c r="A45" s="410"/>
      <c r="B45" s="328" t="s">
        <v>205</v>
      </c>
      <c r="C45" s="327">
        <f>AVERAGE(C33:C44)</f>
        <v>0.74639158577307896</v>
      </c>
      <c r="D45" s="327">
        <f>AVERAGE(D33:D44)</f>
        <v>1.3972280615184707</v>
      </c>
      <c r="E45" s="327">
        <f>AVERAGE(E33:E44)</f>
        <v>0.46777275971837579</v>
      </c>
    </row>
    <row r="47" spans="1:5" ht="15.75" thickBot="1" x14ac:dyDescent="0.3">
      <c r="C47" s="329" t="s">
        <v>201</v>
      </c>
      <c r="D47" s="329" t="s">
        <v>202</v>
      </c>
      <c r="E47" s="329" t="s">
        <v>203</v>
      </c>
    </row>
    <row r="48" spans="1:5" ht="15" customHeight="1" thickTop="1" x14ac:dyDescent="0.25">
      <c r="A48" s="404" t="s">
        <v>215</v>
      </c>
      <c r="B48" s="332" t="s">
        <v>224</v>
      </c>
      <c r="C48" s="333">
        <f>(JANUARY!B44+FEBRUARY!B44+MARCH!B44+APRIL!B44+MAY!B44+JUNE!B44+JULY!B44+AUGUST!B44+SEPTEMBER!B44+OCTOBER!B44+NOVEMBER!B44+DECEMBER!B44)/$AE$17</f>
        <v>320.42476439032151</v>
      </c>
      <c r="D48" s="334">
        <f>(JANUARY!E44+FEBRUARY!E44+MARCH!E44+APRIL!E44+MAY!E44+JUNE!E44+JULY!E44+AUGUST!E44+SEPTEMBER!E44+OCTOBER!E44+NOVEMBER!E44+DECEMBER!E44)/$AG$17</f>
        <v>739.52834582772255</v>
      </c>
      <c r="E48" s="335">
        <f>(JANUARY!H44+FEBRUARY!H44+MARCH!H44+APRIL!H44+MAY!H44+JUNE!H44+JULY!H44+AUGUST!H44+SEPTEMBER!H44+OCTOBER!H44+NOVEMBER!H44+DECEMBER!H44)/$AF$17</f>
        <v>182.375896444506</v>
      </c>
    </row>
    <row r="49" spans="1:5" ht="15" customHeight="1" x14ac:dyDescent="0.25">
      <c r="A49" s="405"/>
      <c r="B49" s="336" t="s">
        <v>216</v>
      </c>
      <c r="C49" s="325">
        <f>(JANUARY!B47+FEBRUARY!B47+MARCH!B47+APRIL!B47+MAY!B47+JUNE!B47+JULY!B47+AUGUST!B47+SEPTEMBER!B47+OCTOBER!B47+NOVEMBER!B47+DECEMBER!B47)/$AE$17</f>
        <v>213.98652565710915</v>
      </c>
      <c r="D49" s="325">
        <f>(JANUARY!E47+FEBRUARY!E47+MARCH!E47+APRIL!E47+MAY!E47+JUNE!E47+JULY!E47+AUGUST!E47+SEPTEMBER!E47+OCTOBER!E47+NOVEMBER!E47+DECEMBER!E47)/$AG$17</f>
        <v>426.66066478169017</v>
      </c>
      <c r="E49" s="337">
        <f>(JANUARY!H47+FEBRUARY!H47+MARCH!H47+APRIL!H47+MAY!H47+JUNE!H47+JULY!H47+AUGUST!H47+SEPTEMBER!H47+OCTOBER!H47+NOVEMBER!H47+DECEMBER!H47)/$AF$17</f>
        <v>145.80800033161029</v>
      </c>
    </row>
    <row r="50" spans="1:5" ht="15" customHeight="1" x14ac:dyDescent="0.25">
      <c r="A50" s="405"/>
      <c r="B50" s="336" t="s">
        <v>217</v>
      </c>
      <c r="C50" s="338">
        <f>C48+C51</f>
        <v>418.49265846520183</v>
      </c>
      <c r="D50" s="338">
        <f>D48+D51</f>
        <v>935.06268029687385</v>
      </c>
      <c r="E50" s="339">
        <f>E48+E51</f>
        <v>249.19825120670839</v>
      </c>
    </row>
    <row r="51" spans="1:5" ht="15" customHeight="1" x14ac:dyDescent="0.25">
      <c r="A51" s="405"/>
      <c r="B51" s="336" t="s">
        <v>218</v>
      </c>
      <c r="C51" s="325">
        <f>(JANUARY!B48+FEBRUARY!B48+MARCH!B48+APRIL!B48+MAY!B48+JUNE!B48+JULY!B48+AUGUST!B48+SEPTEMBER!B48+OCTOBER!B48+NOVEMBER!B48+DECEMBER!B48)/$AE$17</f>
        <v>98.067894074880314</v>
      </c>
      <c r="D51" s="325">
        <f>(JANUARY!E48+FEBRUARY!E48+MARCH!E48+APRIL!E48+MAY!E48+JUNE!E48+JULY!E48+AUGUST!E48+SEPTEMBER!E48+OCTOBER!E48+NOVEMBER!E48+DECEMBER!E48)/$AG$17</f>
        <v>195.5343344691513</v>
      </c>
      <c r="E51" s="337">
        <f>(JANUARY!H48+FEBRUARY!H48+MARCH!H48+APRIL!H48+MAY!H48+JUNE!H48+JULY!H48+AUGUST!H48+SEPTEMBER!H48+OCTOBER!H48+NOVEMBER!H48+DECEMBER!H48)/$AF$17</f>
        <v>66.82235476220238</v>
      </c>
    </row>
    <row r="52" spans="1:5" ht="15" customHeight="1" x14ac:dyDescent="0.25">
      <c r="A52" s="405"/>
      <c r="B52" s="336" t="s">
        <v>219</v>
      </c>
      <c r="C52" s="325">
        <f>(JANUARY!B46+FEBRUARY!B46+MARCH!B46+APRIL!B46+MAY!B46+JUNE!B46+JULY!B46+AUGUST!B46+SEPTEMBER!B46+OCTOBER!B46+NOVEMBER!B46+DECEMBER!B46)/$AE$17</f>
        <v>21.015460095952704</v>
      </c>
      <c r="D52" s="325">
        <f>(JANUARY!E46+FEBRUARY!E46+MARCH!E46+APRIL!E46+MAY!E46+JUNE!E46+JULY!E46+AUGUST!E46+SEPTEMBER!E46+OCTOBER!E46+NOVEMBER!E46+DECEMBER!E46)/$AG$17</f>
        <v>37.059144496240293</v>
      </c>
      <c r="E52" s="337">
        <f>(JANUARY!H46+FEBRUARY!H46+MARCH!H46+APRIL!H46+MAY!H46+JUNE!H46+JULY!H46+AUGUST!H46+SEPTEMBER!H46+OCTOBER!H46+NOVEMBER!H46+DECEMBER!H46)/$AF$17</f>
        <v>15.974716455347316</v>
      </c>
    </row>
    <row r="53" spans="1:5" ht="15" customHeight="1" x14ac:dyDescent="0.25">
      <c r="A53" s="405"/>
      <c r="B53" s="340" t="s">
        <v>220</v>
      </c>
      <c r="C53" s="326">
        <f>(JANUARY!B45+FEBRUARY!B45+MARCH!B45+APRIL!B45+MAY!B45+JUNE!B45+JULY!B45+AUGUST!B45+SEPTEMBER!B45+OCTOBER!B45+NOVEMBER!B45+DECEMBER!B45)/$AE$17</f>
        <v>67.524115468190232</v>
      </c>
      <c r="D53" s="326">
        <f>(JANUARY!E45+FEBRUARY!E45+MARCH!E45+APRIL!E45+MAY!E45+JUNE!E45+JULY!E45+AUGUST!E45+SEPTEMBER!E45+OCTOBER!E45+NOVEMBER!E45+DECEMBER!E45)/$AG$17</f>
        <v>150.24149642406647</v>
      </c>
      <c r="E53" s="341">
        <f>(JANUARY!H45+FEBRUARY!H45+MARCH!H45+APRIL!H45+MAY!H45+JUNE!H45+JULY!H45+AUGUST!H45+SEPTEMBER!H45+OCTOBER!H45+NOVEMBER!H45+DECEMBER!H45)/$AF$17</f>
        <v>40.676462635596152</v>
      </c>
    </row>
    <row r="54" spans="1:5" ht="15" customHeight="1" x14ac:dyDescent="0.25">
      <c r="A54" s="406"/>
      <c r="B54" s="340" t="s">
        <v>225</v>
      </c>
      <c r="C54" s="351">
        <f>(SUM(JANUARY!AH39:AQ39)+SUM(FEBRUARY!AH39:AQ39)+SUM(MARCH!AH39:AQ39)+SUM(APRIL!AH39:AQ39)+SUM(MAY!AH39:AQ39)+SUM(JUNE!AH39:AQ39)+SUM(JULY!AH39:AQ39)+SUM(AUGUST!AH39:AQ39)+SUM(SEPTEMBER!AH39:AQ39)+SUM(OCTOBER!AH39:AQ39)+SUM(NOVEMBER!AH39:AQ39)+SUM(DECEMBER!AH39:AQ39))</f>
        <v>5424289.4880290776</v>
      </c>
      <c r="D54" s="351">
        <f>(JANUARY!E45/JANUARY!AH40+FEBRUARY!E45/FEBRUARY!AH40+MARCH!E45/MARCH!AH40+APRIL!E45/APRIL!AH40+MAY!E45/MAY!AH40+JUNE!E45/JUNE!AH40+JULY!E45/JULY!AH40+AUGUST!E45/AUGUST!AH40+SEPTEMBER!E45/SEPTEMBER!AH40+OCTOBER!E45/OCTOBER!AH40+NOVEMBER!E45/NOVEMBER!AH40+DECEMBER!E45/DECEMBER!AH40)</f>
        <v>3022730.7030115086</v>
      </c>
      <c r="E54" s="352">
        <f>C54-D54</f>
        <v>2401558.7850175691</v>
      </c>
    </row>
    <row r="55" spans="1:5" ht="15" customHeight="1" thickBot="1" x14ac:dyDescent="0.3">
      <c r="A55" s="406"/>
      <c r="B55" s="340" t="s">
        <v>226</v>
      </c>
      <c r="C55" s="353">
        <f>C54/C58</f>
        <v>954.74070112322681</v>
      </c>
      <c r="D55" s="353">
        <f>D54/D58</f>
        <v>2121.6229721187729</v>
      </c>
      <c r="E55" s="354">
        <f>E54/E58</f>
        <v>576.05071725709001</v>
      </c>
    </row>
    <row r="56" spans="1:5" ht="15" customHeight="1" thickTop="1" x14ac:dyDescent="0.25">
      <c r="A56" s="406"/>
      <c r="B56" s="342" t="s">
        <v>221</v>
      </c>
      <c r="C56" s="343">
        <f>C48+C49+C51+C52+C53</f>
        <v>721.01875968645379</v>
      </c>
      <c r="D56" s="343">
        <f>D48+D49+D51+D52+D53</f>
        <v>1549.0239859988708</v>
      </c>
      <c r="E56" s="344">
        <f>E48+E49+E51+E52+E53</f>
        <v>451.65743062926219</v>
      </c>
    </row>
    <row r="57" spans="1:5" ht="15" customHeight="1" x14ac:dyDescent="0.25">
      <c r="A57" s="406"/>
      <c r="B57" s="345" t="s">
        <v>222</v>
      </c>
      <c r="C57" s="346">
        <f>C56/1000</f>
        <v>0.72101875968645379</v>
      </c>
      <c r="D57" s="346">
        <f>D56/1000</f>
        <v>1.5490239859988708</v>
      </c>
      <c r="E57" s="347">
        <f>E56/1000</f>
        <v>0.45165743062926217</v>
      </c>
    </row>
    <row r="58" spans="1:5" ht="15" customHeight="1" thickBot="1" x14ac:dyDescent="0.3">
      <c r="A58" s="407"/>
      <c r="B58" s="348" t="s">
        <v>223</v>
      </c>
      <c r="C58" s="349">
        <f>AE17</f>
        <v>5681.4268854858146</v>
      </c>
      <c r="D58" s="349">
        <f>AG17</f>
        <v>1424.7256664990002</v>
      </c>
      <c r="E58" s="350">
        <f>AF17</f>
        <v>4169.0058063858969</v>
      </c>
    </row>
    <row r="59" spans="1:5" ht="15.75" thickTop="1" x14ac:dyDescent="0.25"/>
  </sheetData>
  <sheetProtection algorithmName="SHA-512" hashValue="D+NZMZjjleVhHFpNMn3IxdASagdPCMj166oNZ8ErMbE19//gCm9oWKaXxbf/CP07YGhxlzyveWYD9HoFWGxIkQ==" saltValue="NVNAv50xxyQBrXEWLqdQ+w==" spinCount="100000" sheet="1" objects="1" scenarios="1"/>
  <mergeCells count="14">
    <mergeCell ref="A48:A58"/>
    <mergeCell ref="A33:A45"/>
    <mergeCell ref="A4:A15"/>
    <mergeCell ref="A18:A29"/>
    <mergeCell ref="A1:B1"/>
    <mergeCell ref="A16:B16"/>
    <mergeCell ref="C1:AH1"/>
    <mergeCell ref="A2:B3"/>
    <mergeCell ref="AE2:AH2"/>
    <mergeCell ref="C2:I2"/>
    <mergeCell ref="J2:O2"/>
    <mergeCell ref="P2:U2"/>
    <mergeCell ref="V2:AB2"/>
    <mergeCell ref="AC2:AD2"/>
  </mergeCells>
  <pageMargins left="0.7" right="0.7" top="0.75" bottom="0.75" header="0.3" footer="0.3"/>
  <pageSetup scale="6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30"/>
  <sheetViews>
    <sheetView showGridLines="0" workbookViewId="0">
      <selection activeCell="K21" sqref="K21"/>
    </sheetView>
  </sheetViews>
  <sheetFormatPr defaultRowHeight="15" x14ac:dyDescent="0.25"/>
  <sheetData>
    <row r="30" spans="12:12" x14ac:dyDescent="0.25">
      <c r="L30" s="331" t="s">
        <v>227</v>
      </c>
    </row>
  </sheetData>
  <sheetProtection password="A25B"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246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447675</xdr:colOff>
                <xdr:row>42</xdr:row>
                <xdr:rowOff>142875</xdr:rowOff>
              </to>
            </anchor>
          </objectPr>
        </oleObject>
      </mc:Choice>
      <mc:Fallback>
        <oleObject progId="Word.Document.12" shapeId="62465" r:id="rId4"/>
      </mc:Fallback>
    </mc:AlternateContent>
    <mc:AlternateContent xmlns:mc="http://schemas.openxmlformats.org/markup-compatibility/2006">
      <mc:Choice Requires="x14">
        <oleObject progId="Word.Document.12" shapeId="62466" r:id="rId6">
          <objectPr defaultSize="0" r:id="rId7">
            <anchor moveWithCells="1">
              <from>
                <xdr:col>11</xdr:col>
                <xdr:colOff>133350</xdr:colOff>
                <xdr:row>0</xdr:row>
                <xdr:rowOff>0</xdr:rowOff>
              </from>
              <to>
                <xdr:col>20</xdr:col>
                <xdr:colOff>581025</xdr:colOff>
                <xdr:row>31</xdr:row>
                <xdr:rowOff>104775</xdr:rowOff>
              </to>
            </anchor>
          </objectPr>
        </oleObject>
      </mc:Choice>
      <mc:Fallback>
        <oleObject progId="Word.Document.12" shapeId="624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topLeftCell="L7" zoomScaleNormal="100" workbookViewId="0">
      <selection activeCell="X39" sqref="X39"/>
    </sheetView>
  </sheetViews>
  <sheetFormatPr defaultRowHeight="15" x14ac:dyDescent="0.25"/>
  <cols>
    <col min="1" max="2" width="12.7109375" customWidth="1"/>
    <col min="3" max="4" width="9.140625" customWidth="1"/>
    <col min="5" max="5" width="10" customWidth="1"/>
    <col min="6" max="6" width="9.85546875" bestFit="1" customWidth="1"/>
    <col min="7" max="21" width="9.140625" customWidth="1"/>
    <col min="22" max="24" width="10.140625" bestFit="1" customWidth="1"/>
    <col min="25" max="25" width="19" bestFit="1" customWidth="1"/>
    <col min="26" max="35" width="9.140625" customWidth="1"/>
  </cols>
  <sheetData>
    <row r="1" spans="1:35" ht="21.75" thickBot="1" x14ac:dyDescent="0.3">
      <c r="A1" s="488">
        <v>2013</v>
      </c>
      <c r="B1" s="520"/>
      <c r="C1" s="521" t="s">
        <v>90</v>
      </c>
      <c r="D1" s="522"/>
      <c r="E1" s="522"/>
      <c r="F1" s="522"/>
      <c r="G1" s="522"/>
      <c r="H1" s="522"/>
      <c r="I1" s="522"/>
      <c r="J1" s="522"/>
      <c r="K1" s="522"/>
      <c r="L1" s="522"/>
      <c r="M1" s="522"/>
      <c r="N1" s="522"/>
      <c r="O1" s="522"/>
      <c r="P1" s="522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523"/>
    </row>
    <row r="2" spans="1:35" ht="28.5" customHeight="1" thickBot="1" x14ac:dyDescent="0.3">
      <c r="A2" s="524"/>
      <c r="B2" s="386"/>
      <c r="C2" s="527" t="s">
        <v>66</v>
      </c>
      <c r="D2" s="391"/>
      <c r="E2" s="391"/>
      <c r="F2" s="391"/>
      <c r="G2" s="391"/>
      <c r="H2" s="391"/>
      <c r="I2" s="391"/>
      <c r="J2" s="391"/>
      <c r="K2" s="391"/>
      <c r="L2" s="391"/>
      <c r="M2" s="528"/>
      <c r="N2" s="528"/>
      <c r="O2" s="528"/>
      <c r="P2" s="529"/>
      <c r="Q2" s="530" t="s">
        <v>71</v>
      </c>
      <c r="R2" s="531"/>
      <c r="S2" s="531"/>
      <c r="T2" s="531"/>
      <c r="U2" s="531"/>
      <c r="V2" s="531"/>
      <c r="W2" s="531"/>
      <c r="X2" s="531"/>
      <c r="Y2" s="531"/>
      <c r="Z2" s="531"/>
      <c r="AA2" s="531"/>
      <c r="AB2" s="531"/>
      <c r="AC2" s="532"/>
      <c r="AD2" s="533" t="s">
        <v>83</v>
      </c>
      <c r="AE2" s="534"/>
      <c r="AF2" s="537" t="s">
        <v>228</v>
      </c>
      <c r="AG2" s="538"/>
      <c r="AH2" s="538"/>
      <c r="AI2" s="539"/>
    </row>
    <row r="3" spans="1:35" ht="28.5" customHeight="1" thickBot="1" x14ac:dyDescent="0.3">
      <c r="A3" s="524"/>
      <c r="B3" s="386"/>
      <c r="C3" s="527" t="s">
        <v>91</v>
      </c>
      <c r="D3" s="391"/>
      <c r="E3" s="391"/>
      <c r="F3" s="391"/>
      <c r="G3" s="391"/>
      <c r="H3" s="391"/>
      <c r="I3" s="392"/>
      <c r="J3" s="396" t="s">
        <v>92</v>
      </c>
      <c r="K3" s="397"/>
      <c r="L3" s="398"/>
      <c r="M3" s="497" t="s">
        <v>93</v>
      </c>
      <c r="N3" s="498"/>
      <c r="O3" s="498"/>
      <c r="P3" s="499"/>
      <c r="Q3" s="496" t="s">
        <v>94</v>
      </c>
      <c r="R3" s="394"/>
      <c r="S3" s="394"/>
      <c r="T3" s="394"/>
      <c r="U3" s="394"/>
      <c r="V3" s="395"/>
      <c r="W3" s="396" t="s">
        <v>95</v>
      </c>
      <c r="X3" s="397"/>
      <c r="Y3" s="398"/>
      <c r="Z3" s="497" t="s">
        <v>96</v>
      </c>
      <c r="AA3" s="498"/>
      <c r="AB3" s="498"/>
      <c r="AC3" s="499"/>
      <c r="AD3" s="535"/>
      <c r="AE3" s="536"/>
      <c r="AF3" s="540"/>
      <c r="AG3" s="541"/>
      <c r="AH3" s="541"/>
      <c r="AI3" s="542"/>
    </row>
    <row r="4" spans="1:35" ht="129.75" thickBot="1" x14ac:dyDescent="0.3">
      <c r="A4" s="525"/>
      <c r="B4" s="526"/>
      <c r="C4" s="130" t="s">
        <v>67</v>
      </c>
      <c r="D4" s="131" t="s">
        <v>68</v>
      </c>
      <c r="E4" s="131" t="s">
        <v>11</v>
      </c>
      <c r="F4" s="131" t="s">
        <v>12</v>
      </c>
      <c r="G4" s="131" t="s">
        <v>13</v>
      </c>
      <c r="H4" s="131" t="s">
        <v>69</v>
      </c>
      <c r="I4" s="131" t="s">
        <v>70</v>
      </c>
      <c r="J4" s="132" t="s">
        <v>36</v>
      </c>
      <c r="K4" s="132" t="s">
        <v>75</v>
      </c>
      <c r="L4" s="132" t="s">
        <v>77</v>
      </c>
      <c r="M4" s="133" t="s">
        <v>79</v>
      </c>
      <c r="N4" s="133" t="s">
        <v>81</v>
      </c>
      <c r="O4" s="133" t="s">
        <v>46</v>
      </c>
      <c r="P4" s="134" t="s">
        <v>97</v>
      </c>
      <c r="Q4" s="135" t="s">
        <v>67</v>
      </c>
      <c r="R4" s="136" t="s">
        <v>72</v>
      </c>
      <c r="S4" s="136" t="s">
        <v>17</v>
      </c>
      <c r="T4" s="136" t="s">
        <v>18</v>
      </c>
      <c r="U4" s="136" t="s">
        <v>19</v>
      </c>
      <c r="V4" s="136" t="s">
        <v>13</v>
      </c>
      <c r="W4" s="132" t="s">
        <v>35</v>
      </c>
      <c r="X4" s="132" t="s">
        <v>74</v>
      </c>
      <c r="Y4" s="132" t="s">
        <v>76</v>
      </c>
      <c r="Z4" s="133" t="s">
        <v>78</v>
      </c>
      <c r="AA4" s="133" t="s">
        <v>80</v>
      </c>
      <c r="AB4" s="133" t="s">
        <v>45</v>
      </c>
      <c r="AC4" s="134" t="s">
        <v>98</v>
      </c>
      <c r="AD4" s="137" t="s">
        <v>7</v>
      </c>
      <c r="AE4" s="138" t="s">
        <v>84</v>
      </c>
      <c r="AF4" s="139" t="s">
        <v>27</v>
      </c>
      <c r="AG4" s="139" t="s">
        <v>31</v>
      </c>
      <c r="AH4" s="139" t="s">
        <v>32</v>
      </c>
      <c r="AI4" s="140" t="s">
        <v>33</v>
      </c>
    </row>
    <row r="5" spans="1:35" ht="15" customHeight="1" x14ac:dyDescent="0.25">
      <c r="A5" s="500" t="s">
        <v>99</v>
      </c>
      <c r="B5" s="501"/>
      <c r="C5" s="144" t="s">
        <v>100</v>
      </c>
      <c r="D5" s="142" t="s">
        <v>100</v>
      </c>
      <c r="E5" s="142" t="s">
        <v>100</v>
      </c>
      <c r="F5" s="142" t="s">
        <v>100</v>
      </c>
      <c r="G5" s="142" t="s">
        <v>100</v>
      </c>
      <c r="H5" s="142" t="s">
        <v>101</v>
      </c>
      <c r="I5" s="142" t="s">
        <v>100</v>
      </c>
      <c r="J5" s="142" t="s">
        <v>100</v>
      </c>
      <c r="K5" s="142" t="s">
        <v>100</v>
      </c>
      <c r="L5" s="142" t="s">
        <v>100</v>
      </c>
      <c r="M5" s="142" t="s">
        <v>101</v>
      </c>
      <c r="N5" s="142" t="s">
        <v>100</v>
      </c>
      <c r="O5" s="142" t="s">
        <v>100</v>
      </c>
      <c r="P5" s="143" t="s">
        <v>100</v>
      </c>
      <c r="Q5" s="141" t="s">
        <v>100</v>
      </c>
      <c r="R5" s="142" t="s">
        <v>100</v>
      </c>
      <c r="S5" s="142" t="s">
        <v>100</v>
      </c>
      <c r="T5" s="142" t="s">
        <v>100</v>
      </c>
      <c r="U5" s="142" t="s">
        <v>100</v>
      </c>
      <c r="V5" s="142" t="s">
        <v>100</v>
      </c>
      <c r="W5" s="142" t="s">
        <v>100</v>
      </c>
      <c r="X5" s="142" t="s">
        <v>100</v>
      </c>
      <c r="Y5" s="142" t="s">
        <v>100</v>
      </c>
      <c r="Z5" s="142" t="s">
        <v>101</v>
      </c>
      <c r="AA5" s="142" t="s">
        <v>100</v>
      </c>
      <c r="AB5" s="142" t="s">
        <v>100</v>
      </c>
      <c r="AC5" s="143" t="s">
        <v>100</v>
      </c>
      <c r="AD5" s="144" t="s">
        <v>101</v>
      </c>
      <c r="AE5" s="171" t="s">
        <v>100</v>
      </c>
      <c r="AF5" s="145" t="s">
        <v>102</v>
      </c>
      <c r="AG5" s="145" t="s">
        <v>102</v>
      </c>
      <c r="AH5" s="145" t="s">
        <v>102</v>
      </c>
      <c r="AI5" s="146" t="s">
        <v>34</v>
      </c>
    </row>
    <row r="6" spans="1:35" ht="15.75" thickBot="1" x14ac:dyDescent="0.3">
      <c r="A6" s="471"/>
      <c r="B6" s="502"/>
      <c r="C6" s="144">
        <f>'Yearly Summary '!$C$17</f>
        <v>0</v>
      </c>
      <c r="D6" s="142">
        <f>'Yearly Summary '!$D$17</f>
        <v>33126.062198183841</v>
      </c>
      <c r="E6" s="142">
        <f>'Yearly Summary '!$E$17</f>
        <v>384583.230512476</v>
      </c>
      <c r="F6" s="142">
        <f>'Yearly Summary '!$F$17</f>
        <v>5108.6371694634345</v>
      </c>
      <c r="G6" s="142">
        <f>'Yearly Summary '!$G$17</f>
        <v>0</v>
      </c>
      <c r="H6" s="142">
        <f>'Yearly Summary '!$H$17</f>
        <v>1131066.6799731259</v>
      </c>
      <c r="I6" s="142">
        <f>'Yearly Summary '!$I$17</f>
        <v>16496.168472826481</v>
      </c>
      <c r="J6" s="142">
        <f>'Yearly Summary '!$Q$17</f>
        <v>0</v>
      </c>
      <c r="K6" s="142">
        <f>'Yearly Summary '!$S$17</f>
        <v>0</v>
      </c>
      <c r="L6" s="142">
        <f>'Yearly Summary '!$U$17</f>
        <v>0</v>
      </c>
      <c r="M6" s="142">
        <f>'Yearly Summary '!$W$17</f>
        <v>41124.777025959746</v>
      </c>
      <c r="N6" s="142">
        <f>'Yearly Summary '!$Y$17</f>
        <v>3455.8836729044333</v>
      </c>
      <c r="O6" s="142">
        <f>'Yearly Summary '!$AA$17</f>
        <v>20743.419242967593</v>
      </c>
      <c r="P6" s="143">
        <f>('Yearly Summary '!$AB$17)*(1-AI6)</f>
        <v>0</v>
      </c>
      <c r="Q6" s="141">
        <f>'Yearly Summary '!$J$17</f>
        <v>126790.67981784344</v>
      </c>
      <c r="R6" s="142">
        <f>'Yearly Summary '!$K$17</f>
        <v>298135.52966843039</v>
      </c>
      <c r="S6" s="142">
        <f>'Yearly Summary '!$L$17</f>
        <v>7686.404231831928</v>
      </c>
      <c r="T6" s="142">
        <f>'Yearly Summary '!$M$17</f>
        <v>732.12590002202739</v>
      </c>
      <c r="U6" s="142">
        <f>'Yearly Summary '!N17</f>
        <v>0</v>
      </c>
      <c r="V6" s="142">
        <f>'Yearly Summary '!O17</f>
        <v>0</v>
      </c>
      <c r="W6" s="142">
        <f>'Yearly Summary '!$P$17</f>
        <v>0</v>
      </c>
      <c r="X6" s="142">
        <f>'Yearly Summary '!$R$17</f>
        <v>0</v>
      </c>
      <c r="Y6" s="142">
        <f>'Yearly Summary '!$T$17</f>
        <v>0</v>
      </c>
      <c r="Z6" s="142">
        <f>'Yearly Summary '!$V$17</f>
        <v>118310.04741143975</v>
      </c>
      <c r="AA6" s="142">
        <f>'Yearly Summary '!$X$17</f>
        <v>10137.602587101201</v>
      </c>
      <c r="AB6" s="142">
        <f>'Yearly Summary '!$Z$17</f>
        <v>67967.27221150494</v>
      </c>
      <c r="AC6" s="143">
        <f>('Yearly Summary '!$AB$17)*AI6</f>
        <v>0</v>
      </c>
      <c r="AD6" s="144">
        <v>4688.3846085177338</v>
      </c>
      <c r="AE6" s="142">
        <v>0</v>
      </c>
      <c r="AF6" s="147">
        <f>'Yearly Summary '!$AE$17</f>
        <v>5681.4268854858146</v>
      </c>
      <c r="AG6" s="147">
        <f>'Yearly Summary '!$AF$17</f>
        <v>4169.0058063858969</v>
      </c>
      <c r="AH6" s="147">
        <f>'Yearly Summary '!$AG$17</f>
        <v>1424.7256664990002</v>
      </c>
      <c r="AI6" s="148">
        <f>'Yearly Summary '!$AH$17</f>
        <v>0.74529959591281281</v>
      </c>
    </row>
    <row r="7" spans="1:35" ht="15" customHeight="1" x14ac:dyDescent="0.25">
      <c r="A7" s="473" t="s">
        <v>103</v>
      </c>
      <c r="B7" s="503"/>
      <c r="C7" s="152">
        <f>(C6*(1.029*8.34)*0.03)/2000</f>
        <v>0</v>
      </c>
      <c r="D7" s="150">
        <f>(D6*(1.4*8.34)*0.38)/2000</f>
        <v>73.488181422938951</v>
      </c>
      <c r="E7" s="150">
        <f>(E6*(1.54*8.34)*0.5)/2000</f>
        <v>1234.8582948525091</v>
      </c>
      <c r="F7" s="150">
        <f>(F6*(1.04*8.34)*1)/2000</f>
        <v>22.155137676529023</v>
      </c>
      <c r="G7" s="150">
        <f>(G6*(1.055*8.34)*0.005)/2000</f>
        <v>0</v>
      </c>
      <c r="H7" s="150">
        <f>H6/2000</f>
        <v>565.53333998656296</v>
      </c>
      <c r="I7" s="150">
        <f>(I6*(1.135*8.34)*0.35)/2000</f>
        <v>27.326439200712432</v>
      </c>
      <c r="J7" s="150">
        <f>(J6*(1.055*8.34)*1)/2000</f>
        <v>0</v>
      </c>
      <c r="K7" s="150">
        <f>(K6*(1.055*8.34)*1)/2000</f>
        <v>0</v>
      </c>
      <c r="L7" s="150">
        <f>(L6*(1.4*8.34)*0.38)/2000</f>
        <v>0</v>
      </c>
      <c r="M7" s="150">
        <f>M6/2000</f>
        <v>20.562388512979872</v>
      </c>
      <c r="N7" s="150">
        <f>(N6*(0.895*8.34)*0.29)/2000</f>
        <v>3.7403841124507813</v>
      </c>
      <c r="O7" s="150">
        <f>(O6*(1.54*8.34)*0.5)/2000</f>
        <v>66.605044847244642</v>
      </c>
      <c r="P7" s="151">
        <f>(P6*(1.135*8.34)*0.35)/2000</f>
        <v>0</v>
      </c>
      <c r="Q7" s="149">
        <f>(Q6*(1.029*8.34)*0.03)/2000</f>
        <v>16.321497952523366</v>
      </c>
      <c r="R7" s="150">
        <f>(R6*(1.4*8.34)*0.38)/2000</f>
        <v>661.39578443763264</v>
      </c>
      <c r="S7" s="150">
        <f>(S6*(1.04*8.34)*1)/2000</f>
        <v>33.334397872608704</v>
      </c>
      <c r="T7" s="150">
        <f>(T6*(1.135*8.34)*0.35)/2000</f>
        <v>1.2127903474782391</v>
      </c>
      <c r="U7" s="150">
        <f>(U6*(1.055*8.34)*0.005)/2000</f>
        <v>0</v>
      </c>
      <c r="V7" s="150">
        <f>(V6*(1.055*8.34)*0.005)/2000</f>
        <v>0</v>
      </c>
      <c r="W7" s="150">
        <f>(W6*(1.055*8.34)*1)/2000</f>
        <v>0</v>
      </c>
      <c r="X7" s="150">
        <f>(X6*(1.055*8.34)*1)/2000</f>
        <v>0</v>
      </c>
      <c r="Y7" s="150">
        <f>(Y6*(1.4*8.34)*0.38)/2000</f>
        <v>0</v>
      </c>
      <c r="Z7" s="150">
        <f>Z6/2000</f>
        <v>59.155023705719877</v>
      </c>
      <c r="AA7" s="150">
        <f>(AA6*(0.895*8.34)*0.29)/2000</f>
        <v>10.972165513680423</v>
      </c>
      <c r="AB7" s="150">
        <f>(AB6*(1.54*8.34)*0.5)/2000</f>
        <v>218.23611434392123</v>
      </c>
      <c r="AC7" s="151">
        <f>(AC6*(1.135*8.34)*0.35)/2000</f>
        <v>0</v>
      </c>
      <c r="AD7" s="152">
        <f>AD6/2000</f>
        <v>2.344192304258867</v>
      </c>
      <c r="AE7" s="150">
        <f>(AE6*(1.029*8.34)*0.03)/2000</f>
        <v>0</v>
      </c>
      <c r="AF7" s="507" t="s">
        <v>229</v>
      </c>
      <c r="AG7" s="508"/>
      <c r="AH7" s="508"/>
      <c r="AI7" s="509"/>
    </row>
    <row r="8" spans="1:35" x14ac:dyDescent="0.25">
      <c r="A8" s="516" t="s">
        <v>104</v>
      </c>
      <c r="B8" s="517"/>
      <c r="C8" s="156">
        <f>C7/$AH$6</f>
        <v>0</v>
      </c>
      <c r="D8" s="154">
        <f>D7/$AH$6</f>
        <v>5.1580583652656838E-2</v>
      </c>
      <c r="E8" s="154">
        <f t="shared" ref="E8:P8" si="0">E7/$AH$6</f>
        <v>0.86673408354251447</v>
      </c>
      <c r="F8" s="154">
        <f t="shared" si="0"/>
        <v>1.5550458728641546E-2</v>
      </c>
      <c r="G8" s="154">
        <f t="shared" si="0"/>
        <v>0</v>
      </c>
      <c r="H8" s="154">
        <f t="shared" si="0"/>
        <v>0.39694191891429637</v>
      </c>
      <c r="I8" s="154">
        <f t="shared" si="0"/>
        <v>1.9180141021718309E-2</v>
      </c>
      <c r="J8" s="154">
        <f t="shared" si="0"/>
        <v>0</v>
      </c>
      <c r="K8" s="154">
        <f t="shared" si="0"/>
        <v>0</v>
      </c>
      <c r="L8" s="154">
        <f t="shared" si="0"/>
        <v>0</v>
      </c>
      <c r="M8" s="154">
        <f t="shared" si="0"/>
        <v>1.4432524798621855E-2</v>
      </c>
      <c r="N8" s="154">
        <f t="shared" si="0"/>
        <v>2.62533637204844E-3</v>
      </c>
      <c r="O8" s="154">
        <f t="shared" si="0"/>
        <v>4.674938229400627E-2</v>
      </c>
      <c r="P8" s="155">
        <f t="shared" si="0"/>
        <v>0</v>
      </c>
      <c r="Q8" s="153">
        <f>Q7/$AG$6</f>
        <v>3.9149616744411399E-3</v>
      </c>
      <c r="R8" s="154">
        <f t="shared" ref="R8:AD8" si="1">R7/$AG$6</f>
        <v>0.15864592546849807</v>
      </c>
      <c r="S8" s="154">
        <f t="shared" si="1"/>
        <v>7.99576671770247E-3</v>
      </c>
      <c r="T8" s="154">
        <f t="shared" si="1"/>
        <v>2.9090637043981588E-4</v>
      </c>
      <c r="U8" s="154">
        <f t="shared" si="1"/>
        <v>0</v>
      </c>
      <c r="V8" s="154">
        <f t="shared" si="1"/>
        <v>0</v>
      </c>
      <c r="W8" s="154">
        <f t="shared" si="1"/>
        <v>0</v>
      </c>
      <c r="X8" s="154">
        <f t="shared" si="1"/>
        <v>0</v>
      </c>
      <c r="Y8" s="154">
        <f t="shared" si="1"/>
        <v>0</v>
      </c>
      <c r="Z8" s="154">
        <f t="shared" si="1"/>
        <v>1.4189239941836696E-2</v>
      </c>
      <c r="AA8" s="154">
        <f t="shared" si="1"/>
        <v>2.6318422240798394E-3</v>
      </c>
      <c r="AB8" s="154">
        <f t="shared" si="1"/>
        <v>5.2347280018088943E-2</v>
      </c>
      <c r="AC8" s="155">
        <f t="shared" si="1"/>
        <v>0</v>
      </c>
      <c r="AD8" s="156">
        <f t="shared" si="1"/>
        <v>5.6229048677939903E-4</v>
      </c>
      <c r="AE8" s="154"/>
      <c r="AF8" s="510"/>
      <c r="AG8" s="511"/>
      <c r="AH8" s="511"/>
      <c r="AI8" s="512"/>
    </row>
    <row r="9" spans="1:35" ht="15.75" thickBot="1" x14ac:dyDescent="0.3">
      <c r="A9" s="518" t="s">
        <v>105</v>
      </c>
      <c r="B9" s="519"/>
      <c r="C9" s="217" t="e">
        <f t="shared" ref="C9:P9" si="2">C7/$AH$19</f>
        <v>#DIV/0!</v>
      </c>
      <c r="D9" s="157" t="e">
        <f t="shared" si="2"/>
        <v>#DIV/0!</v>
      </c>
      <c r="E9" s="157" t="e">
        <f t="shared" si="2"/>
        <v>#DIV/0!</v>
      </c>
      <c r="F9" s="157" t="e">
        <f t="shared" si="2"/>
        <v>#DIV/0!</v>
      </c>
      <c r="G9" s="157" t="e">
        <f t="shared" si="2"/>
        <v>#DIV/0!</v>
      </c>
      <c r="H9" s="157" t="e">
        <f t="shared" si="2"/>
        <v>#DIV/0!</v>
      </c>
      <c r="I9" s="157" t="e">
        <f t="shared" si="2"/>
        <v>#DIV/0!</v>
      </c>
      <c r="J9" s="157" t="e">
        <f t="shared" si="2"/>
        <v>#DIV/0!</v>
      </c>
      <c r="K9" s="157" t="e">
        <f t="shared" si="2"/>
        <v>#DIV/0!</v>
      </c>
      <c r="L9" s="157" t="e">
        <f t="shared" si="2"/>
        <v>#DIV/0!</v>
      </c>
      <c r="M9" s="157" t="e">
        <f t="shared" si="2"/>
        <v>#DIV/0!</v>
      </c>
      <c r="N9" s="157" t="e">
        <f t="shared" si="2"/>
        <v>#DIV/0!</v>
      </c>
      <c r="O9" s="157" t="e">
        <f t="shared" si="2"/>
        <v>#DIV/0!</v>
      </c>
      <c r="P9" s="158" t="e">
        <f t="shared" si="2"/>
        <v>#DIV/0!</v>
      </c>
      <c r="Q9" s="159" t="e">
        <f t="shared" ref="Q9:AD9" si="3">Q7/$AF$19</f>
        <v>#DIV/0!</v>
      </c>
      <c r="R9" s="160" t="e">
        <f t="shared" si="3"/>
        <v>#DIV/0!</v>
      </c>
      <c r="S9" s="160" t="e">
        <f t="shared" si="3"/>
        <v>#DIV/0!</v>
      </c>
      <c r="T9" s="160" t="e">
        <f t="shared" si="3"/>
        <v>#DIV/0!</v>
      </c>
      <c r="U9" s="160" t="e">
        <f t="shared" si="3"/>
        <v>#DIV/0!</v>
      </c>
      <c r="V9" s="160" t="e">
        <f t="shared" si="3"/>
        <v>#DIV/0!</v>
      </c>
      <c r="W9" s="160" t="e">
        <f t="shared" si="3"/>
        <v>#DIV/0!</v>
      </c>
      <c r="X9" s="160" t="e">
        <f t="shared" si="3"/>
        <v>#DIV/0!</v>
      </c>
      <c r="Y9" s="160" t="e">
        <f t="shared" si="3"/>
        <v>#DIV/0!</v>
      </c>
      <c r="Z9" s="160" t="e">
        <f t="shared" si="3"/>
        <v>#DIV/0!</v>
      </c>
      <c r="AA9" s="160" t="e">
        <f t="shared" si="3"/>
        <v>#DIV/0!</v>
      </c>
      <c r="AB9" s="160" t="e">
        <f t="shared" si="3"/>
        <v>#DIV/0!</v>
      </c>
      <c r="AC9" s="161" t="e">
        <f t="shared" si="3"/>
        <v>#DIV/0!</v>
      </c>
      <c r="AD9" s="162" t="e">
        <f t="shared" si="3"/>
        <v>#DIV/0!</v>
      </c>
      <c r="AE9" s="160"/>
      <c r="AF9" s="513"/>
      <c r="AG9" s="514"/>
      <c r="AH9" s="514"/>
      <c r="AI9" s="515"/>
    </row>
    <row r="10" spans="1:35" ht="15.75" thickBot="1" x14ac:dyDescent="0.3">
      <c r="A10" s="475" t="s">
        <v>106</v>
      </c>
      <c r="B10" s="487"/>
      <c r="C10" s="166">
        <f>'Yearly Summary '!$C$30</f>
        <v>0</v>
      </c>
      <c r="D10" s="164">
        <f>'Yearly Summary '!D30</f>
        <v>47620.341562064437</v>
      </c>
      <c r="E10" s="164">
        <f>'Yearly Summary '!E30</f>
        <v>807597.32483354118</v>
      </c>
      <c r="F10" s="164">
        <f>'Yearly Summary '!F30</f>
        <v>19787.861215791898</v>
      </c>
      <c r="G10" s="164">
        <f>'Yearly Summary '!G30</f>
        <v>0</v>
      </c>
      <c r="H10" s="164">
        <f>'Yearly Summary '!H30</f>
        <v>60053.357641430965</v>
      </c>
      <c r="I10" s="164">
        <f>'Yearly Summary '!I30</f>
        <v>59999.49141989569</v>
      </c>
      <c r="J10" s="164">
        <f>'Yearly Summary '!$Q$30</f>
        <v>0</v>
      </c>
      <c r="K10" s="164">
        <v>1.2105721215442565E-3</v>
      </c>
      <c r="L10" s="164">
        <v>1.8505665867433036E-2</v>
      </c>
      <c r="M10" s="164">
        <f>'Yearly Summary '!$W$30</f>
        <v>10795.253969314434</v>
      </c>
      <c r="N10" s="164">
        <f>'Yearly Summary '!$Y$30</f>
        <v>4211.6854321686324</v>
      </c>
      <c r="O10" s="164">
        <f>'Yearly Summary '!$AA$30</f>
        <v>43559.699330097996</v>
      </c>
      <c r="P10" s="165">
        <f>('Yearly Summary '!$AB$30)*(1-AI6)</f>
        <v>0</v>
      </c>
      <c r="Q10" s="163">
        <f>'Yearly Summary '!J30</f>
        <v>115556.20550386541</v>
      </c>
      <c r="R10" s="164">
        <f>'Yearly Summary '!K30</f>
        <v>428584.46831558604</v>
      </c>
      <c r="S10" s="164">
        <f>'Yearly Summary '!L30</f>
        <v>29772.617459920464</v>
      </c>
      <c r="T10" s="164">
        <f>'Yearly Summary '!M30</f>
        <v>275.37744327888532</v>
      </c>
      <c r="U10" s="164">
        <f>'Yearly Summary '!N30</f>
        <v>0</v>
      </c>
      <c r="V10" s="164">
        <f>'Yearly Summary '!O30</f>
        <v>0</v>
      </c>
      <c r="W10" s="164">
        <f>'Yearly Summary '!$P$30</f>
        <v>0</v>
      </c>
      <c r="X10" s="164">
        <f>'Yearly Summary '!$R$30</f>
        <v>0</v>
      </c>
      <c r="Y10" s="164">
        <v>0.11860580125559859</v>
      </c>
      <c r="Z10" s="164">
        <f>'Yearly Summary '!$V$30</f>
        <v>31056.387445502933</v>
      </c>
      <c r="AA10" s="164">
        <f>'Yearly Summary '!$X$30</f>
        <v>12354.69627290023</v>
      </c>
      <c r="AB10" s="164">
        <f>'Yearly Summary '!$Z$30</f>
        <v>142726.41878092449</v>
      </c>
      <c r="AC10" s="165">
        <f>('Yearly Summary '!$AB$30)*AI6</f>
        <v>0</v>
      </c>
      <c r="AD10" s="166">
        <f>'Yearly Summary '!$AC$30</f>
        <v>6518.6845563466222</v>
      </c>
      <c r="AE10" s="164">
        <f>'Yearly Summary '!$AD$30</f>
        <v>0</v>
      </c>
      <c r="AF10" s="167" t="s">
        <v>107</v>
      </c>
      <c r="AG10" s="168">
        <f>'[1]Yearly Summary '!$Q$29</f>
        <v>0</v>
      </c>
      <c r="AH10" s="167" t="s">
        <v>108</v>
      </c>
      <c r="AI10" s="169">
        <f>'[1]Yearly Summary '!$R$29</f>
        <v>0</v>
      </c>
    </row>
    <row r="11" spans="1:35" ht="15.75" thickBot="1" x14ac:dyDescent="0.3">
      <c r="A11" s="355" t="s">
        <v>207</v>
      </c>
      <c r="B11" s="215"/>
      <c r="C11" s="492" t="s">
        <v>117</v>
      </c>
      <c r="D11" s="493"/>
      <c r="E11" s="493"/>
      <c r="F11" s="218">
        <f>SUM(C10:P10)</f>
        <v>1053625.0351205431</v>
      </c>
      <c r="G11" s="494" t="s">
        <v>118</v>
      </c>
      <c r="H11" s="493"/>
      <c r="I11" s="493"/>
      <c r="J11" s="219">
        <f>SUM(Q10:AE10)</f>
        <v>766844.97438412637</v>
      </c>
      <c r="K11" s="494" t="s">
        <v>119</v>
      </c>
      <c r="L11" s="495"/>
      <c r="M11" s="495">
        <f>SUM(C10:AE10)</f>
        <v>1820470.0095046696</v>
      </c>
      <c r="N11" s="504"/>
      <c r="O11" s="505" t="s">
        <v>120</v>
      </c>
      <c r="P11" s="506"/>
      <c r="Q11" s="506"/>
      <c r="R11" s="220" t="e">
        <f>($AG$6+$AH$6)/($AG$19+$AI$19)</f>
        <v>#DIV/0!</v>
      </c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184"/>
      <c r="AF11" s="418" t="s">
        <v>110</v>
      </c>
      <c r="AG11" s="418" t="s">
        <v>111</v>
      </c>
      <c r="AH11" s="418" t="s">
        <v>112</v>
      </c>
      <c r="AI11" s="418" t="s">
        <v>113</v>
      </c>
    </row>
    <row r="12" spans="1:35" ht="21.75" customHeight="1" thickBot="1" x14ac:dyDescent="0.3">
      <c r="A12" s="488">
        <f>A1+1</f>
        <v>2014</v>
      </c>
      <c r="B12" s="489"/>
      <c r="C12" s="490" t="s">
        <v>109</v>
      </c>
      <c r="D12" s="490"/>
      <c r="E12" s="490"/>
      <c r="F12" s="490"/>
      <c r="G12" s="490"/>
      <c r="H12" s="490"/>
      <c r="I12" s="490"/>
      <c r="J12" s="490"/>
      <c r="K12" s="490"/>
      <c r="L12" s="490"/>
      <c r="M12" s="490"/>
      <c r="N12" s="490"/>
      <c r="O12" s="490"/>
      <c r="P12" s="490"/>
      <c r="Q12" s="490"/>
      <c r="R12" s="490"/>
      <c r="S12" s="491"/>
      <c r="T12" s="491"/>
      <c r="U12" s="491"/>
      <c r="V12" s="491"/>
      <c r="W12" s="491"/>
      <c r="X12" s="491"/>
      <c r="Y12" s="491"/>
      <c r="Z12" s="491"/>
      <c r="AA12" s="491"/>
      <c r="AB12" s="491"/>
      <c r="AC12" s="491"/>
      <c r="AD12" s="491"/>
      <c r="AE12" s="491"/>
      <c r="AF12" s="419"/>
      <c r="AG12" s="419"/>
      <c r="AH12" s="419"/>
      <c r="AI12" s="419"/>
    </row>
    <row r="13" spans="1:35" ht="15" customHeight="1" x14ac:dyDescent="0.25">
      <c r="A13" s="471" t="s">
        <v>114</v>
      </c>
      <c r="B13" s="472"/>
      <c r="C13" s="170" t="s">
        <v>100</v>
      </c>
      <c r="D13" s="171" t="s">
        <v>100</v>
      </c>
      <c r="E13" s="171" t="s">
        <v>100</v>
      </c>
      <c r="F13" s="171" t="s">
        <v>100</v>
      </c>
      <c r="G13" s="171" t="s">
        <v>100</v>
      </c>
      <c r="H13" s="171" t="s">
        <v>101</v>
      </c>
      <c r="I13" s="171" t="s">
        <v>100</v>
      </c>
      <c r="J13" s="171" t="s">
        <v>100</v>
      </c>
      <c r="K13" s="171" t="s">
        <v>100</v>
      </c>
      <c r="L13" s="171" t="s">
        <v>100</v>
      </c>
      <c r="M13" s="171" t="s">
        <v>101</v>
      </c>
      <c r="N13" s="171" t="s">
        <v>100</v>
      </c>
      <c r="O13" s="171" t="s">
        <v>100</v>
      </c>
      <c r="P13" s="172" t="s">
        <v>100</v>
      </c>
      <c r="Q13" s="141" t="s">
        <v>100</v>
      </c>
      <c r="R13" s="142" t="s">
        <v>100</v>
      </c>
      <c r="S13" s="142" t="s">
        <v>100</v>
      </c>
      <c r="T13" s="142" t="s">
        <v>100</v>
      </c>
      <c r="U13" s="142" t="s">
        <v>100</v>
      </c>
      <c r="V13" s="142" t="s">
        <v>100</v>
      </c>
      <c r="W13" s="142" t="s">
        <v>100</v>
      </c>
      <c r="X13" s="142" t="s">
        <v>100</v>
      </c>
      <c r="Y13" s="142" t="s">
        <v>100</v>
      </c>
      <c r="Z13" s="142" t="s">
        <v>101</v>
      </c>
      <c r="AA13" s="142" t="s">
        <v>100</v>
      </c>
      <c r="AB13" s="142" t="s">
        <v>100</v>
      </c>
      <c r="AC13" s="143" t="s">
        <v>100</v>
      </c>
      <c r="AD13" s="144" t="s">
        <v>101</v>
      </c>
      <c r="AE13" s="173" t="s">
        <v>100</v>
      </c>
      <c r="AF13" s="419"/>
      <c r="AG13" s="419"/>
      <c r="AH13" s="419"/>
      <c r="AI13" s="419"/>
    </row>
    <row r="14" spans="1:35" x14ac:dyDescent="0.25">
      <c r="A14" s="471"/>
      <c r="B14" s="472"/>
      <c r="C14" s="141">
        <f t="shared" ref="C14:P14" si="4">(C6/$AH$6)*$AB$18</f>
        <v>0</v>
      </c>
      <c r="D14" s="142">
        <f t="shared" si="4"/>
        <v>45384.468482719167</v>
      </c>
      <c r="E14" s="142">
        <f t="shared" si="4"/>
        <v>526899.49682980194</v>
      </c>
      <c r="F14" s="142">
        <f t="shared" si="4"/>
        <v>6999.1048504362352</v>
      </c>
      <c r="G14" s="142">
        <f t="shared" si="4"/>
        <v>0</v>
      </c>
      <c r="H14" s="142">
        <f t="shared" si="4"/>
        <v>1549621.5572495214</v>
      </c>
      <c r="I14" s="142">
        <f t="shared" si="4"/>
        <v>22600.628884337038</v>
      </c>
      <c r="J14" s="142">
        <f t="shared" si="4"/>
        <v>0</v>
      </c>
      <c r="K14" s="142">
        <f t="shared" si="4"/>
        <v>0</v>
      </c>
      <c r="L14" s="142">
        <f t="shared" si="4"/>
        <v>0</v>
      </c>
      <c r="M14" s="142">
        <f t="shared" si="4"/>
        <v>56343.133561339855</v>
      </c>
      <c r="N14" s="142">
        <f t="shared" si="4"/>
        <v>4734.7445855328397</v>
      </c>
      <c r="O14" s="142">
        <f t="shared" si="4"/>
        <v>28419.588516859927</v>
      </c>
      <c r="P14" s="143">
        <f t="shared" si="4"/>
        <v>0</v>
      </c>
      <c r="Q14" s="141">
        <f>(Q6/$AG$6)*$T$18</f>
        <v>123294.56455258034</v>
      </c>
      <c r="R14" s="142">
        <f t="shared" ref="R14:AE14" si="5">(R6/$AG$6)*$T$18</f>
        <v>289914.76629774284</v>
      </c>
      <c r="S14" s="142">
        <f t="shared" si="5"/>
        <v>7474.4599847587406</v>
      </c>
      <c r="T14" s="142">
        <f t="shared" si="5"/>
        <v>711.93832362572766</v>
      </c>
      <c r="U14" s="142">
        <f t="shared" si="5"/>
        <v>0</v>
      </c>
      <c r="V14" s="142">
        <f t="shared" si="5"/>
        <v>0</v>
      </c>
      <c r="W14" s="142">
        <f t="shared" si="5"/>
        <v>0</v>
      </c>
      <c r="X14" s="142">
        <f t="shared" si="5"/>
        <v>0</v>
      </c>
      <c r="Y14" s="142">
        <f t="shared" si="5"/>
        <v>0</v>
      </c>
      <c r="Z14" s="142">
        <f t="shared" si="5"/>
        <v>115047.77637240612</v>
      </c>
      <c r="AA14" s="142">
        <f t="shared" si="5"/>
        <v>9858.0692080795416</v>
      </c>
      <c r="AB14" s="142">
        <f t="shared" si="5"/>
        <v>66093.148512047541</v>
      </c>
      <c r="AC14" s="143">
        <f t="shared" si="5"/>
        <v>0</v>
      </c>
      <c r="AD14" s="144">
        <f t="shared" si="5"/>
        <v>4559.1074958560448</v>
      </c>
      <c r="AE14" s="173">
        <f t="shared" si="5"/>
        <v>0</v>
      </c>
      <c r="AF14" s="419"/>
      <c r="AG14" s="419"/>
      <c r="AH14" s="419"/>
      <c r="AI14" s="419"/>
    </row>
    <row r="15" spans="1:35" x14ac:dyDescent="0.25">
      <c r="A15" s="473" t="s">
        <v>115</v>
      </c>
      <c r="B15" s="474"/>
      <c r="C15" s="149">
        <f t="shared" ref="C15:P15" si="6">C8*$AB$18</f>
        <v>0</v>
      </c>
      <c r="D15" s="150">
        <f t="shared" si="6"/>
        <v>100.68272026080351</v>
      </c>
      <c r="E15" s="150">
        <f t="shared" si="6"/>
        <v>1691.821594370811</v>
      </c>
      <c r="F15" s="150">
        <f t="shared" si="6"/>
        <v>30.353717915371863</v>
      </c>
      <c r="G15" s="150">
        <f t="shared" si="6"/>
        <v>0</v>
      </c>
      <c r="H15" s="150">
        <f t="shared" si="6"/>
        <v>774.8107786247607</v>
      </c>
      <c r="I15" s="150">
        <f t="shared" si="6"/>
        <v>37.438676267343048</v>
      </c>
      <c r="J15" s="150">
        <f t="shared" si="6"/>
        <v>0</v>
      </c>
      <c r="K15" s="150">
        <f t="shared" si="6"/>
        <v>0</v>
      </c>
      <c r="L15" s="150">
        <f t="shared" si="6"/>
        <v>0</v>
      </c>
      <c r="M15" s="150">
        <f t="shared" si="6"/>
        <v>28.171566780669927</v>
      </c>
      <c r="N15" s="150">
        <f t="shared" si="6"/>
        <v>5.1245253314199521</v>
      </c>
      <c r="O15" s="150">
        <f t="shared" si="6"/>
        <v>91.252456768785535</v>
      </c>
      <c r="P15" s="151">
        <f t="shared" si="6"/>
        <v>0</v>
      </c>
      <c r="Q15" s="149">
        <f t="shared" ref="Q15:AD15" si="7">Q8*$T$18</f>
        <v>15.871450376268104</v>
      </c>
      <c r="R15" s="150">
        <f t="shared" si="7"/>
        <v>643.1585141455646</v>
      </c>
      <c r="S15" s="150">
        <f t="shared" si="7"/>
        <v>32.415238061901697</v>
      </c>
      <c r="T15" s="150">
        <f t="shared" si="7"/>
        <v>1.1793489710815357</v>
      </c>
      <c r="U15" s="150">
        <f t="shared" si="7"/>
        <v>0</v>
      </c>
      <c r="V15" s="150">
        <f t="shared" si="7"/>
        <v>0</v>
      </c>
      <c r="W15" s="150">
        <f t="shared" si="7"/>
        <v>0</v>
      </c>
      <c r="X15" s="150">
        <f t="shared" si="7"/>
        <v>0</v>
      </c>
      <c r="Y15" s="150">
        <f t="shared" si="7"/>
        <v>0</v>
      </c>
      <c r="Z15" s="150">
        <f t="shared" si="7"/>
        <v>57.52388818620306</v>
      </c>
      <c r="AA15" s="150">
        <f t="shared" si="7"/>
        <v>10.669619968530874</v>
      </c>
      <c r="AB15" s="150">
        <f t="shared" si="7"/>
        <v>212.2184905573335</v>
      </c>
      <c r="AC15" s="151">
        <f t="shared" si="7"/>
        <v>0</v>
      </c>
      <c r="AD15" s="152">
        <f t="shared" si="7"/>
        <v>2.2795537479280226</v>
      </c>
      <c r="AE15" s="174">
        <f>(AE14*(1.029*8.34)*0.03)/2000</f>
        <v>0</v>
      </c>
      <c r="AF15" s="419"/>
      <c r="AG15" s="419"/>
      <c r="AH15" s="419"/>
      <c r="AI15" s="419"/>
    </row>
    <row r="16" spans="1:35" ht="15" customHeight="1" thickBot="1" x14ac:dyDescent="0.3">
      <c r="A16" s="475" t="s">
        <v>116</v>
      </c>
      <c r="B16" s="476"/>
      <c r="C16" s="175">
        <f>$AI$30*C15</f>
        <v>0</v>
      </c>
      <c r="D16" s="176">
        <f>$AI$28*D15</f>
        <v>65242.402729000671</v>
      </c>
      <c r="E16" s="176">
        <f>$AI$31*E15</f>
        <v>1106451.3227185104</v>
      </c>
      <c r="F16" s="176">
        <f>$AI$26*F15</f>
        <v>27110.423156114379</v>
      </c>
      <c r="G16" s="177">
        <f>$AI$23*G15</f>
        <v>0</v>
      </c>
      <c r="H16" s="177">
        <f>$AI$24*H15</f>
        <v>82439.866845674536</v>
      </c>
      <c r="I16" s="177">
        <f>$AI$29*I15</f>
        <v>82202.496965507962</v>
      </c>
      <c r="J16" s="177">
        <v>0</v>
      </c>
      <c r="K16" s="177">
        <f>'Yearly Summary '!$S$30</f>
        <v>0</v>
      </c>
      <c r="L16" s="177">
        <f>'Yearly Summary '!$U$30</f>
        <v>0</v>
      </c>
      <c r="M16" s="177">
        <f>$AI$27*M15</f>
        <v>14790.072559851711</v>
      </c>
      <c r="N16" s="177">
        <f>$AI$22*N15</f>
        <v>5770.2332263888711</v>
      </c>
      <c r="O16" s="177">
        <f>$AI$31*O15</f>
        <v>59679.106726785743</v>
      </c>
      <c r="P16" s="178">
        <v>0</v>
      </c>
      <c r="Q16" s="179">
        <f>$AI$30*Q15</f>
        <v>112369.86866397818</v>
      </c>
      <c r="R16" s="177">
        <f>$AI$28*R15</f>
        <v>416766.71716632583</v>
      </c>
      <c r="S16" s="177">
        <f>$AI$26*S15</f>
        <v>28951.669874987499</v>
      </c>
      <c r="T16" s="177">
        <f>$AI$25*T15</f>
        <v>1934.1323125737185</v>
      </c>
      <c r="U16" s="177">
        <f>$AI$23*U15</f>
        <v>0</v>
      </c>
      <c r="V16" s="177">
        <f>$AI$23*V15</f>
        <v>0</v>
      </c>
      <c r="W16" s="177">
        <v>0</v>
      </c>
      <c r="X16" s="177">
        <v>0</v>
      </c>
      <c r="Y16" s="177">
        <f>'Yearly Summary '!$T$30</f>
        <v>0</v>
      </c>
      <c r="Z16" s="177">
        <f>$AI$27*Z15</f>
        <v>30200.041297756605</v>
      </c>
      <c r="AA16" s="177">
        <f>$AI$22*AA15</f>
        <v>12014.028943886531</v>
      </c>
      <c r="AB16" s="177">
        <f>$AI$31*AB15</f>
        <v>138790.89282449611</v>
      </c>
      <c r="AC16" s="178">
        <v>0</v>
      </c>
      <c r="AD16" s="180">
        <f>$AI$27*AD15</f>
        <v>1196.765717662212</v>
      </c>
      <c r="AE16" s="181">
        <f>$AI$30*AE15</f>
        <v>0</v>
      </c>
      <c r="AF16" s="419"/>
      <c r="AG16" s="419"/>
      <c r="AH16" s="419"/>
      <c r="AI16" s="419"/>
    </row>
    <row r="17" spans="1:35" ht="15" customHeight="1" thickBot="1" x14ac:dyDescent="0.3">
      <c r="A17" s="477"/>
      <c r="B17" s="478"/>
      <c r="C17" s="479" t="s">
        <v>117</v>
      </c>
      <c r="D17" s="480"/>
      <c r="E17" s="480"/>
      <c r="F17" s="182">
        <f>SUM(C16:P16)</f>
        <v>1443685.9249278342</v>
      </c>
      <c r="G17" s="481" t="s">
        <v>118</v>
      </c>
      <c r="H17" s="480"/>
      <c r="I17" s="480"/>
      <c r="J17" s="183">
        <f>SUM(Q16:AE16)</f>
        <v>742224.11680166668</v>
      </c>
      <c r="K17" s="481" t="s">
        <v>119</v>
      </c>
      <c r="L17" s="482"/>
      <c r="M17" s="483">
        <f>SUM(C16:AE16)</f>
        <v>2185910.041729501</v>
      </c>
      <c r="N17" s="484"/>
      <c r="O17" s="485"/>
      <c r="P17" s="486"/>
      <c r="Q17" s="486"/>
      <c r="R17" s="221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420"/>
      <c r="AG17" s="420"/>
      <c r="AH17" s="420"/>
      <c r="AI17" s="420"/>
    </row>
    <row r="18" spans="1:35" ht="15" customHeight="1" thickTop="1" thickBot="1" x14ac:dyDescent="0.3">
      <c r="A18" s="185" t="s">
        <v>121</v>
      </c>
      <c r="B18" s="186"/>
      <c r="C18" s="186"/>
      <c r="D18" s="187">
        <v>6006</v>
      </c>
      <c r="E18" s="188" t="s">
        <v>122</v>
      </c>
      <c r="F18" s="189"/>
      <c r="G18" s="189"/>
      <c r="H18" s="190">
        <f>D18*((AF19+AH19)/(AG6+AH6))</f>
        <v>0</v>
      </c>
      <c r="I18" s="191" t="s">
        <v>123</v>
      </c>
      <c r="J18" s="189"/>
      <c r="K18" s="189"/>
      <c r="L18" s="192">
        <v>0.67500000000000004</v>
      </c>
      <c r="M18" s="191" t="s">
        <v>124</v>
      </c>
      <c r="N18" s="189"/>
      <c r="O18" s="189"/>
      <c r="P18" s="193">
        <f>L18/(1-L18)</f>
        <v>2.0769230769230775</v>
      </c>
      <c r="Q18" s="191" t="s">
        <v>125</v>
      </c>
      <c r="R18" s="189"/>
      <c r="S18" s="189"/>
      <c r="T18" s="190">
        <f>D18*L18</f>
        <v>4054.05</v>
      </c>
      <c r="U18" s="191" t="s">
        <v>126</v>
      </c>
      <c r="V18" s="189"/>
      <c r="W18" s="189"/>
      <c r="X18" s="190">
        <f>H18*L18</f>
        <v>0</v>
      </c>
      <c r="Y18" s="191" t="s">
        <v>127</v>
      </c>
      <c r="Z18" s="189"/>
      <c r="AA18" s="189"/>
      <c r="AB18" s="190">
        <f>D18-T18</f>
        <v>1951.9499999999998</v>
      </c>
      <c r="AC18" s="191" t="s">
        <v>128</v>
      </c>
      <c r="AD18" s="189"/>
      <c r="AE18" s="194">
        <f>H18-X18</f>
        <v>0</v>
      </c>
      <c r="AF18" s="222" t="s">
        <v>102</v>
      </c>
      <c r="AG18" s="223" t="s">
        <v>102</v>
      </c>
      <c r="AH18" s="223" t="s">
        <v>102</v>
      </c>
      <c r="AI18" s="223" t="s">
        <v>102</v>
      </c>
    </row>
    <row r="19" spans="1:35" ht="16.5" thickTop="1" thickBot="1" x14ac:dyDescent="0.3">
      <c r="O19" s="462"/>
      <c r="P19" s="462"/>
      <c r="AF19" s="195">
        <f>'[1]Yearly Summary '!$C$29</f>
        <v>0</v>
      </c>
      <c r="AG19" s="195">
        <f>AF19-AG10</f>
        <v>0</v>
      </c>
      <c r="AH19" s="195">
        <f>'[1]Yearly Summary '!$D$29</f>
        <v>0</v>
      </c>
      <c r="AI19" s="195">
        <f>AH19-AI10</f>
        <v>0</v>
      </c>
    </row>
    <row r="20" spans="1:35" ht="15" customHeight="1" x14ac:dyDescent="0.25">
      <c r="A20" s="463">
        <f>A12</f>
        <v>2014</v>
      </c>
      <c r="B20" s="464"/>
      <c r="C20" s="464" t="s">
        <v>129</v>
      </c>
      <c r="D20" s="464"/>
      <c r="E20" s="464"/>
      <c r="F20" s="464"/>
      <c r="G20" s="464"/>
      <c r="H20" s="464"/>
      <c r="I20" s="464"/>
      <c r="J20" s="464" t="s">
        <v>130</v>
      </c>
      <c r="K20" s="464"/>
      <c r="L20" s="464"/>
      <c r="M20" s="464"/>
      <c r="N20" s="464"/>
      <c r="O20" s="464"/>
      <c r="P20" s="465"/>
      <c r="Q20" s="196"/>
      <c r="R20" s="197">
        <f>A1</f>
        <v>2013</v>
      </c>
      <c r="S20" s="466" t="s">
        <v>131</v>
      </c>
      <c r="T20" s="467"/>
      <c r="U20" s="468" t="s">
        <v>132</v>
      </c>
      <c r="V20" s="469"/>
      <c r="W20" s="469"/>
      <c r="X20" s="469"/>
      <c r="Y20" s="470"/>
      <c r="Z20" s="451" t="s">
        <v>133</v>
      </c>
      <c r="AA20" s="452"/>
      <c r="AB20" s="452"/>
      <c r="AC20" s="452"/>
      <c r="AD20" s="453"/>
      <c r="AE20" s="454" t="s">
        <v>134</v>
      </c>
      <c r="AF20" s="455"/>
      <c r="AG20" s="455"/>
      <c r="AH20" s="455"/>
      <c r="AI20" s="456"/>
    </row>
    <row r="21" spans="1:35" ht="15.75" thickBot="1" x14ac:dyDescent="0.3">
      <c r="A21" s="457" t="s">
        <v>135</v>
      </c>
      <c r="B21" s="458"/>
      <c r="C21" s="443" t="s">
        <v>161</v>
      </c>
      <c r="D21" s="443"/>
      <c r="E21" s="443" t="s">
        <v>162</v>
      </c>
      <c r="F21" s="450"/>
      <c r="G21" s="450" t="s">
        <v>163</v>
      </c>
      <c r="H21" s="459"/>
      <c r="I21" s="459"/>
      <c r="J21" s="460" t="s">
        <v>164</v>
      </c>
      <c r="K21" s="460"/>
      <c r="L21" s="461"/>
      <c r="M21" s="460" t="s">
        <v>165</v>
      </c>
      <c r="N21" s="461"/>
      <c r="O21" s="443" t="s">
        <v>136</v>
      </c>
      <c r="P21" s="422"/>
      <c r="Q21" s="196"/>
      <c r="R21" s="423" t="s">
        <v>135</v>
      </c>
      <c r="S21" s="424"/>
      <c r="T21" s="424"/>
      <c r="U21" s="198" t="s">
        <v>137</v>
      </c>
      <c r="V21" s="246" t="s">
        <v>138</v>
      </c>
      <c r="W21" s="246" t="s">
        <v>139</v>
      </c>
      <c r="X21" s="246" t="s">
        <v>58</v>
      </c>
      <c r="Y21" s="246" t="s">
        <v>140</v>
      </c>
      <c r="Z21" s="199" t="s">
        <v>137</v>
      </c>
      <c r="AA21" s="199" t="s">
        <v>138</v>
      </c>
      <c r="AB21" s="199" t="s">
        <v>139</v>
      </c>
      <c r="AC21" s="199" t="s">
        <v>58</v>
      </c>
      <c r="AD21" s="199" t="s">
        <v>140</v>
      </c>
      <c r="AE21" s="200" t="s">
        <v>137</v>
      </c>
      <c r="AF21" s="200" t="s">
        <v>138</v>
      </c>
      <c r="AG21" s="200" t="s">
        <v>139</v>
      </c>
      <c r="AH21" s="200" t="s">
        <v>58</v>
      </c>
      <c r="AI21" s="201" t="s">
        <v>140</v>
      </c>
    </row>
    <row r="22" spans="1:35" ht="15.75" thickTop="1" x14ac:dyDescent="0.25">
      <c r="A22" s="440" t="s">
        <v>141</v>
      </c>
      <c r="B22" s="441"/>
      <c r="C22" s="442">
        <f>N15+AA15</f>
        <v>15.794145299950827</v>
      </c>
      <c r="D22" s="443"/>
      <c r="E22" s="444">
        <f>N16+AA16</f>
        <v>17784.262170275404</v>
      </c>
      <c r="F22" s="445"/>
      <c r="G22" s="446">
        <f>(C22*2000)/(8.34*0.895*0.29)</f>
        <v>14592.813793612379</v>
      </c>
      <c r="H22" s="446"/>
      <c r="I22" s="202" t="s">
        <v>142</v>
      </c>
      <c r="J22" s="447">
        <f>(G22*8.34*0.895)/27000</f>
        <v>4.0342644444318845</v>
      </c>
      <c r="K22" s="448"/>
      <c r="L22" s="203" t="s">
        <v>143</v>
      </c>
      <c r="M22" s="449">
        <f>ROUNDUP(J22,0)</f>
        <v>5</v>
      </c>
      <c r="N22" s="450"/>
      <c r="O22" s="421">
        <f>((M22*27000)/(8.34*0.895))*$Y$22</f>
        <v>22041.517623889711</v>
      </c>
      <c r="P22" s="422"/>
      <c r="Q22" s="196"/>
      <c r="R22" s="423" t="s">
        <v>141</v>
      </c>
      <c r="S22" s="424"/>
      <c r="T22" s="424"/>
      <c r="U22" s="242" t="s">
        <v>142</v>
      </c>
      <c r="V22" s="356">
        <v>1.2186999999999999</v>
      </c>
      <c r="W22" s="357">
        <v>1.2186999999999999</v>
      </c>
      <c r="X22" s="357">
        <v>1.2186999999999999</v>
      </c>
      <c r="Y22" s="358">
        <v>1.2186999999999999</v>
      </c>
      <c r="Z22" s="244" t="s">
        <v>142</v>
      </c>
      <c r="AA22" s="204">
        <f>V22</f>
        <v>1.2186999999999999</v>
      </c>
      <c r="AB22" s="204">
        <f>W22</f>
        <v>1.2186999999999999</v>
      </c>
      <c r="AC22" s="204">
        <f>X22</f>
        <v>1.2186999999999999</v>
      </c>
      <c r="AD22" s="204">
        <f>Y22</f>
        <v>1.2186999999999999</v>
      </c>
      <c r="AE22" s="205" t="s">
        <v>144</v>
      </c>
      <c r="AF22" s="206">
        <f>(V22/((0.895*8.34)*0.29))*2000</f>
        <v>1126.0034546048385</v>
      </c>
      <c r="AG22" s="206">
        <f>(W22/((0.895*8.34)*0.29))*2000</f>
        <v>1126.0034546048385</v>
      </c>
      <c r="AH22" s="206">
        <f>(X22/((0.895*8.34)*0.29))*2000</f>
        <v>1126.0034546048385</v>
      </c>
      <c r="AI22" s="207">
        <f>(Y22/((0.895*8.34)*0.29))*2000</f>
        <v>1126.0034546048385</v>
      </c>
    </row>
    <row r="23" spans="1:35" x14ac:dyDescent="0.25">
      <c r="A23" s="440" t="s">
        <v>145</v>
      </c>
      <c r="B23" s="441"/>
      <c r="C23" s="442">
        <f>G15+U15+V15</f>
        <v>0</v>
      </c>
      <c r="D23" s="443"/>
      <c r="E23" s="444">
        <f>G16+U16+V16</f>
        <v>0</v>
      </c>
      <c r="F23" s="445"/>
      <c r="G23" s="446">
        <f>C23*2000</f>
        <v>0</v>
      </c>
      <c r="H23" s="446"/>
      <c r="I23" s="202" t="s">
        <v>146</v>
      </c>
      <c r="J23" s="447">
        <f>(G23/(8.34*1.055))/400</f>
        <v>0</v>
      </c>
      <c r="K23" s="448"/>
      <c r="L23" s="203" t="s">
        <v>147</v>
      </c>
      <c r="M23" s="449">
        <f t="shared" ref="M23:M31" si="8">ROUNDUP(J23,0)</f>
        <v>0</v>
      </c>
      <c r="N23" s="450"/>
      <c r="O23" s="421">
        <f>(M23*400*8.34*1.055)*$Y$23</f>
        <v>0</v>
      </c>
      <c r="P23" s="422"/>
      <c r="Q23" s="196"/>
      <c r="R23" s="423" t="s">
        <v>145</v>
      </c>
      <c r="S23" s="424"/>
      <c r="T23" s="424"/>
      <c r="U23" s="242" t="s">
        <v>146</v>
      </c>
      <c r="V23" s="359">
        <v>1.4</v>
      </c>
      <c r="W23" s="360">
        <v>1.4</v>
      </c>
      <c r="X23" s="360">
        <v>1.4</v>
      </c>
      <c r="Y23" s="361">
        <v>1.4</v>
      </c>
      <c r="Z23" s="244" t="s">
        <v>142</v>
      </c>
      <c r="AA23" s="204">
        <f>V23*8.34*0.005</f>
        <v>5.8379999999999994E-2</v>
      </c>
      <c r="AB23" s="204">
        <f>W23*8.34*0.005</f>
        <v>5.8379999999999994E-2</v>
      </c>
      <c r="AC23" s="204">
        <f>X23*8.34*0.005</f>
        <v>5.8379999999999994E-2</v>
      </c>
      <c r="AD23" s="204">
        <f>Y23*8.34*0.005</f>
        <v>5.8379999999999994E-2</v>
      </c>
      <c r="AE23" s="205" t="s">
        <v>144</v>
      </c>
      <c r="AF23" s="206">
        <f>V23*2000</f>
        <v>2800</v>
      </c>
      <c r="AG23" s="206">
        <f>W23*2000</f>
        <v>2800</v>
      </c>
      <c r="AH23" s="206">
        <f>X23*2000</f>
        <v>2800</v>
      </c>
      <c r="AI23" s="207">
        <f>Y23*2000</f>
        <v>2800</v>
      </c>
    </row>
    <row r="24" spans="1:35" x14ac:dyDescent="0.25">
      <c r="A24" s="440" t="s">
        <v>148</v>
      </c>
      <c r="B24" s="441"/>
      <c r="C24" s="442">
        <f>H15</f>
        <v>774.8107786247607</v>
      </c>
      <c r="D24" s="443"/>
      <c r="E24" s="444">
        <f>H16</f>
        <v>82439.866845674536</v>
      </c>
      <c r="F24" s="445"/>
      <c r="G24" s="446">
        <f>C24</f>
        <v>774.8107786247607</v>
      </c>
      <c r="H24" s="446"/>
      <c r="I24" s="202" t="s">
        <v>149</v>
      </c>
      <c r="J24" s="447">
        <f>(G24*2000)/40000</f>
        <v>38.740538931238035</v>
      </c>
      <c r="K24" s="448"/>
      <c r="L24" s="203" t="s">
        <v>143</v>
      </c>
      <c r="M24" s="449">
        <f t="shared" si="8"/>
        <v>39</v>
      </c>
      <c r="N24" s="450"/>
      <c r="O24" s="421">
        <f>((M24*40000)/2000)*$Y$24</f>
        <v>82992</v>
      </c>
      <c r="P24" s="422"/>
      <c r="Q24" s="196"/>
      <c r="R24" s="423" t="s">
        <v>148</v>
      </c>
      <c r="S24" s="424"/>
      <c r="T24" s="424"/>
      <c r="U24" s="242" t="s">
        <v>149</v>
      </c>
      <c r="V24" s="359">
        <v>106</v>
      </c>
      <c r="W24" s="360">
        <v>106</v>
      </c>
      <c r="X24" s="360">
        <v>106.4</v>
      </c>
      <c r="Y24" s="361">
        <v>106.4</v>
      </c>
      <c r="Z24" s="244" t="s">
        <v>146</v>
      </c>
      <c r="AA24" s="204">
        <f>V24/2000</f>
        <v>5.2999999999999999E-2</v>
      </c>
      <c r="AB24" s="204">
        <f>W24/2000</f>
        <v>5.2999999999999999E-2</v>
      </c>
      <c r="AC24" s="204">
        <f>X24/2000</f>
        <v>5.3200000000000004E-2</v>
      </c>
      <c r="AD24" s="204">
        <f>Y24/2000</f>
        <v>5.3200000000000004E-2</v>
      </c>
      <c r="AE24" s="205" t="s">
        <v>144</v>
      </c>
      <c r="AF24" s="206">
        <f>V24</f>
        <v>106</v>
      </c>
      <c r="AG24" s="206">
        <f>W24</f>
        <v>106</v>
      </c>
      <c r="AH24" s="206">
        <f>X24</f>
        <v>106.4</v>
      </c>
      <c r="AI24" s="206">
        <f>Y24</f>
        <v>106.4</v>
      </c>
    </row>
    <row r="25" spans="1:35" ht="15.75" customHeight="1" x14ac:dyDescent="0.25">
      <c r="A25" s="440" t="s">
        <v>150</v>
      </c>
      <c r="B25" s="441"/>
      <c r="C25" s="442">
        <f>T15</f>
        <v>1.1793489710815357</v>
      </c>
      <c r="D25" s="443"/>
      <c r="E25" s="444">
        <f>T16</f>
        <v>1934.1323125737185</v>
      </c>
      <c r="F25" s="445"/>
      <c r="G25" s="446">
        <f>C25*2000</f>
        <v>2358.6979421630713</v>
      </c>
      <c r="H25" s="446"/>
      <c r="I25" s="202" t="s">
        <v>151</v>
      </c>
      <c r="J25" s="447">
        <f>G25/45000</f>
        <v>5.2415509825846029E-2</v>
      </c>
      <c r="K25" s="448"/>
      <c r="L25" s="203" t="s">
        <v>143</v>
      </c>
      <c r="M25" s="449">
        <f t="shared" si="8"/>
        <v>1</v>
      </c>
      <c r="N25" s="450"/>
      <c r="O25" s="421">
        <f>J25*45000*$Y$25</f>
        <v>1934.1323125737183</v>
      </c>
      <c r="P25" s="422"/>
      <c r="Q25" s="196"/>
      <c r="R25" s="423" t="s">
        <v>150</v>
      </c>
      <c r="S25" s="424"/>
      <c r="T25" s="424"/>
      <c r="U25" s="242" t="s">
        <v>151</v>
      </c>
      <c r="V25" s="359">
        <v>0.82</v>
      </c>
      <c r="W25" s="360">
        <v>0.82</v>
      </c>
      <c r="X25" s="360">
        <v>0.82</v>
      </c>
      <c r="Y25" s="361">
        <v>0.82</v>
      </c>
      <c r="Z25" s="244" t="s">
        <v>142</v>
      </c>
      <c r="AA25" s="204">
        <f>V25*8.34*0.055</f>
        <v>0.37613399999999997</v>
      </c>
      <c r="AB25" s="204">
        <f>W25*8.34*0.055</f>
        <v>0.37613399999999997</v>
      </c>
      <c r="AC25" s="204">
        <f>X25*8.34*0.055</f>
        <v>0.37613399999999997</v>
      </c>
      <c r="AD25" s="204">
        <f>Y25*8.34*0.055</f>
        <v>0.37613399999999997</v>
      </c>
      <c r="AE25" s="205" t="s">
        <v>144</v>
      </c>
      <c r="AF25" s="206">
        <f>V25*2000</f>
        <v>1640</v>
      </c>
      <c r="AG25" s="206">
        <f>W25*2000</f>
        <v>1640</v>
      </c>
      <c r="AH25" s="206">
        <f>X25*2000</f>
        <v>1640</v>
      </c>
      <c r="AI25" s="207">
        <f>Y25*2000</f>
        <v>1640</v>
      </c>
    </row>
    <row r="26" spans="1:35" x14ac:dyDescent="0.25">
      <c r="A26" s="440" t="s">
        <v>152</v>
      </c>
      <c r="B26" s="441"/>
      <c r="C26" s="442">
        <f>F15+S15</f>
        <v>62.768955977273563</v>
      </c>
      <c r="D26" s="443"/>
      <c r="E26" s="444">
        <f>F16+S16</f>
        <v>56062.093031101875</v>
      </c>
      <c r="F26" s="445"/>
      <c r="G26" s="446">
        <f>C26</f>
        <v>62.768955977273563</v>
      </c>
      <c r="H26" s="446"/>
      <c r="I26" s="202" t="s">
        <v>149</v>
      </c>
      <c r="J26" s="447">
        <f>(G26*2000)/45000</f>
        <v>2.7897313767677141</v>
      </c>
      <c r="K26" s="448"/>
      <c r="L26" s="203" t="s">
        <v>143</v>
      </c>
      <c r="M26" s="449">
        <f t="shared" si="8"/>
        <v>3</v>
      </c>
      <c r="N26" s="450"/>
      <c r="O26" s="421">
        <f>((M26*45000)/2000)*$Y$26</f>
        <v>60287.625</v>
      </c>
      <c r="P26" s="422"/>
      <c r="Q26" s="196"/>
      <c r="R26" s="423" t="s">
        <v>152</v>
      </c>
      <c r="S26" s="424"/>
      <c r="T26" s="424"/>
      <c r="U26" s="242" t="s">
        <v>149</v>
      </c>
      <c r="V26" s="359">
        <v>893.15</v>
      </c>
      <c r="W26" s="360">
        <v>893.15</v>
      </c>
      <c r="X26" s="360">
        <v>893.15</v>
      </c>
      <c r="Y26" s="361">
        <v>893.15</v>
      </c>
      <c r="Z26" s="244" t="s">
        <v>142</v>
      </c>
      <c r="AA26" s="204">
        <f>(V26/2000)*8.34*1.04*1</f>
        <v>3.8734129199999998</v>
      </c>
      <c r="AB26" s="204">
        <f t="shared" ref="AB26:AD26" si="9">(W26/2000)*8.34*1.04*1</f>
        <v>3.8734129199999998</v>
      </c>
      <c r="AC26" s="204">
        <f t="shared" si="9"/>
        <v>3.8734129199999998</v>
      </c>
      <c r="AD26" s="204">
        <f t="shared" si="9"/>
        <v>3.8734129199999998</v>
      </c>
      <c r="AE26" s="205" t="s">
        <v>144</v>
      </c>
      <c r="AF26" s="206">
        <f t="shared" ref="AF26:AI28" si="10">V26</f>
        <v>893.15</v>
      </c>
      <c r="AG26" s="206">
        <f t="shared" si="10"/>
        <v>893.15</v>
      </c>
      <c r="AH26" s="206">
        <f t="shared" si="10"/>
        <v>893.15</v>
      </c>
      <c r="AI26" s="207">
        <f t="shared" si="10"/>
        <v>893.15</v>
      </c>
    </row>
    <row r="27" spans="1:35" x14ac:dyDescent="0.25">
      <c r="A27" s="440" t="s">
        <v>153</v>
      </c>
      <c r="B27" s="441"/>
      <c r="C27" s="442">
        <f>M15+Z15+AD15</f>
        <v>87.975008714801007</v>
      </c>
      <c r="D27" s="443"/>
      <c r="E27" s="444">
        <f>M16+Z16+AD16</f>
        <v>46186.879575270526</v>
      </c>
      <c r="F27" s="445"/>
      <c r="G27" s="446">
        <f>C27</f>
        <v>87.975008714801007</v>
      </c>
      <c r="H27" s="446"/>
      <c r="I27" s="202" t="s">
        <v>149</v>
      </c>
      <c r="J27" s="447">
        <f>G27/8</f>
        <v>10.996876089350126</v>
      </c>
      <c r="K27" s="448"/>
      <c r="L27" s="203" t="s">
        <v>143</v>
      </c>
      <c r="M27" s="449">
        <f t="shared" si="8"/>
        <v>11</v>
      </c>
      <c r="N27" s="450"/>
      <c r="O27" s="421">
        <f>M27*8*$Y$27</f>
        <v>46200</v>
      </c>
      <c r="P27" s="422"/>
      <c r="Q27" s="196"/>
      <c r="R27" s="423" t="s">
        <v>153</v>
      </c>
      <c r="S27" s="424"/>
      <c r="T27" s="424"/>
      <c r="U27" s="242" t="s">
        <v>149</v>
      </c>
      <c r="V27" s="359">
        <v>525</v>
      </c>
      <c r="W27" s="360">
        <v>525</v>
      </c>
      <c r="X27" s="360">
        <v>525</v>
      </c>
      <c r="Y27" s="361">
        <v>525</v>
      </c>
      <c r="Z27" s="244" t="s">
        <v>146</v>
      </c>
      <c r="AA27" s="204">
        <f>V27/2000</f>
        <v>0.26250000000000001</v>
      </c>
      <c r="AB27" s="204">
        <f>W27/2000</f>
        <v>0.26250000000000001</v>
      </c>
      <c r="AC27" s="204">
        <f>X27/2000</f>
        <v>0.26250000000000001</v>
      </c>
      <c r="AD27" s="204">
        <f>Y27/2000</f>
        <v>0.26250000000000001</v>
      </c>
      <c r="AE27" s="205" t="s">
        <v>144</v>
      </c>
      <c r="AF27" s="206">
        <f t="shared" si="10"/>
        <v>525</v>
      </c>
      <c r="AG27" s="206">
        <f t="shared" si="10"/>
        <v>525</v>
      </c>
      <c r="AH27" s="206">
        <f t="shared" si="10"/>
        <v>525</v>
      </c>
      <c r="AI27" s="207">
        <f t="shared" si="10"/>
        <v>525</v>
      </c>
    </row>
    <row r="28" spans="1:35" x14ac:dyDescent="0.25">
      <c r="A28" s="440" t="s">
        <v>154</v>
      </c>
      <c r="B28" s="441"/>
      <c r="C28" s="442">
        <f>D15+L15+R15+Y15</f>
        <v>743.84123440636813</v>
      </c>
      <c r="D28" s="443"/>
      <c r="E28" s="444">
        <f>D16+L16+R16+Y16</f>
        <v>482009.1198953265</v>
      </c>
      <c r="F28" s="445"/>
      <c r="G28" s="446">
        <f>C28</f>
        <v>743.84123440636813</v>
      </c>
      <c r="H28" s="446"/>
      <c r="I28" s="202" t="s">
        <v>144</v>
      </c>
      <c r="J28" s="447">
        <f>((G28/0.38)*2000)/45000</f>
        <v>86.998974784370546</v>
      </c>
      <c r="K28" s="448"/>
      <c r="L28" s="203" t="s">
        <v>143</v>
      </c>
      <c r="M28" s="449">
        <f t="shared" si="8"/>
        <v>87</v>
      </c>
      <c r="N28" s="450"/>
      <c r="O28" s="421">
        <f>((M28*45000*0.38)/2000)*$Y$28</f>
        <v>482014.8</v>
      </c>
      <c r="P28" s="422"/>
      <c r="Q28" s="196"/>
      <c r="R28" s="423" t="s">
        <v>154</v>
      </c>
      <c r="S28" s="424"/>
      <c r="T28" s="424"/>
      <c r="U28" s="242" t="s">
        <v>144</v>
      </c>
      <c r="V28" s="359">
        <v>648</v>
      </c>
      <c r="W28" s="360">
        <v>648</v>
      </c>
      <c r="X28" s="360">
        <v>648</v>
      </c>
      <c r="Y28" s="361">
        <v>648</v>
      </c>
      <c r="Z28" s="244" t="s">
        <v>142</v>
      </c>
      <c r="AA28" s="204">
        <f>(V28/2000)*8.34*1.4*0.38</f>
        <v>1.4375491199999999</v>
      </c>
      <c r="AB28" s="204">
        <f>(W28/2000)*8.34*1.4*0.38</f>
        <v>1.4375491199999999</v>
      </c>
      <c r="AC28" s="204">
        <f>(X28/2000)*8.34*1.4*0.38</f>
        <v>1.4375491199999999</v>
      </c>
      <c r="AD28" s="204">
        <f>(Y28/2000)*8.34*1.4*0.38</f>
        <v>1.4375491199999999</v>
      </c>
      <c r="AE28" s="205" t="s">
        <v>144</v>
      </c>
      <c r="AF28" s="206">
        <f t="shared" si="10"/>
        <v>648</v>
      </c>
      <c r="AG28" s="206">
        <f t="shared" si="10"/>
        <v>648</v>
      </c>
      <c r="AH28" s="206">
        <f t="shared" si="10"/>
        <v>648</v>
      </c>
      <c r="AI28" s="207">
        <f t="shared" si="10"/>
        <v>648</v>
      </c>
    </row>
    <row r="29" spans="1:35" x14ac:dyDescent="0.25">
      <c r="A29" s="440" t="s">
        <v>155</v>
      </c>
      <c r="B29" s="441"/>
      <c r="C29" s="442">
        <f>I15</f>
        <v>37.438676267343048</v>
      </c>
      <c r="D29" s="443"/>
      <c r="E29" s="444">
        <f>I16</f>
        <v>82202.496965507962</v>
      </c>
      <c r="F29" s="445"/>
      <c r="G29" s="446">
        <f>C29/0.35</f>
        <v>106.967646478123</v>
      </c>
      <c r="H29" s="446"/>
      <c r="I29" s="202" t="s">
        <v>149</v>
      </c>
      <c r="J29" s="447">
        <f>(G29*2000)/45000</f>
        <v>4.754117621249911</v>
      </c>
      <c r="K29" s="448"/>
      <c r="L29" s="203" t="s">
        <v>143</v>
      </c>
      <c r="M29" s="449">
        <f t="shared" si="8"/>
        <v>5</v>
      </c>
      <c r="N29" s="450"/>
      <c r="O29" s="421">
        <f>((M29*45000)/2000)*$Y$29</f>
        <v>86454</v>
      </c>
      <c r="P29" s="422"/>
      <c r="Q29" s="196"/>
      <c r="R29" s="423" t="s">
        <v>155</v>
      </c>
      <c r="S29" s="424"/>
      <c r="T29" s="424"/>
      <c r="U29" s="242" t="s">
        <v>149</v>
      </c>
      <c r="V29" s="359">
        <v>768.48</v>
      </c>
      <c r="W29" s="360">
        <v>768.48</v>
      </c>
      <c r="X29" s="360">
        <v>768.48</v>
      </c>
      <c r="Y29" s="361">
        <v>768.48</v>
      </c>
      <c r="Z29" s="244" t="s">
        <v>142</v>
      </c>
      <c r="AA29" s="204">
        <f>(V29/2000)*8.34*1.135</f>
        <v>3.6371774160000006</v>
      </c>
      <c r="AB29" s="204">
        <f>(W29/2000)*8.34*1.135</f>
        <v>3.6371774160000006</v>
      </c>
      <c r="AC29" s="204">
        <f>(X29/2000)*8.34*1.135</f>
        <v>3.6371774160000006</v>
      </c>
      <c r="AD29" s="204">
        <f>(Y29/2000)*8.34*1.135</f>
        <v>3.6371774160000006</v>
      </c>
      <c r="AE29" s="205" t="s">
        <v>144</v>
      </c>
      <c r="AF29" s="206">
        <f>V29/0.35</f>
        <v>2195.6571428571428</v>
      </c>
      <c r="AG29" s="206">
        <f>W29/0.35</f>
        <v>2195.6571428571428</v>
      </c>
      <c r="AH29" s="206">
        <f>X29/0.35</f>
        <v>2195.6571428571428</v>
      </c>
      <c r="AI29" s="207">
        <f>Y29/0.35</f>
        <v>2195.6571428571428</v>
      </c>
    </row>
    <row r="30" spans="1:35" x14ac:dyDescent="0.25">
      <c r="A30" s="440" t="s">
        <v>156</v>
      </c>
      <c r="B30" s="441"/>
      <c r="C30" s="442">
        <f>C15+Q15+AE15</f>
        <v>15.871450376268104</v>
      </c>
      <c r="D30" s="443"/>
      <c r="E30" s="444">
        <f>C16+Q16+AE16</f>
        <v>112369.86866397818</v>
      </c>
      <c r="F30" s="445"/>
      <c r="G30" s="446">
        <f>C30*2000</f>
        <v>31742.900752536207</v>
      </c>
      <c r="H30" s="446"/>
      <c r="I30" s="202" t="s">
        <v>151</v>
      </c>
      <c r="J30" s="447">
        <f>G30/3300</f>
        <v>9.6190608341018802</v>
      </c>
      <c r="K30" s="448"/>
      <c r="L30" s="203" t="s">
        <v>157</v>
      </c>
      <c r="M30" s="449">
        <f t="shared" si="8"/>
        <v>10</v>
      </c>
      <c r="N30" s="450"/>
      <c r="O30" s="421">
        <f>M30*3300*$Y$30</f>
        <v>116820</v>
      </c>
      <c r="P30" s="422"/>
      <c r="Q30" s="196"/>
      <c r="R30" s="423" t="s">
        <v>156</v>
      </c>
      <c r="S30" s="424"/>
      <c r="T30" s="424"/>
      <c r="U30" s="242" t="s">
        <v>151</v>
      </c>
      <c r="V30" s="359">
        <v>3.54</v>
      </c>
      <c r="W30" s="360">
        <v>3.54</v>
      </c>
      <c r="X30" s="360">
        <v>3.54</v>
      </c>
      <c r="Y30" s="361">
        <v>3.54</v>
      </c>
      <c r="Z30" s="244" t="s">
        <v>142</v>
      </c>
      <c r="AA30" s="204">
        <f>(8.34*1.029*0.03)*V30</f>
        <v>0.91139353199999984</v>
      </c>
      <c r="AB30" s="204">
        <f>(8.34*1.029*0.03)*W30</f>
        <v>0.91139353199999984</v>
      </c>
      <c r="AC30" s="204">
        <f>(8.34*1.029*0.03)*X30</f>
        <v>0.91139353199999984</v>
      </c>
      <c r="AD30" s="204">
        <f>(8.34*1.029*0.03)*Y30</f>
        <v>0.91139353199999984</v>
      </c>
      <c r="AE30" s="205" t="s">
        <v>144</v>
      </c>
      <c r="AF30" s="206">
        <f>V30*2000</f>
        <v>7080</v>
      </c>
      <c r="AG30" s="206">
        <f>W30*2000</f>
        <v>7080</v>
      </c>
      <c r="AH30" s="206">
        <f>X30*2000</f>
        <v>7080</v>
      </c>
      <c r="AI30" s="207">
        <f>Y30*2000</f>
        <v>7080</v>
      </c>
    </row>
    <row r="31" spans="1:35" ht="15.75" thickBot="1" x14ac:dyDescent="0.3">
      <c r="A31" s="425" t="s">
        <v>158</v>
      </c>
      <c r="B31" s="426"/>
      <c r="C31" s="427">
        <f>E15+O15+AB15</f>
        <v>1995.2925416969301</v>
      </c>
      <c r="D31" s="428"/>
      <c r="E31" s="429">
        <f>E16+O16+AB16</f>
        <v>1304921.3222697922</v>
      </c>
      <c r="F31" s="430"/>
      <c r="G31" s="431">
        <f>(C31/0.5)*2000</f>
        <v>7981170.1667877203</v>
      </c>
      <c r="H31" s="431"/>
      <c r="I31" s="208" t="s">
        <v>146</v>
      </c>
      <c r="J31" s="432">
        <f>G31/45000</f>
        <v>177.35933703972711</v>
      </c>
      <c r="K31" s="433"/>
      <c r="L31" s="209" t="s">
        <v>143</v>
      </c>
      <c r="M31" s="434">
        <f t="shared" si="8"/>
        <v>178</v>
      </c>
      <c r="N31" s="435"/>
      <c r="O31" s="436">
        <f>M31*45000*$Y$31</f>
        <v>1309635</v>
      </c>
      <c r="P31" s="437"/>
      <c r="Q31" s="196"/>
      <c r="R31" s="438" t="s">
        <v>158</v>
      </c>
      <c r="S31" s="439"/>
      <c r="T31" s="439"/>
      <c r="U31" s="243" t="s">
        <v>146</v>
      </c>
      <c r="V31" s="362">
        <v>0.16350000000000001</v>
      </c>
      <c r="W31" s="363">
        <v>0.16350000000000001</v>
      </c>
      <c r="X31" s="363">
        <v>0.16350000000000001</v>
      </c>
      <c r="Y31" s="364">
        <v>0.16350000000000001</v>
      </c>
      <c r="Z31" s="245" t="s">
        <v>142</v>
      </c>
      <c r="AA31" s="210">
        <f>V31*8.34*1.54</f>
        <v>2.0999286000000001</v>
      </c>
      <c r="AB31" s="210">
        <f>W31*8.34*1.54</f>
        <v>2.0999286000000001</v>
      </c>
      <c r="AC31" s="210">
        <f>X31*8.34*1.54</f>
        <v>2.0999286000000001</v>
      </c>
      <c r="AD31" s="210">
        <f>Y31*8.34*1.54</f>
        <v>2.0999286000000001</v>
      </c>
      <c r="AE31" s="211" t="s">
        <v>144</v>
      </c>
      <c r="AF31" s="212">
        <f>(V31*2000)/0.5</f>
        <v>654</v>
      </c>
      <c r="AG31" s="212">
        <f>(W31*2000)/0.5</f>
        <v>654</v>
      </c>
      <c r="AH31" s="212">
        <f>(X31*2000)/0.5</f>
        <v>654</v>
      </c>
      <c r="AI31" s="213">
        <f>(Y31*2000)/0.5</f>
        <v>654</v>
      </c>
    </row>
    <row r="32" spans="1:35" x14ac:dyDescent="0.25">
      <c r="F32" s="214"/>
    </row>
    <row r="33" spans="7:17" x14ac:dyDescent="0.25">
      <c r="Q33">
        <f>(Q14*(1.029*8.34)*0.03)/2000</f>
        <v>15.871450376268106</v>
      </c>
    </row>
    <row r="34" spans="7:17" x14ac:dyDescent="0.25">
      <c r="G34" s="196"/>
    </row>
    <row r="35" spans="7:17" x14ac:dyDescent="0.25">
      <c r="G35" s="196"/>
    </row>
    <row r="36" spans="7:17" x14ac:dyDescent="0.25">
      <c r="G36" s="196"/>
    </row>
    <row r="37" spans="7:17" x14ac:dyDescent="0.25">
      <c r="G37" s="196"/>
    </row>
    <row r="38" spans="7:17" x14ac:dyDescent="0.25">
      <c r="G38" s="196"/>
    </row>
    <row r="39" spans="7:17" x14ac:dyDescent="0.25">
      <c r="G39" s="196"/>
    </row>
    <row r="40" spans="7:17" x14ac:dyDescent="0.25">
      <c r="G40" s="196"/>
    </row>
    <row r="41" spans="7:17" x14ac:dyDescent="0.25">
      <c r="G41" s="196"/>
    </row>
    <row r="42" spans="7:17" x14ac:dyDescent="0.25">
      <c r="G42" s="196"/>
    </row>
    <row r="43" spans="7:17" x14ac:dyDescent="0.25">
      <c r="G43" s="196"/>
    </row>
    <row r="44" spans="7:17" x14ac:dyDescent="0.25">
      <c r="G44" s="196"/>
    </row>
    <row r="45" spans="7:17" x14ac:dyDescent="0.25">
      <c r="G45" s="196"/>
    </row>
  </sheetData>
  <sheetProtection password="A25B" sheet="1" objects="1" scenarios="1"/>
  <mergeCells count="135"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</mergeCells>
  <pageMargins left="0.7" right="0.7" top="0.75" bottom="0.75" header="0.3" footer="0.3"/>
  <pageSetup paperSize="17" scale="61" orientation="landscape" r:id="rId1"/>
  <ignoredErrors>
    <ignoredError sqref="J11 F11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topLeftCell="AC1" zoomScale="75" zoomScaleNormal="75" workbookViewId="0">
      <selection activeCell="AG40" sqref="AG40"/>
    </sheetView>
  </sheetViews>
  <sheetFormatPr defaultRowHeight="15" x14ac:dyDescent="0.25"/>
  <cols>
    <col min="1" max="1" width="36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</row>
    <row r="5" spans="1:47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T5" t="s">
        <v>169</v>
      </c>
      <c r="AU5" s="330" t="s">
        <v>207</v>
      </c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91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47" x14ac:dyDescent="0.25">
      <c r="A8" s="11">
        <v>41275</v>
      </c>
      <c r="B8" s="49"/>
      <c r="C8" s="50">
        <v>157.09831064542126</v>
      </c>
      <c r="D8" s="50">
        <v>1324.410652160645</v>
      </c>
      <c r="E8" s="50">
        <v>12.835275538265686</v>
      </c>
      <c r="F8" s="50">
        <v>0</v>
      </c>
      <c r="G8" s="50">
        <v>3096.9496522267432</v>
      </c>
      <c r="H8" s="51">
        <v>53.089443397522061</v>
      </c>
      <c r="I8" s="49">
        <v>163.80587698618552</v>
      </c>
      <c r="J8" s="50">
        <v>394.091094271342</v>
      </c>
      <c r="K8" s="50">
        <v>16.915448373556075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243.73109754024415</v>
      </c>
      <c r="V8" s="54">
        <v>118.78683416480635</v>
      </c>
      <c r="W8" s="54">
        <v>19.894297508310018</v>
      </c>
      <c r="X8" s="54">
        <v>9.6958518744401943</v>
      </c>
      <c r="Y8" s="54">
        <v>59.46324204899296</v>
      </c>
      <c r="Z8" s="54">
        <v>28.980504923091196</v>
      </c>
      <c r="AA8" s="55">
        <v>0</v>
      </c>
      <c r="AB8" s="56">
        <v>0</v>
      </c>
      <c r="AC8" s="57">
        <v>0</v>
      </c>
      <c r="AD8" s="57">
        <v>12.4901769399643</v>
      </c>
      <c r="AE8" s="58">
        <v>8.3105645568025661</v>
      </c>
      <c r="AF8" s="58">
        <v>4.0503065213573031</v>
      </c>
      <c r="AG8" s="58">
        <v>0.67232839047130799</v>
      </c>
      <c r="AH8" s="57">
        <v>422.17403599421186</v>
      </c>
      <c r="AI8" s="57">
        <v>1307.4460724512735</v>
      </c>
      <c r="AJ8" s="57">
        <v>3101.0431702931719</v>
      </c>
      <c r="AK8" s="57">
        <v>840.70249296824136</v>
      </c>
      <c r="AL8" s="57">
        <v>4008.2557573954259</v>
      </c>
      <c r="AM8" s="57">
        <v>2815.9482578277584</v>
      </c>
      <c r="AN8" s="57">
        <v>698.13266328175871</v>
      </c>
      <c r="AO8" s="57">
        <v>1765.7865125020346</v>
      </c>
      <c r="AP8" s="57">
        <v>532.10076505343125</v>
      </c>
      <c r="AQ8" s="57">
        <v>687.26019102732346</v>
      </c>
    </row>
    <row r="9" spans="1:47" x14ac:dyDescent="0.25">
      <c r="A9" s="11">
        <v>41276</v>
      </c>
      <c r="B9" s="59"/>
      <c r="C9" s="60">
        <v>156.83676753838822</v>
      </c>
      <c r="D9" s="60">
        <v>1325.2295539855932</v>
      </c>
      <c r="E9" s="60">
        <v>12.826329324642822</v>
      </c>
      <c r="F9" s="60">
        <v>0</v>
      </c>
      <c r="G9" s="60">
        <v>3119.858207956941</v>
      </c>
      <c r="H9" s="61">
        <v>53.192835875352323</v>
      </c>
      <c r="I9" s="59">
        <v>151.94568584760029</v>
      </c>
      <c r="J9" s="60">
        <v>364.6666112581886</v>
      </c>
      <c r="K9" s="60">
        <v>15.605428092678375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224.20847706661561</v>
      </c>
      <c r="V9" s="62">
        <v>114.93120975098061</v>
      </c>
      <c r="W9" s="62">
        <v>19.560667432882067</v>
      </c>
      <c r="X9" s="62">
        <v>10.026967762373193</v>
      </c>
      <c r="Y9" s="66">
        <v>56.791999533914549</v>
      </c>
      <c r="Z9" s="66">
        <v>29.112071479218013</v>
      </c>
      <c r="AA9" s="67">
        <v>0</v>
      </c>
      <c r="AB9" s="68">
        <v>0</v>
      </c>
      <c r="AC9" s="69">
        <v>0</v>
      </c>
      <c r="AD9" s="69">
        <v>12.243659012847464</v>
      </c>
      <c r="AE9" s="68">
        <v>7.9994967513330311</v>
      </c>
      <c r="AF9" s="68">
        <v>4.1006114088923589</v>
      </c>
      <c r="AG9" s="68">
        <v>0.66110952442792248</v>
      </c>
      <c r="AH9" s="69">
        <v>418.85746763547252</v>
      </c>
      <c r="AI9" s="69">
        <v>1296.6778456370034</v>
      </c>
      <c r="AJ9" s="69">
        <v>3132.4816004435215</v>
      </c>
      <c r="AK9" s="69">
        <v>831.66003389358514</v>
      </c>
      <c r="AL9" s="69">
        <v>3994.8487940470386</v>
      </c>
      <c r="AM9" s="69">
        <v>2872.8631674448648</v>
      </c>
      <c r="AN9" s="69">
        <v>681.37321844100939</v>
      </c>
      <c r="AO9" s="69">
        <v>1711.1013613382975</v>
      </c>
      <c r="AP9" s="69">
        <v>555.07732392946866</v>
      </c>
      <c r="AQ9" s="69">
        <v>674.50414781570441</v>
      </c>
    </row>
    <row r="10" spans="1:47" x14ac:dyDescent="0.25">
      <c r="A10" s="11">
        <v>41277</v>
      </c>
      <c r="B10" s="59"/>
      <c r="C10" s="60">
        <v>157.37572295665723</v>
      </c>
      <c r="D10" s="60">
        <v>1327.5316658020024</v>
      </c>
      <c r="E10" s="60">
        <v>12.815417525668943</v>
      </c>
      <c r="F10" s="60">
        <v>0</v>
      </c>
      <c r="G10" s="60">
        <v>3170.992644755037</v>
      </c>
      <c r="H10" s="61">
        <v>53.229470233122626</v>
      </c>
      <c r="I10" s="59">
        <v>152.02915498415621</v>
      </c>
      <c r="J10" s="60">
        <v>368.65126816431666</v>
      </c>
      <c r="K10" s="60">
        <v>15.808642637232921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221.0148826180754</v>
      </c>
      <c r="V10" s="62">
        <v>113.29124247178297</v>
      </c>
      <c r="W10" s="62">
        <v>19.577701807723354</v>
      </c>
      <c r="X10" s="62">
        <v>10.035442574117655</v>
      </c>
      <c r="Y10" s="66">
        <v>55.906964144805222</v>
      </c>
      <c r="Z10" s="66">
        <v>28.65766031573299</v>
      </c>
      <c r="AA10" s="67">
        <v>0</v>
      </c>
      <c r="AB10" s="68">
        <v>0</v>
      </c>
      <c r="AC10" s="69">
        <v>0</v>
      </c>
      <c r="AD10" s="69">
        <v>12.241307996379003</v>
      </c>
      <c r="AE10" s="68">
        <v>7.9993685687223328</v>
      </c>
      <c r="AF10" s="68">
        <v>4.1004406282736197</v>
      </c>
      <c r="AG10" s="68">
        <v>0.66111526541330545</v>
      </c>
      <c r="AH10" s="69">
        <v>410.71384925842284</v>
      </c>
      <c r="AI10" s="69">
        <v>1286.3144148508707</v>
      </c>
      <c r="AJ10" s="69">
        <v>3117.1793149312339</v>
      </c>
      <c r="AK10" s="69">
        <v>809.49016501108804</v>
      </c>
      <c r="AL10" s="69">
        <v>3914.9977371215818</v>
      </c>
      <c r="AM10" s="69">
        <v>2916.5251649220781</v>
      </c>
      <c r="AN10" s="69">
        <v>696.07654937108362</v>
      </c>
      <c r="AO10" s="69">
        <v>1704.6778111775718</v>
      </c>
      <c r="AP10" s="69">
        <v>572.45027138392129</v>
      </c>
      <c r="AQ10" s="69">
        <v>708.60248028437275</v>
      </c>
    </row>
    <row r="11" spans="1:47" x14ac:dyDescent="0.25">
      <c r="A11" s="11">
        <v>41278</v>
      </c>
      <c r="B11" s="59"/>
      <c r="C11" s="60">
        <v>157.77602353095972</v>
      </c>
      <c r="D11" s="60">
        <v>1312.6293629328406</v>
      </c>
      <c r="E11" s="60">
        <v>12.830904084940752</v>
      </c>
      <c r="F11" s="60">
        <v>0</v>
      </c>
      <c r="G11" s="60">
        <v>3198.9069585164279</v>
      </c>
      <c r="H11" s="61">
        <v>53.405150318145921</v>
      </c>
      <c r="I11" s="59">
        <v>152.23534948031107</v>
      </c>
      <c r="J11" s="60">
        <v>363.81059157053608</v>
      </c>
      <c r="K11" s="60">
        <v>15.977889449397667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218.75185587540466</v>
      </c>
      <c r="V11" s="62">
        <v>112.13228893940868</v>
      </c>
      <c r="W11" s="62">
        <v>19.266986009768221</v>
      </c>
      <c r="X11" s="62">
        <v>9.8762647457007713</v>
      </c>
      <c r="Y11" s="66">
        <v>55.404882052182998</v>
      </c>
      <c r="Z11" s="66">
        <v>28.400564731518532</v>
      </c>
      <c r="AA11" s="67">
        <v>0</v>
      </c>
      <c r="AB11" s="68">
        <v>0</v>
      </c>
      <c r="AC11" s="69">
        <v>0</v>
      </c>
      <c r="AD11" s="69">
        <v>12.103716828094592</v>
      </c>
      <c r="AE11" s="68">
        <v>7.9092657491065994</v>
      </c>
      <c r="AF11" s="68">
        <v>4.0542927909262447</v>
      </c>
      <c r="AG11" s="68">
        <v>0.66111313976024444</v>
      </c>
      <c r="AH11" s="69">
        <v>386.39881936709077</v>
      </c>
      <c r="AI11" s="69">
        <v>1228.8759419759115</v>
      </c>
      <c r="AJ11" s="69">
        <v>3090.4570209503172</v>
      </c>
      <c r="AK11" s="69">
        <v>788.60897337595623</v>
      </c>
      <c r="AL11" s="69">
        <v>3868.4409072875983</v>
      </c>
      <c r="AM11" s="69">
        <v>2868.3852780659995</v>
      </c>
      <c r="AN11" s="69">
        <v>636.83656355539949</v>
      </c>
      <c r="AO11" s="69">
        <v>1791.0914353688559</v>
      </c>
      <c r="AP11" s="69">
        <v>556.32728207906098</v>
      </c>
      <c r="AQ11" s="69">
        <v>683.51434939702347</v>
      </c>
    </row>
    <row r="12" spans="1:47" x14ac:dyDescent="0.25">
      <c r="A12" s="11">
        <v>41279</v>
      </c>
      <c r="B12" s="59"/>
      <c r="C12" s="60">
        <v>156.67417872746799</v>
      </c>
      <c r="D12" s="60">
        <v>1295.6997175216688</v>
      </c>
      <c r="E12" s="60">
        <v>12.835113266110417</v>
      </c>
      <c r="F12" s="60">
        <v>0</v>
      </c>
      <c r="G12" s="60">
        <v>3135.1355069478236</v>
      </c>
      <c r="H12" s="61">
        <v>53.055555331707197</v>
      </c>
      <c r="I12" s="59">
        <v>177.07025284767124</v>
      </c>
      <c r="J12" s="60">
        <v>425.21362010637887</v>
      </c>
      <c r="K12" s="60">
        <v>18.407567523916601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249.44973425381872</v>
      </c>
      <c r="V12" s="62">
        <v>114.62182071427479</v>
      </c>
      <c r="W12" s="62">
        <v>21.633350531118044</v>
      </c>
      <c r="X12" s="62">
        <v>9.9404957613776794</v>
      </c>
      <c r="Y12" s="66">
        <v>62.788911402098954</v>
      </c>
      <c r="Z12" s="66">
        <v>28.851421177514023</v>
      </c>
      <c r="AA12" s="67">
        <v>0</v>
      </c>
      <c r="AB12" s="68">
        <v>0</v>
      </c>
      <c r="AC12" s="69">
        <v>0</v>
      </c>
      <c r="AD12" s="69">
        <v>13.165251843134573</v>
      </c>
      <c r="AE12" s="68">
        <v>8.8125802552465728</v>
      </c>
      <c r="AF12" s="68">
        <v>4.0493688921681725</v>
      </c>
      <c r="AG12" s="68">
        <v>0.68516677793100311</v>
      </c>
      <c r="AH12" s="69">
        <v>379.69544946352642</v>
      </c>
      <c r="AI12" s="69">
        <v>1214.495258585612</v>
      </c>
      <c r="AJ12" s="69">
        <v>3074.611445744833</v>
      </c>
      <c r="AK12" s="69">
        <v>797.36350282033288</v>
      </c>
      <c r="AL12" s="69">
        <v>4039.0201225280766</v>
      </c>
      <c r="AM12" s="69">
        <v>2778.0522436777746</v>
      </c>
      <c r="AN12" s="69">
        <v>622.47809443473795</v>
      </c>
      <c r="AO12" s="69">
        <v>1828.7027331034342</v>
      </c>
      <c r="AP12" s="69">
        <v>550.91003589630134</v>
      </c>
      <c r="AQ12" s="69">
        <v>666.39067109425855</v>
      </c>
    </row>
    <row r="13" spans="1:47" x14ac:dyDescent="0.25">
      <c r="A13" s="11">
        <v>41280</v>
      </c>
      <c r="B13" s="59"/>
      <c r="C13" s="60">
        <v>156.84297506014477</v>
      </c>
      <c r="D13" s="60">
        <v>1295.7930583318107</v>
      </c>
      <c r="E13" s="60">
        <v>12.840542465945099</v>
      </c>
      <c r="F13" s="60">
        <v>0</v>
      </c>
      <c r="G13" s="60">
        <v>3125.0377105712869</v>
      </c>
      <c r="H13" s="61">
        <v>52.756918025016823</v>
      </c>
      <c r="I13" s="59">
        <v>173.75519819259637</v>
      </c>
      <c r="J13" s="60">
        <v>416.61228109995528</v>
      </c>
      <c r="K13" s="60">
        <v>18.065371244152402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250.02444251500748</v>
      </c>
      <c r="V13" s="62">
        <v>113.8288069500864</v>
      </c>
      <c r="W13" s="62">
        <v>21.700460343263476</v>
      </c>
      <c r="X13" s="62">
        <v>9.8795841170331826</v>
      </c>
      <c r="Y13" s="66">
        <v>63.868416840904189</v>
      </c>
      <c r="Z13" s="66">
        <v>29.077419862078287</v>
      </c>
      <c r="AA13" s="67">
        <v>0</v>
      </c>
      <c r="AB13" s="68">
        <v>0</v>
      </c>
      <c r="AC13" s="69">
        <v>0</v>
      </c>
      <c r="AD13" s="69">
        <v>13.408593971861746</v>
      </c>
      <c r="AE13" s="68">
        <v>8.998509165156328</v>
      </c>
      <c r="AF13" s="68">
        <v>4.0967577101494017</v>
      </c>
      <c r="AG13" s="68">
        <v>0.68715737150230805</v>
      </c>
      <c r="AH13" s="69">
        <v>370.58806443214417</v>
      </c>
      <c r="AI13" s="69">
        <v>1194.3661930720011</v>
      </c>
      <c r="AJ13" s="69">
        <v>3089.9238983154296</v>
      </c>
      <c r="AK13" s="69">
        <v>794.08200651804623</v>
      </c>
      <c r="AL13" s="69">
        <v>3929.1736234029127</v>
      </c>
      <c r="AM13" s="69">
        <v>2754.3427949269612</v>
      </c>
      <c r="AN13" s="69">
        <v>615.78237034479776</v>
      </c>
      <c r="AO13" s="69">
        <v>1886.961533991496</v>
      </c>
      <c r="AP13" s="69">
        <v>547.48143294652311</v>
      </c>
      <c r="AQ13" s="69">
        <v>670.11001799901328</v>
      </c>
    </row>
    <row r="14" spans="1:47" x14ac:dyDescent="0.25">
      <c r="A14" s="11">
        <v>41281</v>
      </c>
      <c r="B14" s="59"/>
      <c r="C14" s="60">
        <v>156.62545185883809</v>
      </c>
      <c r="D14" s="60">
        <v>1295.0697329839088</v>
      </c>
      <c r="E14" s="60">
        <v>13.008540519078558</v>
      </c>
      <c r="F14" s="60">
        <v>0</v>
      </c>
      <c r="G14" s="60">
        <v>3124.3581016540597</v>
      </c>
      <c r="H14" s="61">
        <v>53.893950885534416</v>
      </c>
      <c r="I14" s="59">
        <v>173.19992679754867</v>
      </c>
      <c r="J14" s="60">
        <v>420.51869214375819</v>
      </c>
      <c r="K14" s="60">
        <v>18.1317818363508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252.6042740231706</v>
      </c>
      <c r="V14" s="62">
        <v>114.9895888282955</v>
      </c>
      <c r="W14" s="62">
        <v>21.730641466022629</v>
      </c>
      <c r="X14" s="62">
        <v>9.892142707466002</v>
      </c>
      <c r="Y14" s="66">
        <v>63.944713219654673</v>
      </c>
      <c r="Z14" s="66">
        <v>29.108677235591415</v>
      </c>
      <c r="AA14" s="67">
        <v>0</v>
      </c>
      <c r="AB14" s="68">
        <v>0</v>
      </c>
      <c r="AC14" s="69">
        <v>0</v>
      </c>
      <c r="AD14" s="69">
        <v>13.41056244638229</v>
      </c>
      <c r="AE14" s="68">
        <v>8.9952586208284391</v>
      </c>
      <c r="AF14" s="68">
        <v>4.0947885549963585</v>
      </c>
      <c r="AG14" s="68">
        <v>0.68718305595118323</v>
      </c>
      <c r="AH14" s="69">
        <v>350.70957589149464</v>
      </c>
      <c r="AI14" s="69">
        <v>1160.7915058135986</v>
      </c>
      <c r="AJ14" s="69">
        <v>3038.8985642751054</v>
      </c>
      <c r="AK14" s="69">
        <v>788.15318110783892</v>
      </c>
      <c r="AL14" s="69">
        <v>3791.6558169047039</v>
      </c>
      <c r="AM14" s="69">
        <v>2745.0759901682536</v>
      </c>
      <c r="AN14" s="69">
        <v>582.88065315882363</v>
      </c>
      <c r="AO14" s="69">
        <v>1817.041216278076</v>
      </c>
      <c r="AP14" s="69">
        <v>501.35936643282577</v>
      </c>
      <c r="AQ14" s="69">
        <v>699.05756899515768</v>
      </c>
    </row>
    <row r="15" spans="1:47" x14ac:dyDescent="0.25">
      <c r="A15" s="11">
        <v>41282</v>
      </c>
      <c r="B15" s="59"/>
      <c r="C15" s="60">
        <v>156.16172852516178</v>
      </c>
      <c r="D15" s="60">
        <v>1288.6183929761241</v>
      </c>
      <c r="E15" s="60">
        <v>13.109983753661345</v>
      </c>
      <c r="F15" s="60">
        <v>0</v>
      </c>
      <c r="G15" s="60">
        <v>3074.9013529459748</v>
      </c>
      <c r="H15" s="61">
        <v>52.792713125546804</v>
      </c>
      <c r="I15" s="59">
        <v>177.01323459943137</v>
      </c>
      <c r="J15" s="60">
        <v>429.40267179807034</v>
      </c>
      <c r="K15" s="60">
        <v>18.652736575404823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251.99812629556658</v>
      </c>
      <c r="V15" s="62">
        <v>114.60194885396828</v>
      </c>
      <c r="W15" s="62">
        <v>21.641213461772402</v>
      </c>
      <c r="X15" s="62">
        <v>9.8418399959646194</v>
      </c>
      <c r="Y15" s="66">
        <v>63.009095693726053</v>
      </c>
      <c r="Z15" s="66">
        <v>28.65483671714993</v>
      </c>
      <c r="AA15" s="67">
        <v>0</v>
      </c>
      <c r="AB15" s="68">
        <v>0</v>
      </c>
      <c r="AC15" s="69">
        <v>0</v>
      </c>
      <c r="AD15" s="69">
        <v>13.166673420535215</v>
      </c>
      <c r="AE15" s="68">
        <v>8.8949917037075821</v>
      </c>
      <c r="AF15" s="68">
        <v>4.0452022372941858</v>
      </c>
      <c r="AG15" s="68">
        <v>0.68739245673306926</v>
      </c>
      <c r="AH15" s="69">
        <v>354.32883394559224</v>
      </c>
      <c r="AI15" s="69">
        <v>1157.9213815053301</v>
      </c>
      <c r="AJ15" s="69">
        <v>3049.1879338582357</v>
      </c>
      <c r="AK15" s="69">
        <v>789.66669915517173</v>
      </c>
      <c r="AL15" s="69">
        <v>3789.9527117411299</v>
      </c>
      <c r="AM15" s="69">
        <v>2661.3556214650471</v>
      </c>
      <c r="AN15" s="69">
        <v>578.21562860806785</v>
      </c>
      <c r="AO15" s="69">
        <v>1832.3668136596682</v>
      </c>
      <c r="AP15" s="69">
        <v>497.33270514806117</v>
      </c>
      <c r="AQ15" s="69">
        <v>678.5063199361166</v>
      </c>
    </row>
    <row r="16" spans="1:47" x14ac:dyDescent="0.25">
      <c r="A16" s="11">
        <v>41283</v>
      </c>
      <c r="B16" s="59"/>
      <c r="C16" s="60">
        <v>156.5715544462202</v>
      </c>
      <c r="D16" s="60">
        <v>1293.038490549724</v>
      </c>
      <c r="E16" s="60">
        <v>12.832795924444937</v>
      </c>
      <c r="F16" s="60">
        <v>0</v>
      </c>
      <c r="G16" s="60">
        <v>3071.6198226928591</v>
      </c>
      <c r="H16" s="61">
        <v>52.886403469244712</v>
      </c>
      <c r="I16" s="59">
        <v>172.57094635963435</v>
      </c>
      <c r="J16" s="60">
        <v>409.24818884531669</v>
      </c>
      <c r="K16" s="60">
        <v>17.725502684712474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249.36345333570475</v>
      </c>
      <c r="V16" s="62">
        <v>110.89433099911686</v>
      </c>
      <c r="W16" s="62">
        <v>21.762174101922319</v>
      </c>
      <c r="X16" s="62">
        <v>9.6778485613530663</v>
      </c>
      <c r="Y16" s="66">
        <v>62.342969490932639</v>
      </c>
      <c r="Z16" s="66">
        <v>27.724519378098584</v>
      </c>
      <c r="AA16" s="67">
        <v>0</v>
      </c>
      <c r="AB16" s="68">
        <v>0</v>
      </c>
      <c r="AC16" s="69">
        <v>0</v>
      </c>
      <c r="AD16" s="69">
        <v>12.981851791010969</v>
      </c>
      <c r="AE16" s="68">
        <v>8.8886563150785101</v>
      </c>
      <c r="AF16" s="68">
        <v>3.952871129895323</v>
      </c>
      <c r="AG16" s="68">
        <v>0.692180611159113</v>
      </c>
      <c r="AH16" s="69">
        <v>361.66199537913013</v>
      </c>
      <c r="AI16" s="69">
        <v>1164.917887941996</v>
      </c>
      <c r="AJ16" s="69">
        <v>3054.0385424296055</v>
      </c>
      <c r="AK16" s="69">
        <v>793.87054707209268</v>
      </c>
      <c r="AL16" s="69">
        <v>3805.4413859049482</v>
      </c>
      <c r="AM16" s="69">
        <v>2679.0566964467366</v>
      </c>
      <c r="AN16" s="69">
        <v>582.61197258631375</v>
      </c>
      <c r="AO16" s="69">
        <v>1810.4250537872313</v>
      </c>
      <c r="AP16" s="69">
        <v>502.44523096084595</v>
      </c>
      <c r="AQ16" s="69">
        <v>712.29276720682765</v>
      </c>
    </row>
    <row r="17" spans="1:43" x14ac:dyDescent="0.25">
      <c r="A17" s="11">
        <v>41284</v>
      </c>
      <c r="B17" s="49"/>
      <c r="C17" s="50">
        <v>130.86116116841652</v>
      </c>
      <c r="D17" s="50">
        <v>1283.0908425649004</v>
      </c>
      <c r="E17" s="50">
        <v>12.507062336305761</v>
      </c>
      <c r="F17" s="50">
        <v>0</v>
      </c>
      <c r="G17" s="50">
        <v>3222.4312370300372</v>
      </c>
      <c r="H17" s="51">
        <v>52.908341848850306</v>
      </c>
      <c r="I17" s="49">
        <v>161.10657617251078</v>
      </c>
      <c r="J17" s="50">
        <v>373.25600581169113</v>
      </c>
      <c r="K17" s="50">
        <v>16.260495271285368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229.66532742382748</v>
      </c>
      <c r="V17" s="66">
        <v>114.93796658845133</v>
      </c>
      <c r="W17" s="62">
        <v>19.956390139594486</v>
      </c>
      <c r="X17" s="62">
        <v>9.987345189715553</v>
      </c>
      <c r="Y17" s="66">
        <v>57.570314959010901</v>
      </c>
      <c r="Z17" s="66">
        <v>28.811553800780242</v>
      </c>
      <c r="AA17" s="67">
        <v>0</v>
      </c>
      <c r="AB17" s="68">
        <v>0</v>
      </c>
      <c r="AC17" s="69">
        <v>0</v>
      </c>
      <c r="AD17" s="69">
        <v>12.433306141032116</v>
      </c>
      <c r="AE17" s="68">
        <v>8.1924527971482544</v>
      </c>
      <c r="AF17" s="68">
        <v>4.0999826854072987</v>
      </c>
      <c r="AG17" s="68">
        <v>0.66646294859747945</v>
      </c>
      <c r="AH17" s="69">
        <v>357.19078159332281</v>
      </c>
      <c r="AI17" s="69">
        <v>1174.3160959879558</v>
      </c>
      <c r="AJ17" s="69">
        <v>3092.7515122731525</v>
      </c>
      <c r="AK17" s="69">
        <v>794.73906548817968</v>
      </c>
      <c r="AL17" s="69">
        <v>3770.5514424641929</v>
      </c>
      <c r="AM17" s="69">
        <v>2650.1033686319993</v>
      </c>
      <c r="AN17" s="69">
        <v>574.33823235829675</v>
      </c>
      <c r="AO17" s="69">
        <v>1764.7426275889079</v>
      </c>
      <c r="AP17" s="69">
        <v>498.19695986111964</v>
      </c>
      <c r="AQ17" s="69">
        <v>727.07327556610085</v>
      </c>
    </row>
    <row r="18" spans="1:43" x14ac:dyDescent="0.25">
      <c r="A18" s="11">
        <v>41285</v>
      </c>
      <c r="B18" s="59"/>
      <c r="C18" s="60">
        <v>111.22983721892025</v>
      </c>
      <c r="D18" s="60">
        <v>1238.1568304061891</v>
      </c>
      <c r="E18" s="60">
        <v>12.506546927491828</v>
      </c>
      <c r="F18" s="60">
        <v>0</v>
      </c>
      <c r="G18" s="60">
        <v>3273.0976913452068</v>
      </c>
      <c r="H18" s="61">
        <v>52.863484565417124</v>
      </c>
      <c r="I18" s="59">
        <v>161.78949208259576</v>
      </c>
      <c r="J18" s="60">
        <v>375.88938816388429</v>
      </c>
      <c r="K18" s="60">
        <v>16.416037225723233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221.79884710824948</v>
      </c>
      <c r="V18" s="62">
        <v>113.41740250604168</v>
      </c>
      <c r="W18" s="62">
        <v>19.179229889531044</v>
      </c>
      <c r="X18" s="62">
        <v>9.8073478040902877</v>
      </c>
      <c r="Y18" s="66">
        <v>51.165749616680266</v>
      </c>
      <c r="Z18" s="66">
        <v>26.163735720259009</v>
      </c>
      <c r="AA18" s="67">
        <v>0</v>
      </c>
      <c r="AB18" s="68">
        <v>0</v>
      </c>
      <c r="AC18" s="69">
        <v>0</v>
      </c>
      <c r="AD18" s="69">
        <v>12.093041618002792</v>
      </c>
      <c r="AE18" s="68">
        <v>7.9048238195298648</v>
      </c>
      <c r="AF18" s="68">
        <v>4.042151690903081</v>
      </c>
      <c r="AG18" s="68">
        <v>0.66165899583763377</v>
      </c>
      <c r="AH18" s="69">
        <v>375.18316844304405</v>
      </c>
      <c r="AI18" s="69">
        <v>1206.6597379048667</v>
      </c>
      <c r="AJ18" s="69">
        <v>3121.7194497426349</v>
      </c>
      <c r="AK18" s="69">
        <v>816.96299057006843</v>
      </c>
      <c r="AL18" s="69">
        <v>3855.3147323608391</v>
      </c>
      <c r="AM18" s="69">
        <v>2904.7839476267495</v>
      </c>
      <c r="AN18" s="69">
        <v>615.51216767628989</v>
      </c>
      <c r="AO18" s="69">
        <v>1719.2537086486816</v>
      </c>
      <c r="AP18" s="69">
        <v>512.26841224034627</v>
      </c>
      <c r="AQ18" s="69">
        <v>681.37377599080412</v>
      </c>
    </row>
    <row r="19" spans="1:43" x14ac:dyDescent="0.25">
      <c r="A19" s="11">
        <v>41286</v>
      </c>
      <c r="B19" s="59"/>
      <c r="C19" s="60">
        <v>111.19202565352079</v>
      </c>
      <c r="D19" s="60">
        <v>1231.4304224014279</v>
      </c>
      <c r="E19" s="60">
        <v>12.444090456763886</v>
      </c>
      <c r="F19" s="60">
        <v>0</v>
      </c>
      <c r="G19" s="60">
        <v>3216.3225224813013</v>
      </c>
      <c r="H19" s="61">
        <v>52.663886976242104</v>
      </c>
      <c r="I19" s="59">
        <v>157.1305646181107</v>
      </c>
      <c r="J19" s="60">
        <v>364.33127473195356</v>
      </c>
      <c r="K19" s="60">
        <v>15.723032066225942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224.0703913732406</v>
      </c>
      <c r="V19" s="62">
        <v>114.83950204411761</v>
      </c>
      <c r="W19" s="62">
        <v>19.750554211472181</v>
      </c>
      <c r="X19" s="62">
        <v>10.122461057171547</v>
      </c>
      <c r="Y19" s="66">
        <v>50.273567495010155</v>
      </c>
      <c r="Z19" s="66">
        <v>25.765972120303019</v>
      </c>
      <c r="AA19" s="67">
        <v>0</v>
      </c>
      <c r="AB19" s="68">
        <v>0</v>
      </c>
      <c r="AC19" s="69">
        <v>0</v>
      </c>
      <c r="AD19" s="69">
        <v>12.229345231586036</v>
      </c>
      <c r="AE19" s="68">
        <v>7.9990254465154305</v>
      </c>
      <c r="AF19" s="68">
        <v>4.0996228617546873</v>
      </c>
      <c r="AG19" s="68">
        <v>0.66115034032749254</v>
      </c>
      <c r="AH19" s="69">
        <v>398.7068830331167</v>
      </c>
      <c r="AI19" s="69">
        <v>1316.59702390035</v>
      </c>
      <c r="AJ19" s="69">
        <v>3124.6420967102054</v>
      </c>
      <c r="AK19" s="69">
        <v>830.15307906468695</v>
      </c>
      <c r="AL19" s="69">
        <v>4026.0808865865074</v>
      </c>
      <c r="AM19" s="69">
        <v>2554.2344854990638</v>
      </c>
      <c r="AN19" s="69">
        <v>735.9506073315938</v>
      </c>
      <c r="AO19" s="69">
        <v>1678.6770203908286</v>
      </c>
      <c r="AP19" s="69">
        <v>558.73283618291225</v>
      </c>
      <c r="AQ19" s="69">
        <v>704.8785950660706</v>
      </c>
    </row>
    <row r="20" spans="1:43" x14ac:dyDescent="0.25">
      <c r="A20" s="11">
        <v>41287</v>
      </c>
      <c r="B20" s="59"/>
      <c r="C20" s="60">
        <v>111.03582199414575</v>
      </c>
      <c r="D20" s="60">
        <v>1234.5836547851561</v>
      </c>
      <c r="E20" s="60">
        <v>12.399187709887808</v>
      </c>
      <c r="F20" s="60">
        <v>0</v>
      </c>
      <c r="G20" s="60">
        <v>3166.2742523193547</v>
      </c>
      <c r="H20" s="61">
        <v>52.789556320508353</v>
      </c>
      <c r="I20" s="59">
        <v>161.89119725227332</v>
      </c>
      <c r="J20" s="60">
        <v>375.45200298627219</v>
      </c>
      <c r="K20" s="60">
        <v>16.206710391243305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231.01677983436983</v>
      </c>
      <c r="V20" s="62">
        <v>114.86770615212922</v>
      </c>
      <c r="W20" s="62">
        <v>20.650384239276615</v>
      </c>
      <c r="X20" s="62">
        <v>10.267921968380239</v>
      </c>
      <c r="Y20" s="66">
        <v>52.154092906892629</v>
      </c>
      <c r="Z20" s="66">
        <v>25.932406394699896</v>
      </c>
      <c r="AA20" s="67">
        <v>0</v>
      </c>
      <c r="AB20" s="68">
        <v>0</v>
      </c>
      <c r="AC20" s="69">
        <v>0</v>
      </c>
      <c r="AD20" s="69">
        <v>12.473413272698711</v>
      </c>
      <c r="AE20" s="68">
        <v>8.2465976059696136</v>
      </c>
      <c r="AF20" s="68">
        <v>4.100428337874523</v>
      </c>
      <c r="AG20" s="68">
        <v>0.66790153705647015</v>
      </c>
      <c r="AH20" s="69">
        <v>432.43552207946772</v>
      </c>
      <c r="AI20" s="69">
        <v>1349.2886089960732</v>
      </c>
      <c r="AJ20" s="69">
        <v>3089.2468166351323</v>
      </c>
      <c r="AK20" s="69">
        <v>800.9898918151855</v>
      </c>
      <c r="AL20" s="69">
        <v>4096.0090703328451</v>
      </c>
      <c r="AM20" s="69">
        <v>2634.0532718658446</v>
      </c>
      <c r="AN20" s="69">
        <v>757.01673736572252</v>
      </c>
      <c r="AO20" s="69">
        <v>1722.5496139526367</v>
      </c>
      <c r="AP20" s="69">
        <v>581.34545420010875</v>
      </c>
      <c r="AQ20" s="69">
        <v>703.30088192621861</v>
      </c>
    </row>
    <row r="21" spans="1:43" x14ac:dyDescent="0.25">
      <c r="A21" s="11">
        <v>41288</v>
      </c>
      <c r="B21" s="59"/>
      <c r="C21" s="60">
        <v>110.9263806819916</v>
      </c>
      <c r="D21" s="60">
        <v>1229.6158244450894</v>
      </c>
      <c r="E21" s="60">
        <v>12.376044303675496</v>
      </c>
      <c r="F21" s="60">
        <v>0</v>
      </c>
      <c r="G21" s="60">
        <v>3156.33970667523</v>
      </c>
      <c r="H21" s="61">
        <v>52.550578359762909</v>
      </c>
      <c r="I21" s="59">
        <v>176.52684021790839</v>
      </c>
      <c r="J21" s="60">
        <v>409.04614985783849</v>
      </c>
      <c r="K21" s="60">
        <v>17.934132170677195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250.77745155962606</v>
      </c>
      <c r="V21" s="62">
        <v>104.30814184408455</v>
      </c>
      <c r="W21" s="62">
        <v>22.302277425581138</v>
      </c>
      <c r="X21" s="62">
        <v>9.2763886971733083</v>
      </c>
      <c r="Y21" s="66">
        <v>56.003373487911659</v>
      </c>
      <c r="Z21" s="66">
        <v>23.293991502004733</v>
      </c>
      <c r="AA21" s="67">
        <v>0</v>
      </c>
      <c r="AB21" s="68">
        <v>0</v>
      </c>
      <c r="AC21" s="69">
        <v>0</v>
      </c>
      <c r="AD21" s="69">
        <v>12.756950839029399</v>
      </c>
      <c r="AE21" s="68">
        <v>8.9176465477953482</v>
      </c>
      <c r="AF21" s="68">
        <v>3.7091976780124627</v>
      </c>
      <c r="AG21" s="68">
        <v>0.70624507504168843</v>
      </c>
      <c r="AH21" s="69">
        <v>424.33920057614648</v>
      </c>
      <c r="AI21" s="69">
        <v>1347.7904027303059</v>
      </c>
      <c r="AJ21" s="69">
        <v>3050.0926606496173</v>
      </c>
      <c r="AK21" s="69">
        <v>801.38252407709763</v>
      </c>
      <c r="AL21" s="69">
        <v>4202.1152664184574</v>
      </c>
      <c r="AM21" s="69">
        <v>2612.4667456308998</v>
      </c>
      <c r="AN21" s="69">
        <v>732.74007949829092</v>
      </c>
      <c r="AO21" s="69">
        <v>1801.1054232279459</v>
      </c>
      <c r="AP21" s="69">
        <v>527.91927719116211</v>
      </c>
      <c r="AQ21" s="69">
        <v>733.04973595937111</v>
      </c>
    </row>
    <row r="22" spans="1:43" x14ac:dyDescent="0.25">
      <c r="A22" s="11">
        <v>41289</v>
      </c>
      <c r="B22" s="59"/>
      <c r="C22" s="60">
        <v>110.79586095015178</v>
      </c>
      <c r="D22" s="60">
        <v>1229.94946829478</v>
      </c>
      <c r="E22" s="60">
        <v>12.909897580246117</v>
      </c>
      <c r="F22" s="60">
        <v>0</v>
      </c>
      <c r="G22" s="60">
        <v>3079.569449869819</v>
      </c>
      <c r="H22" s="61">
        <v>52.626307992140511</v>
      </c>
      <c r="I22" s="59">
        <v>173.75515172481511</v>
      </c>
      <c r="J22" s="60">
        <v>403.12240846951806</v>
      </c>
      <c r="K22" s="60">
        <v>17.457768003145848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242.39654344277977</v>
      </c>
      <c r="V22" s="62">
        <v>115.07448452488813</v>
      </c>
      <c r="W22" s="62">
        <v>21.358251381066751</v>
      </c>
      <c r="X22" s="62">
        <v>10.139541319859717</v>
      </c>
      <c r="Y22" s="66">
        <v>54.534727991103473</v>
      </c>
      <c r="Z22" s="66">
        <v>25.889625417709929</v>
      </c>
      <c r="AA22" s="67">
        <v>0</v>
      </c>
      <c r="AB22" s="68">
        <v>0</v>
      </c>
      <c r="AC22" s="69">
        <v>0</v>
      </c>
      <c r="AD22" s="69">
        <v>12.876479298538641</v>
      </c>
      <c r="AE22" s="68">
        <v>8.6366083092674941</v>
      </c>
      <c r="AF22" s="68">
        <v>4.1001131250327916</v>
      </c>
      <c r="AG22" s="68">
        <v>0.67808724198119841</v>
      </c>
      <c r="AH22" s="69">
        <v>406.48150931994121</v>
      </c>
      <c r="AI22" s="69">
        <v>1320.0472682317097</v>
      </c>
      <c r="AJ22" s="69">
        <v>3111.6292074839275</v>
      </c>
      <c r="AK22" s="69">
        <v>798.67304922739675</v>
      </c>
      <c r="AL22" s="69">
        <v>4216.6402651468916</v>
      </c>
      <c r="AM22" s="69">
        <v>2669.6185166676842</v>
      </c>
      <c r="AN22" s="69">
        <v>718.4190441608431</v>
      </c>
      <c r="AO22" s="69">
        <v>1828.7806256612141</v>
      </c>
      <c r="AP22" s="69">
        <v>506.35718150138871</v>
      </c>
      <c r="AQ22" s="69">
        <v>736.47282892862961</v>
      </c>
    </row>
    <row r="23" spans="1:43" x14ac:dyDescent="0.25">
      <c r="A23" s="11">
        <v>41290</v>
      </c>
      <c r="B23" s="59"/>
      <c r="C23" s="60">
        <v>111.14115597407003</v>
      </c>
      <c r="D23" s="60">
        <v>1230.8594637552865</v>
      </c>
      <c r="E23" s="60">
        <v>12.946210783720019</v>
      </c>
      <c r="F23" s="60">
        <v>0</v>
      </c>
      <c r="G23" s="60">
        <v>3085.9860187530344</v>
      </c>
      <c r="H23" s="61">
        <v>52.602194054921505</v>
      </c>
      <c r="I23" s="59">
        <v>167.00826842784861</v>
      </c>
      <c r="J23" s="60">
        <v>387.22726248105448</v>
      </c>
      <c r="K23" s="60">
        <v>16.838789340853683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235.08020525140768</v>
      </c>
      <c r="V23" s="62">
        <v>113.39485052794066</v>
      </c>
      <c r="W23" s="62">
        <v>20.550647301440382</v>
      </c>
      <c r="X23" s="62">
        <v>9.9129468451291682</v>
      </c>
      <c r="Y23" s="66">
        <v>52.655691063902985</v>
      </c>
      <c r="Z23" s="66">
        <v>25.399349176384749</v>
      </c>
      <c r="AA23" s="67">
        <v>0</v>
      </c>
      <c r="AB23" s="68">
        <v>0</v>
      </c>
      <c r="AC23" s="69">
        <v>0</v>
      </c>
      <c r="AD23" s="69">
        <v>12.587193369203149</v>
      </c>
      <c r="AE23" s="68">
        <v>8.3940571999926057</v>
      </c>
      <c r="AF23" s="68">
        <v>4.0490132314551639</v>
      </c>
      <c r="AG23" s="68">
        <v>0.67459693700503665</v>
      </c>
      <c r="AH23" s="69">
        <v>362.85820555686962</v>
      </c>
      <c r="AI23" s="69">
        <v>1188.937719408671</v>
      </c>
      <c r="AJ23" s="69">
        <v>3062.1521158854171</v>
      </c>
      <c r="AK23" s="69">
        <v>801.4286381721497</v>
      </c>
      <c r="AL23" s="69">
        <v>4043.0504094441726</v>
      </c>
      <c r="AM23" s="69">
        <v>2847.2102135976156</v>
      </c>
      <c r="AN23" s="69">
        <v>598.29651336669929</v>
      </c>
      <c r="AO23" s="69">
        <v>1854.7357325236003</v>
      </c>
      <c r="AP23" s="69">
        <v>451.39180178642272</v>
      </c>
      <c r="AQ23" s="69">
        <v>729.87548287709558</v>
      </c>
    </row>
    <row r="24" spans="1:43" x14ac:dyDescent="0.25">
      <c r="A24" s="11">
        <v>41291</v>
      </c>
      <c r="B24" s="59"/>
      <c r="C24" s="60">
        <v>110.84858315785687</v>
      </c>
      <c r="D24" s="60">
        <v>1229.9749354680373</v>
      </c>
      <c r="E24" s="60">
        <v>12.856282292803122</v>
      </c>
      <c r="F24" s="60">
        <v>0</v>
      </c>
      <c r="G24" s="60">
        <v>3052.0213554382235</v>
      </c>
      <c r="H24" s="61">
        <v>52.63590319554018</v>
      </c>
      <c r="I24" s="59">
        <v>166.96991311709064</v>
      </c>
      <c r="J24" s="60">
        <v>387.23364135424384</v>
      </c>
      <c r="K24" s="60">
        <v>16.923964829246213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238.12228085090038</v>
      </c>
      <c r="V24" s="62">
        <v>114.84487848391484</v>
      </c>
      <c r="W24" s="62">
        <v>20.886133935384112</v>
      </c>
      <c r="X24" s="62">
        <v>10.07325104243343</v>
      </c>
      <c r="Y24" s="66">
        <v>53.68462418952614</v>
      </c>
      <c r="Z24" s="66">
        <v>25.891756619621898</v>
      </c>
      <c r="AA24" s="67">
        <v>0</v>
      </c>
      <c r="AB24" s="68">
        <v>0</v>
      </c>
      <c r="AC24" s="69">
        <v>0</v>
      </c>
      <c r="AD24" s="69">
        <v>12.749457926220375</v>
      </c>
      <c r="AE24" s="68">
        <v>8.5007329941731467</v>
      </c>
      <c r="AF24" s="68">
        <v>4.0998500612855571</v>
      </c>
      <c r="AG24" s="68">
        <v>0.67463013074546108</v>
      </c>
      <c r="AH24" s="69">
        <v>350.53897666931152</v>
      </c>
      <c r="AI24" s="69">
        <v>1165.0784594853719</v>
      </c>
      <c r="AJ24" s="69">
        <v>3067.8830890655518</v>
      </c>
      <c r="AK24" s="69">
        <v>801.73777484893776</v>
      </c>
      <c r="AL24" s="69">
        <v>3980.8413434346521</v>
      </c>
      <c r="AM24" s="69">
        <v>2777.9744635264078</v>
      </c>
      <c r="AN24" s="69">
        <v>583.62399269739808</v>
      </c>
      <c r="AO24" s="69">
        <v>1898.0624036153158</v>
      </c>
      <c r="AP24" s="69">
        <v>430.68371664683019</v>
      </c>
      <c r="AQ24" s="69">
        <v>690.11653512318924</v>
      </c>
    </row>
    <row r="25" spans="1:43" x14ac:dyDescent="0.25">
      <c r="A25" s="11">
        <v>41292</v>
      </c>
      <c r="B25" s="59"/>
      <c r="C25" s="60">
        <v>110.9640520890552</v>
      </c>
      <c r="D25" s="60">
        <v>1230.404914792379</v>
      </c>
      <c r="E25" s="60">
        <v>12.865995436410108</v>
      </c>
      <c r="F25" s="60">
        <v>0</v>
      </c>
      <c r="G25" s="60">
        <v>3051.0655152638765</v>
      </c>
      <c r="H25" s="61">
        <v>52.692370569706</v>
      </c>
      <c r="I25" s="59">
        <v>174.57286163965847</v>
      </c>
      <c r="J25" s="60">
        <v>405.2781253814702</v>
      </c>
      <c r="K25" s="60">
        <v>17.587143439054486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239.19979056399202</v>
      </c>
      <c r="V25" s="62">
        <v>114.25629998166373</v>
      </c>
      <c r="W25" s="62">
        <v>20.446494297960889</v>
      </c>
      <c r="X25" s="62">
        <v>9.76648340942514</v>
      </c>
      <c r="Y25" s="66">
        <v>52.926405991186854</v>
      </c>
      <c r="Z25" s="66">
        <v>25.280855412214905</v>
      </c>
      <c r="AA25" s="67">
        <v>0</v>
      </c>
      <c r="AB25" s="68">
        <v>0</v>
      </c>
      <c r="AC25" s="69">
        <v>0</v>
      </c>
      <c r="AD25" s="69">
        <v>12.607226088311938</v>
      </c>
      <c r="AE25" s="68">
        <v>8.3731220184773125</v>
      </c>
      <c r="AF25" s="68">
        <v>3.9995099446806606</v>
      </c>
      <c r="AG25" s="68">
        <v>0.67674542032851093</v>
      </c>
      <c r="AH25" s="69">
        <v>344.76535596847543</v>
      </c>
      <c r="AI25" s="69">
        <v>1134.9978260676066</v>
      </c>
      <c r="AJ25" s="69">
        <v>3056.3574345906572</v>
      </c>
      <c r="AK25" s="69">
        <v>799.42334470748904</v>
      </c>
      <c r="AL25" s="69">
        <v>3945.1752421061201</v>
      </c>
      <c r="AM25" s="69">
        <v>2820.0392442067459</v>
      </c>
      <c r="AN25" s="69">
        <v>555.12655916213976</v>
      </c>
      <c r="AO25" s="69">
        <v>1935.1436275482174</v>
      </c>
      <c r="AP25" s="69">
        <v>410.54679660797126</v>
      </c>
      <c r="AQ25" s="69">
        <v>705.23368879954023</v>
      </c>
    </row>
    <row r="26" spans="1:43" x14ac:dyDescent="0.25">
      <c r="A26" s="11">
        <v>41293</v>
      </c>
      <c r="B26" s="59"/>
      <c r="C26" s="60">
        <v>111.32964599132517</v>
      </c>
      <c r="D26" s="60">
        <v>1232.8710824330626</v>
      </c>
      <c r="E26" s="60">
        <v>12.877672404050827</v>
      </c>
      <c r="F26" s="60">
        <v>0</v>
      </c>
      <c r="G26" s="60">
        <v>3073.1591114044363</v>
      </c>
      <c r="H26" s="61">
        <v>52.792802743117129</v>
      </c>
      <c r="I26" s="59">
        <v>169.88328443368249</v>
      </c>
      <c r="J26" s="60">
        <v>394.20191648801216</v>
      </c>
      <c r="K26" s="60">
        <v>17.14167615075905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239.32300318791999</v>
      </c>
      <c r="V26" s="62">
        <v>112.69268701161621</v>
      </c>
      <c r="W26" s="62">
        <v>20.900884066143234</v>
      </c>
      <c r="X26" s="62">
        <v>9.8418319800311007</v>
      </c>
      <c r="Y26" s="66">
        <v>53.691992505003107</v>
      </c>
      <c r="Z26" s="66">
        <v>25.282546290150233</v>
      </c>
      <c r="AA26" s="67">
        <v>0</v>
      </c>
      <c r="AB26" s="68">
        <v>0</v>
      </c>
      <c r="AC26" s="69">
        <v>0</v>
      </c>
      <c r="AD26" s="69">
        <v>12.644090380602416</v>
      </c>
      <c r="AE26" s="68">
        <v>8.3871669681110195</v>
      </c>
      <c r="AF26" s="68">
        <v>3.9493586887230308</v>
      </c>
      <c r="AG26" s="68">
        <v>0.67986459084327289</v>
      </c>
      <c r="AH26" s="69">
        <v>343.9308958530425</v>
      </c>
      <c r="AI26" s="69">
        <v>1125.2603893915812</v>
      </c>
      <c r="AJ26" s="69">
        <v>3055.6792217254638</v>
      </c>
      <c r="AK26" s="69">
        <v>800.76839955647779</v>
      </c>
      <c r="AL26" s="69">
        <v>3908.4777198791503</v>
      </c>
      <c r="AM26" s="69">
        <v>2749.6748755137119</v>
      </c>
      <c r="AN26" s="69">
        <v>537.03651736577365</v>
      </c>
      <c r="AO26" s="69">
        <v>1931.5608289082845</v>
      </c>
      <c r="AP26" s="69">
        <v>404.88052201271057</v>
      </c>
      <c r="AQ26" s="69">
        <v>656.87049309412635</v>
      </c>
    </row>
    <row r="27" spans="1:43" x14ac:dyDescent="0.25">
      <c r="A27" s="11">
        <v>41294</v>
      </c>
      <c r="B27" s="59"/>
      <c r="C27" s="60">
        <v>111.20493781566572</v>
      </c>
      <c r="D27" s="60">
        <v>1233.1101917266835</v>
      </c>
      <c r="E27" s="60">
        <v>12.863387934863555</v>
      </c>
      <c r="F27" s="60">
        <v>0</v>
      </c>
      <c r="G27" s="60">
        <v>3055.2122378031559</v>
      </c>
      <c r="H27" s="61">
        <v>52.785757291317069</v>
      </c>
      <c r="I27" s="59">
        <v>169.77254830201451</v>
      </c>
      <c r="J27" s="60">
        <v>394.02513017654479</v>
      </c>
      <c r="K27" s="60">
        <v>17.176266431808436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239.50985435370399</v>
      </c>
      <c r="V27" s="62">
        <v>115.50016772491529</v>
      </c>
      <c r="W27" s="62">
        <v>21.043784935643178</v>
      </c>
      <c r="X27" s="62">
        <v>10.148061323791808</v>
      </c>
      <c r="Y27" s="62">
        <v>53.984171044072518</v>
      </c>
      <c r="Z27" s="62">
        <v>26.03308672583001</v>
      </c>
      <c r="AA27" s="72">
        <v>0</v>
      </c>
      <c r="AB27" s="69">
        <v>0</v>
      </c>
      <c r="AC27" s="69">
        <v>0</v>
      </c>
      <c r="AD27" s="69">
        <v>12.908616250091116</v>
      </c>
      <c r="AE27" s="69">
        <v>8.5019328591201759</v>
      </c>
      <c r="AF27" s="69">
        <v>4.0999343173754585</v>
      </c>
      <c r="AG27" s="69">
        <v>0.67465659969639669</v>
      </c>
      <c r="AH27" s="69">
        <v>346.9707686583202</v>
      </c>
      <c r="AI27" s="69">
        <v>1128.860731633504</v>
      </c>
      <c r="AJ27" s="69">
        <v>3063.7165852864582</v>
      </c>
      <c r="AK27" s="69">
        <v>806.80967995325739</v>
      </c>
      <c r="AL27" s="69">
        <v>3899.1213160196935</v>
      </c>
      <c r="AM27" s="69">
        <v>2762.6318668365479</v>
      </c>
      <c r="AN27" s="69">
        <v>550.17470981280007</v>
      </c>
      <c r="AO27" s="69">
        <v>1888.5252176920571</v>
      </c>
      <c r="AP27" s="69">
        <v>421.53732339541114</v>
      </c>
      <c r="AQ27" s="69">
        <v>607.6432202339173</v>
      </c>
    </row>
    <row r="28" spans="1:43" x14ac:dyDescent="0.25">
      <c r="A28" s="11">
        <v>41295</v>
      </c>
      <c r="B28" s="59"/>
      <c r="C28" s="60">
        <v>110.91771282354945</v>
      </c>
      <c r="D28" s="60">
        <v>1232.6583315531423</v>
      </c>
      <c r="E28" s="60">
        <v>12.849526143570744</v>
      </c>
      <c r="F28" s="60">
        <v>0</v>
      </c>
      <c r="G28" s="60">
        <v>3052.2156280517634</v>
      </c>
      <c r="H28" s="61">
        <v>52.731234669685485</v>
      </c>
      <c r="I28" s="59">
        <v>170.09735453128792</v>
      </c>
      <c r="J28" s="60">
        <v>393.81465640068114</v>
      </c>
      <c r="K28" s="60">
        <v>17.164680441220543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234.80435365435403</v>
      </c>
      <c r="V28" s="62">
        <v>113.25160731874568</v>
      </c>
      <c r="W28" s="62">
        <v>20.628483266158231</v>
      </c>
      <c r="X28" s="62">
        <v>9.9495978250867818</v>
      </c>
      <c r="Y28" s="66">
        <v>53.22761326441087</v>
      </c>
      <c r="Z28" s="66">
        <v>25.672917312295066</v>
      </c>
      <c r="AA28" s="67">
        <v>0</v>
      </c>
      <c r="AB28" s="68">
        <v>0</v>
      </c>
      <c r="AC28" s="69">
        <v>0</v>
      </c>
      <c r="AD28" s="69">
        <v>12.723227094279391</v>
      </c>
      <c r="AE28" s="68">
        <v>8.3844275096827481</v>
      </c>
      <c r="AF28" s="68">
        <v>4.0440046240235956</v>
      </c>
      <c r="AG28" s="68">
        <v>0.67461667083041688</v>
      </c>
      <c r="AH28" s="69">
        <v>345.28681581815084</v>
      </c>
      <c r="AI28" s="69">
        <v>1143.590065828959</v>
      </c>
      <c r="AJ28" s="69">
        <v>3078.343740081787</v>
      </c>
      <c r="AK28" s="69">
        <v>805.29086163838701</v>
      </c>
      <c r="AL28" s="69">
        <v>3948.4167694091798</v>
      </c>
      <c r="AM28" s="69">
        <v>2760.7031706492103</v>
      </c>
      <c r="AN28" s="69">
        <v>563.84219249089563</v>
      </c>
      <c r="AO28" s="69">
        <v>1837.5485401153564</v>
      </c>
      <c r="AP28" s="69">
        <v>443.52403415044148</v>
      </c>
      <c r="AQ28" s="69">
        <v>653.71824836730957</v>
      </c>
    </row>
    <row r="29" spans="1:43" x14ac:dyDescent="0.25">
      <c r="A29" s="11">
        <v>41296</v>
      </c>
      <c r="B29" s="59"/>
      <c r="C29" s="60">
        <v>111.07770034472159</v>
      </c>
      <c r="D29" s="60">
        <v>1232.0320938746127</v>
      </c>
      <c r="E29" s="60">
        <v>12.861761386195814</v>
      </c>
      <c r="F29" s="60">
        <v>0</v>
      </c>
      <c r="G29" s="60">
        <v>3053.0119372050194</v>
      </c>
      <c r="H29" s="61">
        <v>52.725045522054145</v>
      </c>
      <c r="I29" s="59">
        <v>172.36428050994851</v>
      </c>
      <c r="J29" s="60">
        <v>400.33745398521461</v>
      </c>
      <c r="K29" s="60">
        <v>17.685984608530958</v>
      </c>
      <c r="L29" s="60">
        <v>375.94824635601015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239.20242610716411</v>
      </c>
      <c r="V29" s="62">
        <v>114.91939237173807</v>
      </c>
      <c r="W29" s="62">
        <v>20.552367865278548</v>
      </c>
      <c r="X29" s="62">
        <v>9.8739200321493232</v>
      </c>
      <c r="Y29" s="66">
        <v>53.432708969641084</v>
      </c>
      <c r="Z29" s="66">
        <v>25.670535819800218</v>
      </c>
      <c r="AA29" s="67">
        <v>0</v>
      </c>
      <c r="AB29" s="68">
        <v>0</v>
      </c>
      <c r="AC29" s="69">
        <v>0</v>
      </c>
      <c r="AD29" s="69">
        <v>12.639360538456161</v>
      </c>
      <c r="AE29" s="68">
        <v>8.4254842010578717</v>
      </c>
      <c r="AF29" s="68">
        <v>4.0478332121492251</v>
      </c>
      <c r="AG29" s="68">
        <v>0.67548062170988565</v>
      </c>
      <c r="AH29" s="69">
        <v>349.79455067316695</v>
      </c>
      <c r="AI29" s="69">
        <v>1120.6739824930828</v>
      </c>
      <c r="AJ29" s="69">
        <v>3083.5586087544762</v>
      </c>
      <c r="AK29" s="69">
        <v>800.09686622619643</v>
      </c>
      <c r="AL29" s="69">
        <v>3837.5465476989743</v>
      </c>
      <c r="AM29" s="69">
        <v>2689.5595432281493</v>
      </c>
      <c r="AN29" s="69">
        <v>530.48203403155003</v>
      </c>
      <c r="AO29" s="69">
        <v>1872.1562728881836</v>
      </c>
      <c r="AP29" s="69">
        <v>420.31100295384726</v>
      </c>
      <c r="AQ29" s="69">
        <v>738.06034806569426</v>
      </c>
    </row>
    <row r="30" spans="1:43" x14ac:dyDescent="0.25">
      <c r="A30" s="11">
        <v>41297</v>
      </c>
      <c r="B30" s="59"/>
      <c r="C30" s="60">
        <v>111.20286965370146</v>
      </c>
      <c r="D30" s="60">
        <v>1231.7390466690074</v>
      </c>
      <c r="E30" s="60">
        <v>12.879327509800582</v>
      </c>
      <c r="F30" s="60">
        <v>0</v>
      </c>
      <c r="G30" s="60">
        <v>3052.2218308766887</v>
      </c>
      <c r="H30" s="61">
        <v>52.761465720335721</v>
      </c>
      <c r="I30" s="59">
        <v>166.85844888687114</v>
      </c>
      <c r="J30" s="60">
        <v>386.17857670784076</v>
      </c>
      <c r="K30" s="60">
        <v>17.105887385209368</v>
      </c>
      <c r="L30" s="60">
        <v>352.50798643398076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238.18762031960037</v>
      </c>
      <c r="V30" s="62">
        <v>114.90020058121215</v>
      </c>
      <c r="W30" s="62">
        <v>20.752087463723417</v>
      </c>
      <c r="X30" s="62">
        <v>10.010675655020455</v>
      </c>
      <c r="Y30" s="66">
        <v>53.129845879861797</v>
      </c>
      <c r="Z30" s="66">
        <v>25.629501400004795</v>
      </c>
      <c r="AA30" s="67">
        <v>0</v>
      </c>
      <c r="AB30" s="68">
        <v>0</v>
      </c>
      <c r="AC30" s="69">
        <v>0</v>
      </c>
      <c r="AD30" s="69">
        <v>12.735956709252475</v>
      </c>
      <c r="AE30" s="68">
        <v>8.498706663133845</v>
      </c>
      <c r="AF30" s="68">
        <v>4.0997223069976956</v>
      </c>
      <c r="AG30" s="68">
        <v>0.67458463934532231</v>
      </c>
      <c r="AH30" s="69">
        <v>335.10288054148361</v>
      </c>
      <c r="AI30" s="69">
        <v>1105.7475265502931</v>
      </c>
      <c r="AJ30" s="69">
        <v>3043.3968894958498</v>
      </c>
      <c r="AK30" s="69">
        <v>793.84493681589754</v>
      </c>
      <c r="AL30" s="69">
        <v>3823.6266408284509</v>
      </c>
      <c r="AM30" s="69">
        <v>2737.9156232198084</v>
      </c>
      <c r="AN30" s="69">
        <v>525.57938768068948</v>
      </c>
      <c r="AO30" s="69">
        <v>1789.6954657236734</v>
      </c>
      <c r="AP30" s="69">
        <v>423.50099995930992</v>
      </c>
      <c r="AQ30" s="69">
        <v>798.5370994567869</v>
      </c>
    </row>
    <row r="31" spans="1:43" x14ac:dyDescent="0.25">
      <c r="A31" s="11">
        <v>41298</v>
      </c>
      <c r="B31" s="59"/>
      <c r="C31" s="60">
        <v>90.37435115178404</v>
      </c>
      <c r="D31" s="60">
        <v>1200.9405605316147</v>
      </c>
      <c r="E31" s="60">
        <v>12.887278630336104</v>
      </c>
      <c r="F31" s="60">
        <v>0</v>
      </c>
      <c r="G31" s="60">
        <v>3081.734356689456</v>
      </c>
      <c r="H31" s="61">
        <v>52.619280171394493</v>
      </c>
      <c r="I31" s="59">
        <v>166.37436320781669</v>
      </c>
      <c r="J31" s="60">
        <v>386.35082356135143</v>
      </c>
      <c r="K31" s="60">
        <v>17.112507924437516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237.92089720041326</v>
      </c>
      <c r="V31" s="62">
        <v>114.80688793125249</v>
      </c>
      <c r="W31" s="62">
        <v>20.65843237769511</v>
      </c>
      <c r="X31" s="62">
        <v>9.9685666905650887</v>
      </c>
      <c r="Y31" s="66">
        <v>53.639608822053376</v>
      </c>
      <c r="Z31" s="66">
        <v>25.883378178093924</v>
      </c>
      <c r="AA31" s="67">
        <v>0</v>
      </c>
      <c r="AB31" s="68">
        <v>0</v>
      </c>
      <c r="AC31" s="69">
        <v>0</v>
      </c>
      <c r="AD31" s="69">
        <v>12.73682977358501</v>
      </c>
      <c r="AE31" s="68">
        <v>8.4974987615453195</v>
      </c>
      <c r="AF31" s="68">
        <v>4.1004022744202908</v>
      </c>
      <c r="AG31" s="68">
        <v>0.67451702766087018</v>
      </c>
      <c r="AH31" s="69">
        <v>333.61134638786314</v>
      </c>
      <c r="AI31" s="69">
        <v>1104.7547109603881</v>
      </c>
      <c r="AJ31" s="69">
        <v>3062.7866906483964</v>
      </c>
      <c r="AK31" s="69">
        <v>782.45510937372842</v>
      </c>
      <c r="AL31" s="69">
        <v>3812.7845934549969</v>
      </c>
      <c r="AM31" s="69">
        <v>2739.7223136901857</v>
      </c>
      <c r="AN31" s="69">
        <v>520.68780918121331</v>
      </c>
      <c r="AO31" s="69">
        <v>1781.5047164916991</v>
      </c>
      <c r="AP31" s="69">
        <v>420.3833011627197</v>
      </c>
      <c r="AQ31" s="69">
        <v>795.17894878387426</v>
      </c>
    </row>
    <row r="32" spans="1:43" x14ac:dyDescent="0.25">
      <c r="A32" s="11">
        <v>41299</v>
      </c>
      <c r="B32" s="59"/>
      <c r="C32" s="60">
        <v>73.636308634281065</v>
      </c>
      <c r="D32" s="60">
        <v>1174.3116609573367</v>
      </c>
      <c r="E32" s="60">
        <v>12.889650720854597</v>
      </c>
      <c r="F32" s="60">
        <v>0</v>
      </c>
      <c r="G32" s="60">
        <v>3124.4971122741881</v>
      </c>
      <c r="H32" s="61">
        <v>52.607099056244039</v>
      </c>
      <c r="I32" s="59">
        <v>173.05982221762321</v>
      </c>
      <c r="J32" s="60">
        <v>401.67563217481012</v>
      </c>
      <c r="K32" s="60">
        <v>17.59795019626614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237.29528560151778</v>
      </c>
      <c r="V32" s="62">
        <v>113.50374555014616</v>
      </c>
      <c r="W32" s="62">
        <v>20.533736478756715</v>
      </c>
      <c r="X32" s="62">
        <v>9.8217543368828277</v>
      </c>
      <c r="Y32" s="66">
        <v>53.145746669486009</v>
      </c>
      <c r="Z32" s="66">
        <v>25.420822380667158</v>
      </c>
      <c r="AA32" s="67">
        <v>0</v>
      </c>
      <c r="AB32" s="68">
        <v>0</v>
      </c>
      <c r="AC32" s="69">
        <v>0</v>
      </c>
      <c r="AD32" s="69">
        <v>12.659807685348714</v>
      </c>
      <c r="AE32" s="68">
        <v>8.4690305376619612</v>
      </c>
      <c r="AF32" s="68">
        <v>4.0509304041439078</v>
      </c>
      <c r="AG32" s="68">
        <v>0.67644224906346984</v>
      </c>
      <c r="AH32" s="69">
        <v>334.6750750541687</v>
      </c>
      <c r="AI32" s="69">
        <v>1091.4474529902143</v>
      </c>
      <c r="AJ32" s="69">
        <v>3058.5348052978507</v>
      </c>
      <c r="AK32" s="69">
        <v>789.82053124109905</v>
      </c>
      <c r="AL32" s="69">
        <v>3841.7471366882319</v>
      </c>
      <c r="AM32" s="69">
        <v>2799.7762900034591</v>
      </c>
      <c r="AN32" s="69">
        <v>529.88031404813125</v>
      </c>
      <c r="AO32" s="69">
        <v>1757.0756841659545</v>
      </c>
      <c r="AP32" s="69">
        <v>420.62226691246036</v>
      </c>
      <c r="AQ32" s="69">
        <v>728.66038719813014</v>
      </c>
    </row>
    <row r="33" spans="1:43" x14ac:dyDescent="0.25">
      <c r="A33" s="11">
        <v>41300</v>
      </c>
      <c r="B33" s="59"/>
      <c r="C33" s="60">
        <v>73.595356396834362</v>
      </c>
      <c r="D33" s="60">
        <v>1172.7331826527873</v>
      </c>
      <c r="E33" s="60">
        <v>12.881139600276931</v>
      </c>
      <c r="F33" s="60">
        <v>0</v>
      </c>
      <c r="G33" s="60">
        <v>3119.2368762970145</v>
      </c>
      <c r="H33" s="61">
        <v>52.612039581934688</v>
      </c>
      <c r="I33" s="59">
        <v>166.58787631193775</v>
      </c>
      <c r="J33" s="60">
        <v>386.27193460464525</v>
      </c>
      <c r="K33" s="60">
        <v>16.786359920104349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238.12210673597124</v>
      </c>
      <c r="V33" s="62">
        <v>114.70594262705684</v>
      </c>
      <c r="W33" s="62">
        <v>20.624791180276674</v>
      </c>
      <c r="X33" s="62">
        <v>9.9351805099012385</v>
      </c>
      <c r="Y33" s="66">
        <v>53.547033866766242</v>
      </c>
      <c r="Z33" s="66">
        <v>25.794173748768156</v>
      </c>
      <c r="AA33" s="67">
        <v>0</v>
      </c>
      <c r="AB33" s="68">
        <v>0</v>
      </c>
      <c r="AC33" s="69">
        <v>0</v>
      </c>
      <c r="AD33" s="69">
        <v>12.736408755514336</v>
      </c>
      <c r="AE33" s="68">
        <v>8.4941991496633467</v>
      </c>
      <c r="AF33" s="68">
        <v>4.0917457588447146</v>
      </c>
      <c r="AG33" s="68">
        <v>0.67489562455666663</v>
      </c>
      <c r="AH33" s="69">
        <v>333.06479279200238</v>
      </c>
      <c r="AI33" s="69">
        <v>1099.1470096588137</v>
      </c>
      <c r="AJ33" s="69">
        <v>3041.0830745697017</v>
      </c>
      <c r="AK33" s="69">
        <v>782.31930831273405</v>
      </c>
      <c r="AL33" s="69">
        <v>3840.2311902364095</v>
      </c>
      <c r="AM33" s="69">
        <v>2739.3544216156006</v>
      </c>
      <c r="AN33" s="69">
        <v>536.97457790374756</v>
      </c>
      <c r="AO33" s="69">
        <v>1774.6079588572184</v>
      </c>
      <c r="AP33" s="69">
        <v>398.18665788968406</v>
      </c>
      <c r="AQ33" s="69">
        <v>737.98615620930991</v>
      </c>
    </row>
    <row r="34" spans="1:43" x14ac:dyDescent="0.25">
      <c r="A34" s="11">
        <v>41301</v>
      </c>
      <c r="B34" s="59"/>
      <c r="C34" s="60">
        <v>73.190990157922158</v>
      </c>
      <c r="D34" s="60">
        <v>1172.4775893529261</v>
      </c>
      <c r="E34" s="60">
        <v>12.890348165730648</v>
      </c>
      <c r="F34" s="60">
        <v>0</v>
      </c>
      <c r="G34" s="60">
        <v>3098.2021606445364</v>
      </c>
      <c r="H34" s="61">
        <v>52.577367369333928</v>
      </c>
      <c r="I34" s="59">
        <v>166.40154533386215</v>
      </c>
      <c r="J34" s="60">
        <v>386.51339756647826</v>
      </c>
      <c r="K34" s="60">
        <v>16.775683665275597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238.32379356116763</v>
      </c>
      <c r="V34" s="62">
        <v>114.8680101590943</v>
      </c>
      <c r="W34" s="62">
        <v>20.672635166644039</v>
      </c>
      <c r="X34" s="62">
        <v>9.963858122826716</v>
      </c>
      <c r="Y34" s="66">
        <v>53.572384584448862</v>
      </c>
      <c r="Z34" s="66">
        <v>25.820977103211352</v>
      </c>
      <c r="AA34" s="67">
        <v>0</v>
      </c>
      <c r="AB34" s="68">
        <v>0</v>
      </c>
      <c r="AC34" s="69">
        <v>0</v>
      </c>
      <c r="AD34" s="69">
        <v>12.740349819925084</v>
      </c>
      <c r="AE34" s="68">
        <v>8.5004708076019995</v>
      </c>
      <c r="AF34" s="68">
        <v>4.0970821775464152</v>
      </c>
      <c r="AG34" s="68">
        <v>0.6747715860074911</v>
      </c>
      <c r="AH34" s="69">
        <v>332.85080534617111</v>
      </c>
      <c r="AI34" s="69">
        <v>1090.031704203288</v>
      </c>
      <c r="AJ34" s="69">
        <v>3069.7612314860025</v>
      </c>
      <c r="AK34" s="69">
        <v>784.81554263432815</v>
      </c>
      <c r="AL34" s="69">
        <v>3817.7100130716963</v>
      </c>
      <c r="AM34" s="69">
        <v>2703.4572387695307</v>
      </c>
      <c r="AN34" s="69">
        <v>531.4851733525594</v>
      </c>
      <c r="AO34" s="69">
        <v>1825.7678263346352</v>
      </c>
      <c r="AP34" s="69">
        <v>409.98993701934802</v>
      </c>
      <c r="AQ34" s="69">
        <v>729.69559478759754</v>
      </c>
    </row>
    <row r="35" spans="1:43" x14ac:dyDescent="0.25">
      <c r="A35" s="11">
        <v>41302</v>
      </c>
      <c r="B35" s="59"/>
      <c r="C35" s="60">
        <v>73.6696246623994</v>
      </c>
      <c r="D35" s="60">
        <v>1172.5788646697974</v>
      </c>
      <c r="E35" s="60">
        <v>12.883354833722127</v>
      </c>
      <c r="F35" s="60">
        <v>0</v>
      </c>
      <c r="G35" s="60">
        <v>3083.1284188588584</v>
      </c>
      <c r="H35" s="61">
        <v>52.403880949815239</v>
      </c>
      <c r="I35" s="59">
        <v>171.83978594938904</v>
      </c>
      <c r="J35" s="60">
        <v>398.76547253926617</v>
      </c>
      <c r="K35" s="60">
        <v>17.283270579576467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235.22913710242346</v>
      </c>
      <c r="V35" s="62">
        <v>103.5351089374936</v>
      </c>
      <c r="W35" s="62">
        <v>20.22448250151507</v>
      </c>
      <c r="X35" s="62">
        <v>8.901720359952904</v>
      </c>
      <c r="Y35" s="66">
        <v>53.257682437899675</v>
      </c>
      <c r="Z35" s="66">
        <v>23.441143477754881</v>
      </c>
      <c r="AA35" s="67">
        <v>0</v>
      </c>
      <c r="AB35" s="68">
        <v>0</v>
      </c>
      <c r="AC35" s="69">
        <v>0</v>
      </c>
      <c r="AD35" s="69">
        <v>12.253233916229684</v>
      </c>
      <c r="AE35" s="68">
        <v>8.4104150068796368</v>
      </c>
      <c r="AF35" s="68">
        <v>3.7018085628042843</v>
      </c>
      <c r="AG35" s="68">
        <v>0.6943741550420468</v>
      </c>
      <c r="AH35" s="69">
        <v>334.70653807322185</v>
      </c>
      <c r="AI35" s="69">
        <v>1095.9435808181761</v>
      </c>
      <c r="AJ35" s="69">
        <v>3082.0468383789057</v>
      </c>
      <c r="AK35" s="69">
        <v>800.63929462432884</v>
      </c>
      <c r="AL35" s="69">
        <v>3854.385748799642</v>
      </c>
      <c r="AM35" s="69">
        <v>2781.7851786295578</v>
      </c>
      <c r="AN35" s="69">
        <v>536.19747894604996</v>
      </c>
      <c r="AO35" s="69">
        <v>1758.5761311848955</v>
      </c>
      <c r="AP35" s="69">
        <v>461.42024691899621</v>
      </c>
      <c r="AQ35" s="69">
        <v>726.522472190857</v>
      </c>
    </row>
    <row r="36" spans="1:43" x14ac:dyDescent="0.25">
      <c r="A36" s="11">
        <v>41303</v>
      </c>
      <c r="B36" s="59"/>
      <c r="C36" s="60">
        <v>74.138307634989417</v>
      </c>
      <c r="D36" s="60">
        <v>1173.0524457295712</v>
      </c>
      <c r="E36" s="60">
        <v>12.8634931842486</v>
      </c>
      <c r="F36" s="60">
        <v>0</v>
      </c>
      <c r="G36" s="60">
        <v>3030.2145079295037</v>
      </c>
      <c r="H36" s="61">
        <v>52.423606566588241</v>
      </c>
      <c r="I36" s="59">
        <v>166.97483735879243</v>
      </c>
      <c r="J36" s="60">
        <v>387.25144956906621</v>
      </c>
      <c r="K36" s="60">
        <v>16.443898221850407</v>
      </c>
      <c r="L36" s="60">
        <v>0.14531352519988991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232.37979329895509</v>
      </c>
      <c r="V36" s="62">
        <v>109.34932737941732</v>
      </c>
      <c r="W36" s="62">
        <v>20.609423168472382</v>
      </c>
      <c r="X36" s="62">
        <v>9.698031524845014</v>
      </c>
      <c r="Y36" s="66">
        <v>52.808099624820791</v>
      </c>
      <c r="Z36" s="66">
        <v>24.849536580534426</v>
      </c>
      <c r="AA36" s="67">
        <v>0</v>
      </c>
      <c r="AB36" s="68">
        <v>0</v>
      </c>
      <c r="AC36" s="69">
        <v>0</v>
      </c>
      <c r="AD36" s="69">
        <v>12.494798097014458</v>
      </c>
      <c r="AE36" s="68">
        <v>8.3950140998416476</v>
      </c>
      <c r="AF36" s="68">
        <v>3.9503828285853659</v>
      </c>
      <c r="AG36" s="68">
        <v>0.68001167953627695</v>
      </c>
      <c r="AH36" s="69">
        <v>347.86698056856795</v>
      </c>
      <c r="AI36" s="69">
        <v>1151.486632156372</v>
      </c>
      <c r="AJ36" s="69">
        <v>3145.7187732696525</v>
      </c>
      <c r="AK36" s="69">
        <v>821.29696222941061</v>
      </c>
      <c r="AL36" s="69">
        <v>4000.1154785156259</v>
      </c>
      <c r="AM36" s="69">
        <v>2840.3047527313233</v>
      </c>
      <c r="AN36" s="69">
        <v>595.38412049611406</v>
      </c>
      <c r="AO36" s="69">
        <v>1739.4184820175171</v>
      </c>
      <c r="AP36" s="69">
        <v>522.81168832778928</v>
      </c>
      <c r="AQ36" s="69">
        <v>692.08329083124806</v>
      </c>
    </row>
    <row r="37" spans="1:43" x14ac:dyDescent="0.25">
      <c r="A37" s="11">
        <v>41304</v>
      </c>
      <c r="B37" s="59"/>
      <c r="C37" s="60">
        <v>74.399631786346575</v>
      </c>
      <c r="D37" s="60">
        <v>1182.4749811808263</v>
      </c>
      <c r="E37" s="60">
        <v>12.842655885219562</v>
      </c>
      <c r="F37" s="60">
        <v>0</v>
      </c>
      <c r="G37" s="60">
        <v>3060.25460357665</v>
      </c>
      <c r="H37" s="61">
        <v>52.889952564239515</v>
      </c>
      <c r="I37" s="59">
        <v>167.83154230117788</v>
      </c>
      <c r="J37" s="60">
        <v>386.789662599564</v>
      </c>
      <c r="K37" s="60">
        <v>16.405382380882834</v>
      </c>
      <c r="L37" s="60">
        <v>0.1318969368934623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231.13993929181169</v>
      </c>
      <c r="V37" s="62">
        <v>111.4378304115246</v>
      </c>
      <c r="W37" s="62">
        <v>20.838149054372664</v>
      </c>
      <c r="X37" s="62">
        <v>10.046546380197638</v>
      </c>
      <c r="Y37" s="66">
        <v>53.97446173910182</v>
      </c>
      <c r="Z37" s="66">
        <v>26.022317615311543</v>
      </c>
      <c r="AA37" s="67">
        <v>0</v>
      </c>
      <c r="AB37" s="68">
        <v>0</v>
      </c>
      <c r="AC37" s="69">
        <v>0</v>
      </c>
      <c r="AD37" s="69">
        <v>12.745281531413363</v>
      </c>
      <c r="AE37" s="68">
        <v>8.5035086123933006</v>
      </c>
      <c r="AF37" s="68">
        <v>4.0997352234071194</v>
      </c>
      <c r="AG37" s="68">
        <v>0.67470793417790376</v>
      </c>
      <c r="AH37" s="69">
        <v>379.48953774770098</v>
      </c>
      <c r="AI37" s="69">
        <v>1216.6407927831015</v>
      </c>
      <c r="AJ37" s="69">
        <v>3135.83496538798</v>
      </c>
      <c r="AK37" s="69">
        <v>820.04241679509482</v>
      </c>
      <c r="AL37" s="69">
        <v>4100.2818959554033</v>
      </c>
      <c r="AM37" s="69">
        <v>2862.2872714996342</v>
      </c>
      <c r="AN37" s="69">
        <v>647.13668158849089</v>
      </c>
      <c r="AO37" s="69">
        <v>1723.3623021443686</v>
      </c>
      <c r="AP37" s="69">
        <v>531.18188579877221</v>
      </c>
      <c r="AQ37" s="69">
        <v>732.81441672643041</v>
      </c>
    </row>
    <row r="38" spans="1:43" ht="15.75" thickBot="1" x14ac:dyDescent="0.3">
      <c r="A38" s="11">
        <v>41305</v>
      </c>
      <c r="B38" s="73"/>
      <c r="C38" s="74">
        <v>73.73079820473987</v>
      </c>
      <c r="D38" s="74">
        <v>1178.9822611490902</v>
      </c>
      <c r="E38" s="74">
        <v>12.41412320931752</v>
      </c>
      <c r="F38" s="74">
        <v>0</v>
      </c>
      <c r="G38" s="74">
        <v>3223.6111328125057</v>
      </c>
      <c r="H38" s="75">
        <v>52.708814895153097</v>
      </c>
      <c r="I38" s="76">
        <v>169.75735162893926</v>
      </c>
      <c r="J38" s="74">
        <v>387.02094062169493</v>
      </c>
      <c r="K38" s="74">
        <v>16.980908313393584</v>
      </c>
      <c r="L38" s="74">
        <v>0.12718936204910189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231.06559209189143</v>
      </c>
      <c r="V38" s="80">
        <v>111.32169924417111</v>
      </c>
      <c r="W38" s="81">
        <v>20.558287962311333</v>
      </c>
      <c r="X38" s="81">
        <v>9.9044757326108037</v>
      </c>
      <c r="Y38" s="80">
        <v>53.591455417657819</v>
      </c>
      <c r="Z38" s="80">
        <v>25.819040507291799</v>
      </c>
      <c r="AA38" s="82">
        <v>0</v>
      </c>
      <c r="AB38" s="83">
        <v>0</v>
      </c>
      <c r="AC38" s="84">
        <v>0</v>
      </c>
      <c r="AD38" s="85">
        <v>12.742179268598569</v>
      </c>
      <c r="AE38" s="83">
        <v>8.4987331996141204</v>
      </c>
      <c r="AF38" s="83">
        <v>4.0944798948155272</v>
      </c>
      <c r="AG38" s="83">
        <v>0.67486614701798087</v>
      </c>
      <c r="AH38" s="84">
        <v>361.50670968691509</v>
      </c>
      <c r="AI38" s="84">
        <v>1153.5771411259968</v>
      </c>
      <c r="AJ38" s="84">
        <v>3110.9143665313723</v>
      </c>
      <c r="AK38" s="84">
        <v>804.61439930597942</v>
      </c>
      <c r="AL38" s="84">
        <v>4041.849871317545</v>
      </c>
      <c r="AM38" s="84">
        <v>2845.774434916179</v>
      </c>
      <c r="AN38" s="84">
        <v>610.73464028040576</v>
      </c>
      <c r="AO38" s="84">
        <v>1773.3230464935302</v>
      </c>
      <c r="AP38" s="84">
        <v>501.04407410621644</v>
      </c>
      <c r="AQ38" s="84">
        <v>744.85544017155962</v>
      </c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3593.4258274356489</v>
      </c>
      <c r="D39" s="30">
        <f t="shared" si="0"/>
        <v>38486.049276638027</v>
      </c>
      <c r="E39" s="30">
        <f t="shared" si="0"/>
        <v>396.62993983825032</v>
      </c>
      <c r="F39" s="30">
        <f t="shared" si="0"/>
        <v>0</v>
      </c>
      <c r="G39" s="30">
        <f t="shared" si="0"/>
        <v>96527.567621867027</v>
      </c>
      <c r="H39" s="31">
        <f t="shared" si="0"/>
        <v>1637.2734116454949</v>
      </c>
      <c r="I39" s="29">
        <f t="shared" si="0"/>
        <v>5192.1795323212918</v>
      </c>
      <c r="J39" s="30">
        <f t="shared" si="0"/>
        <v>12162.248325490957</v>
      </c>
      <c r="K39" s="30">
        <f t="shared" si="0"/>
        <v>528.29889737417272</v>
      </c>
      <c r="L39" s="30">
        <f t="shared" si="0"/>
        <v>728.86063261413335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7345.7777634388967</v>
      </c>
      <c r="V39" s="255">
        <f t="shared" si="0"/>
        <v>3512.8119115743357</v>
      </c>
      <c r="W39" s="255">
        <f t="shared" si="0"/>
        <v>640.44540097108063</v>
      </c>
      <c r="X39" s="255">
        <f t="shared" si="0"/>
        <v>306.28434590706649</v>
      </c>
      <c r="Y39" s="255">
        <f t="shared" si="0"/>
        <v>1719.4925469536613</v>
      </c>
      <c r="Z39" s="255">
        <f t="shared" si="0"/>
        <v>822.33689912368482</v>
      </c>
      <c r="AA39" s="263">
        <f t="shared" si="0"/>
        <v>0</v>
      </c>
      <c r="AB39" s="266">
        <f t="shared" si="0"/>
        <v>0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Q39" si="1">SUM(AH8:AH38)</f>
        <v>11386.485391807557</v>
      </c>
      <c r="AI39" s="266">
        <f t="shared" si="1"/>
        <v>36842.681365140277</v>
      </c>
      <c r="AJ39" s="266">
        <f t="shared" si="1"/>
        <v>95555.67166519165</v>
      </c>
      <c r="AK39" s="266">
        <f t="shared" si="1"/>
        <v>24871.902268600465</v>
      </c>
      <c r="AL39" s="266">
        <f t="shared" si="1"/>
        <v>122003.86043650314</v>
      </c>
      <c r="AM39" s="266">
        <f t="shared" si="1"/>
        <v>85575.03645350138</v>
      </c>
      <c r="AN39" s="266">
        <f t="shared" si="1"/>
        <v>18781.007284577689</v>
      </c>
      <c r="AO39" s="266">
        <f t="shared" si="1"/>
        <v>55804.327727381373</v>
      </c>
      <c r="AP39" s="266">
        <f t="shared" si="1"/>
        <v>15072.320790656408</v>
      </c>
      <c r="AQ39" s="266">
        <f t="shared" si="1"/>
        <v>21934.239430109657</v>
      </c>
    </row>
    <row r="40" spans="1:43" ht="15.75" thickBot="1" x14ac:dyDescent="0.3">
      <c r="A40" s="47" t="s">
        <v>172</v>
      </c>
      <c r="B40" s="32">
        <f>Projection!$AA$30</f>
        <v>0.91139353199999984</v>
      </c>
      <c r="C40" s="33">
        <f>Projection!$AA$28</f>
        <v>1.4375491199999999</v>
      </c>
      <c r="D40" s="33">
        <f>Projection!$AA$31</f>
        <v>2.0999286000000001</v>
      </c>
      <c r="E40" s="33">
        <f>Projection!$AA$26</f>
        <v>3.8734129199999998</v>
      </c>
      <c r="F40" s="33">
        <f>Projection!$AA$23</f>
        <v>5.8379999999999994E-2</v>
      </c>
      <c r="G40" s="33">
        <f>Projection!$AA$24</f>
        <v>5.2999999999999999E-2</v>
      </c>
      <c r="H40" s="34">
        <f>Projection!$AA$29</f>
        <v>3.6371774160000006</v>
      </c>
      <c r="I40" s="32">
        <f>Projection!$AA$30</f>
        <v>0.91139353199999984</v>
      </c>
      <c r="J40" s="33">
        <f>Projection!$AA$28</f>
        <v>1.4375491199999999</v>
      </c>
      <c r="K40" s="33">
        <f>Projection!$AA$26</f>
        <v>3.8734129199999998</v>
      </c>
      <c r="L40" s="33">
        <f>Projection!$AA$25</f>
        <v>0.37613399999999997</v>
      </c>
      <c r="M40" s="33">
        <f>Projection!$AA$23</f>
        <v>5.8379999999999994E-2</v>
      </c>
      <c r="N40" s="34">
        <f>Projection!$AA$23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1.4375491199999999</v>
      </c>
      <c r="T40" s="38">
        <f>Projection!$AA$28</f>
        <v>1.4375491199999999</v>
      </c>
      <c r="U40" s="26">
        <f>Projection!$AA$27</f>
        <v>0.26250000000000001</v>
      </c>
      <c r="V40" s="27">
        <f>Projection!$AA$27</f>
        <v>0.26250000000000001</v>
      </c>
      <c r="W40" s="27">
        <f>Projection!$AA$22</f>
        <v>1.2186999999999999</v>
      </c>
      <c r="X40" s="27">
        <f>Projection!$AA$22</f>
        <v>1.2186999999999999</v>
      </c>
      <c r="Y40" s="27">
        <f>Projection!$AA$31</f>
        <v>2.0999286000000001</v>
      </c>
      <c r="Z40" s="27">
        <f>Projection!$AA$31</f>
        <v>2.0999286000000001</v>
      </c>
      <c r="AA40" s="28">
        <v>0</v>
      </c>
      <c r="AB40" s="41">
        <f>Projection!$AA$27</f>
        <v>0.26250000000000001</v>
      </c>
      <c r="AC40" s="41">
        <f>Projection!$AA$30</f>
        <v>0.91139353199999984</v>
      </c>
      <c r="AD40" s="270">
        <f>SUM(AD8:AD38)</f>
        <v>392.77834785514409</v>
      </c>
      <c r="AE40" s="270">
        <f>SUM(AE8:AE38)</f>
        <v>261.94034680115806</v>
      </c>
      <c r="AF40" s="270">
        <f>SUM(AF8:AF38)</f>
        <v>125.27192976419583</v>
      </c>
      <c r="AG40" s="270">
        <f>IF(SUM(AE40:AF40)&gt;0, AE40/(AE40+AF40), "")</f>
        <v>0.67647738115283551</v>
      </c>
      <c r="AH40" s="306">
        <v>6.4000000000000001E-2</v>
      </c>
      <c r="AI40" s="306">
        <f t="shared" ref="AI40:AQ40" si="2">$AH$40</f>
        <v>6.4000000000000001E-2</v>
      </c>
      <c r="AJ40" s="306">
        <f t="shared" si="2"/>
        <v>6.4000000000000001E-2</v>
      </c>
      <c r="AK40" s="306">
        <f t="shared" si="2"/>
        <v>6.4000000000000001E-2</v>
      </c>
      <c r="AL40" s="306">
        <f t="shared" si="2"/>
        <v>6.4000000000000001E-2</v>
      </c>
      <c r="AM40" s="306">
        <f t="shared" si="2"/>
        <v>6.4000000000000001E-2</v>
      </c>
      <c r="AN40" s="306">
        <f t="shared" si="2"/>
        <v>6.4000000000000001E-2</v>
      </c>
      <c r="AO40" s="306">
        <f t="shared" si="2"/>
        <v>6.4000000000000001E-2</v>
      </c>
      <c r="AP40" s="306">
        <f t="shared" si="2"/>
        <v>6.4000000000000001E-2</v>
      </c>
      <c r="AQ40" s="306">
        <f t="shared" si="2"/>
        <v>6.4000000000000001E-2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5165.7261360153889</v>
      </c>
      <c r="D41" s="36">
        <f t="shared" si="3"/>
        <v>80817.955577021508</v>
      </c>
      <c r="E41" s="36">
        <f t="shared" si="3"/>
        <v>1536.3115334283013</v>
      </c>
      <c r="F41" s="36">
        <f t="shared" si="3"/>
        <v>0</v>
      </c>
      <c r="G41" s="36">
        <f t="shared" si="3"/>
        <v>5115.9610839589523</v>
      </c>
      <c r="H41" s="37">
        <f t="shared" si="3"/>
        <v>5955.0538766542659</v>
      </c>
      <c r="I41" s="35">
        <f t="shared" si="3"/>
        <v>4732.1188427404095</v>
      </c>
      <c r="J41" s="36">
        <f t="shared" si="3"/>
        <v>17483.829377530998</v>
      </c>
      <c r="K41" s="36">
        <f t="shared" si="3"/>
        <v>2046.3197747108745</v>
      </c>
      <c r="L41" s="36">
        <f t="shared" si="3"/>
        <v>274.14926518768442</v>
      </c>
      <c r="M41" s="36">
        <f t="shared" si="3"/>
        <v>0</v>
      </c>
      <c r="N41" s="37">
        <f t="shared" si="3"/>
        <v>0</v>
      </c>
      <c r="O41" s="260">
        <f t="shared" si="3"/>
        <v>0</v>
      </c>
      <c r="P41" s="261">
        <f t="shared" si="3"/>
        <v>0</v>
      </c>
      <c r="Q41" s="261">
        <f t="shared" si="3"/>
        <v>0</v>
      </c>
      <c r="R41" s="261">
        <f t="shared" si="3"/>
        <v>0</v>
      </c>
      <c r="S41" s="261">
        <f t="shared" si="3"/>
        <v>0</v>
      </c>
      <c r="T41" s="262">
        <f t="shared" si="3"/>
        <v>0</v>
      </c>
      <c r="U41" s="260">
        <f t="shared" si="3"/>
        <v>1928.2666629027106</v>
      </c>
      <c r="V41" s="261">
        <f t="shared" si="3"/>
        <v>922.11312678826312</v>
      </c>
      <c r="W41" s="261">
        <f t="shared" si="3"/>
        <v>780.51081016345586</v>
      </c>
      <c r="X41" s="261">
        <f t="shared" si="3"/>
        <v>373.26873235694188</v>
      </c>
      <c r="Y41" s="261">
        <f t="shared" si="3"/>
        <v>3610.8115768348366</v>
      </c>
      <c r="Z41" s="261">
        <f t="shared" si="3"/>
        <v>1726.8487733051409</v>
      </c>
      <c r="AA41" s="265">
        <f t="shared" si="3"/>
        <v>0</v>
      </c>
      <c r="AB41" s="268">
        <f t="shared" si="3"/>
        <v>0</v>
      </c>
      <c r="AC41" s="268">
        <f t="shared" si="3"/>
        <v>0</v>
      </c>
      <c r="AH41" s="271">
        <f t="shared" ref="AH41:AQ41" si="4">AH40*AH39</f>
        <v>728.73506507568368</v>
      </c>
      <c r="AI41" s="271">
        <f t="shared" si="4"/>
        <v>2357.9316073689779</v>
      </c>
      <c r="AJ41" s="271">
        <f t="shared" si="4"/>
        <v>6115.5629865722658</v>
      </c>
      <c r="AK41" s="271">
        <f t="shared" si="4"/>
        <v>1591.8017451904298</v>
      </c>
      <c r="AL41" s="271">
        <f t="shared" si="4"/>
        <v>7808.2470679362004</v>
      </c>
      <c r="AM41" s="271">
        <f t="shared" si="4"/>
        <v>5476.8023330240885</v>
      </c>
      <c r="AN41" s="271">
        <f t="shared" si="4"/>
        <v>1201.9844662129722</v>
      </c>
      <c r="AO41" s="271">
        <f t="shared" si="4"/>
        <v>3571.4769745524081</v>
      </c>
      <c r="AP41" s="271">
        <f t="shared" si="4"/>
        <v>964.62853060201007</v>
      </c>
      <c r="AQ41" s="271">
        <f t="shared" si="4"/>
        <v>1403.791323527018</v>
      </c>
    </row>
    <row r="42" spans="1:43" ht="49.5" customHeight="1" thickTop="1" thickBot="1" x14ac:dyDescent="0.3">
      <c r="A42" s="562" t="s">
        <v>230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432.56</v>
      </c>
      <c r="AI42" s="271" t="s">
        <v>197</v>
      </c>
      <c r="AJ42" s="271">
        <v>2994.04</v>
      </c>
      <c r="AK42" s="271">
        <v>1222.8699999999999</v>
      </c>
      <c r="AL42" s="271">
        <v>1604.41</v>
      </c>
      <c r="AM42" s="271">
        <v>7602.31</v>
      </c>
      <c r="AN42" s="271">
        <v>1878.01</v>
      </c>
      <c r="AO42" s="271" t="s">
        <v>197</v>
      </c>
      <c r="AP42" s="271">
        <v>322.25</v>
      </c>
      <c r="AQ42" s="271">
        <v>785.72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24.75" thickTop="1" thickBot="1" x14ac:dyDescent="0.3">
      <c r="A44" s="275" t="s">
        <v>135</v>
      </c>
      <c r="B44" s="276">
        <f>SUM(B41:AC41)</f>
        <v>132469.24514959974</v>
      </c>
      <c r="C44" s="12"/>
      <c r="D44" s="275" t="s">
        <v>135</v>
      </c>
      <c r="E44" s="276">
        <f>SUM(B41:H41)+P41+R41+T41+V41+X41+Z41</f>
        <v>101613.23883952877</v>
      </c>
      <c r="F44" s="12"/>
      <c r="G44" s="275" t="s">
        <v>135</v>
      </c>
      <c r="H44" s="276">
        <f>SUM(I41:N41)+O41+Q41+S41+U41+W41+Y41</f>
        <v>30856.006310070967</v>
      </c>
      <c r="I44" s="12"/>
      <c r="J44" s="275" t="s">
        <v>198</v>
      </c>
      <c r="K44" s="276">
        <v>116027.76</v>
      </c>
      <c r="L44" s="12"/>
      <c r="M44" s="12"/>
      <c r="N44" s="12"/>
      <c r="O44" s="12"/>
      <c r="P44" s="12"/>
      <c r="Q44" s="12"/>
      <c r="R44" s="294" t="s">
        <v>135</v>
      </c>
      <c r="S44" s="295"/>
      <c r="T44" s="290" t="s">
        <v>167</v>
      </c>
      <c r="U44" s="248" t="s">
        <v>168</v>
      </c>
    </row>
    <row r="45" spans="1:43" ht="24" thickBot="1" x14ac:dyDescent="0.4">
      <c r="A45" s="277" t="s">
        <v>183</v>
      </c>
      <c r="B45" s="278">
        <f>SUM(AH41:AQ41)</f>
        <v>31220.962100062057</v>
      </c>
      <c r="C45" s="12"/>
      <c r="D45" s="277" t="s">
        <v>183</v>
      </c>
      <c r="E45" s="278">
        <f>AH41*(1-$AG$40)+AI41+AJ41*0.5+AL41+AM41*(1-$AG$40)+AN41*(1-$AG$40)+AO41*(1-$AG$40)+AP41*0.5+AQ41*0.5</f>
        <v>17960.124552325455</v>
      </c>
      <c r="F45" s="24"/>
      <c r="G45" s="277" t="s">
        <v>183</v>
      </c>
      <c r="H45" s="278">
        <f>AH41*AG40+AJ41*0.5+AK41+AM41*AG40+AN41*AG40+AO41*AG40+AP41*0.5+AQ41*0.5</f>
        <v>13260.837547736599</v>
      </c>
      <c r="I45" s="12"/>
      <c r="J45" s="12"/>
      <c r="K45" s="281"/>
      <c r="L45" s="12"/>
      <c r="M45" s="12"/>
      <c r="N45" s="12"/>
      <c r="O45" s="12"/>
      <c r="P45" s="12"/>
      <c r="Q45" s="12"/>
      <c r="R45" s="292" t="s">
        <v>141</v>
      </c>
      <c r="S45" s="293"/>
      <c r="T45" s="247">
        <f>$W$39+$X$39</f>
        <v>946.72974687814713</v>
      </c>
      <c r="U45" s="249">
        <f>(T45*8.34*0.895)/27000</f>
        <v>0.26172869813416866</v>
      </c>
    </row>
    <row r="46" spans="1:43" ht="32.25" thickBot="1" x14ac:dyDescent="0.3">
      <c r="A46" s="279" t="s">
        <v>184</v>
      </c>
      <c r="B46" s="280">
        <f>SUM(AH42:AQ42)</f>
        <v>16842.169999999998</v>
      </c>
      <c r="C46" s="12"/>
      <c r="D46" s="279" t="s">
        <v>184</v>
      </c>
      <c r="E46" s="280">
        <f>AH42*(1-$AG$40)+AJ42*0.5+AL42+AM42*(1-$AG$40)+AN42*(1-$AG$40)+AP42*0.5+AQ42*0.5</f>
        <v>6862.45589791768</v>
      </c>
      <c r="F46" s="23"/>
      <c r="G46" s="279" t="s">
        <v>184</v>
      </c>
      <c r="H46" s="280">
        <f>AH42*AG40+AJ42*0.5+AK42+AM42*AG40+AN42*AG40+AP42*0.5+AQ42*0.5</f>
        <v>9979.7141020823201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292" t="s">
        <v>145</v>
      </c>
      <c r="S46" s="293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116027.76</v>
      </c>
      <c r="C47" s="12"/>
      <c r="D47" s="279" t="s">
        <v>187</v>
      </c>
      <c r="E47" s="280">
        <f>K44*0.5</f>
        <v>58013.88</v>
      </c>
      <c r="F47" s="24"/>
      <c r="G47" s="279" t="s">
        <v>185</v>
      </c>
      <c r="H47" s="280">
        <f>K44*0.5</f>
        <v>58013.88</v>
      </c>
      <c r="I47" s="12"/>
      <c r="J47" s="275" t="s">
        <v>198</v>
      </c>
      <c r="K47" s="276">
        <v>26046.28</v>
      </c>
      <c r="L47" s="12"/>
      <c r="M47" s="12"/>
      <c r="N47" s="12"/>
      <c r="O47" s="12"/>
      <c r="P47" s="12"/>
      <c r="Q47" s="12"/>
      <c r="R47" s="292" t="s">
        <v>148</v>
      </c>
      <c r="S47" s="293"/>
      <c r="T47" s="247">
        <f>$G$39</f>
        <v>96527.567621867027</v>
      </c>
      <c r="U47" s="249">
        <f>T47/40000</f>
        <v>2.4131891905466758</v>
      </c>
    </row>
    <row r="48" spans="1:43" ht="24" thickBot="1" x14ac:dyDescent="0.3">
      <c r="A48" s="279" t="s">
        <v>186</v>
      </c>
      <c r="B48" s="280">
        <f>K47</f>
        <v>26046.28</v>
      </c>
      <c r="C48" s="12"/>
      <c r="D48" s="279" t="s">
        <v>186</v>
      </c>
      <c r="E48" s="280">
        <f>K47*0.5</f>
        <v>13023.14</v>
      </c>
      <c r="F48" s="23"/>
      <c r="G48" s="279" t="s">
        <v>186</v>
      </c>
      <c r="H48" s="280">
        <f>K47*0.5</f>
        <v>13023.14</v>
      </c>
      <c r="I48" s="12"/>
      <c r="J48" s="12"/>
      <c r="K48" s="86"/>
      <c r="L48" s="12"/>
      <c r="M48" s="12"/>
      <c r="N48" s="12"/>
      <c r="O48" s="12"/>
      <c r="P48" s="12"/>
      <c r="Q48" s="12"/>
      <c r="R48" s="292" t="s">
        <v>150</v>
      </c>
      <c r="S48" s="293"/>
      <c r="T48" s="247">
        <f>$L$39</f>
        <v>728.86063261413335</v>
      </c>
      <c r="U48" s="249">
        <f>T48*9.34*0.107</f>
        <v>728.40873902191254</v>
      </c>
    </row>
    <row r="49" spans="1:25" ht="48" thickTop="1" thickBot="1" x14ac:dyDescent="0.3">
      <c r="A49" s="284" t="s">
        <v>194</v>
      </c>
      <c r="B49" s="285">
        <f>AD40</f>
        <v>392.77834785514409</v>
      </c>
      <c r="C49" s="12"/>
      <c r="D49" s="284" t="s">
        <v>195</v>
      </c>
      <c r="E49" s="285">
        <f>AF40</f>
        <v>125.27192976419583</v>
      </c>
      <c r="F49" s="23"/>
      <c r="G49" s="284" t="s">
        <v>196</v>
      </c>
      <c r="H49" s="285">
        <f>AE40</f>
        <v>261.94034680115806</v>
      </c>
      <c r="I49" s="12"/>
      <c r="J49" s="12"/>
      <c r="K49" s="86"/>
      <c r="L49" s="12"/>
      <c r="M49" s="12"/>
      <c r="N49" s="12"/>
      <c r="O49" s="12"/>
      <c r="P49" s="12"/>
      <c r="Q49" s="12"/>
      <c r="R49" s="292" t="s">
        <v>152</v>
      </c>
      <c r="S49" s="293"/>
      <c r="T49" s="247">
        <f>$E$39+$K$39</f>
        <v>924.9288372124231</v>
      </c>
      <c r="U49" s="249">
        <f>(T49*8.34*1.04)/45000</f>
        <v>0.17827695027657053</v>
      </c>
    </row>
    <row r="50" spans="1:25" ht="48" thickTop="1" thickBot="1" x14ac:dyDescent="0.3">
      <c r="A50" s="284" t="s">
        <v>190</v>
      </c>
      <c r="B50" s="286">
        <f>(SUM(B44:B48)/AD40)</f>
        <v>821.34470754645156</v>
      </c>
      <c r="C50" s="12"/>
      <c r="D50" s="284" t="s">
        <v>188</v>
      </c>
      <c r="E50" s="286">
        <f>SUM(E44:E48)/AF40</f>
        <v>1576.353454931864</v>
      </c>
      <c r="F50" s="23"/>
      <c r="G50" s="284" t="s">
        <v>189</v>
      </c>
      <c r="H50" s="286">
        <f>SUM(H44:H48)/AE40</f>
        <v>477.71784487588019</v>
      </c>
      <c r="I50" s="12"/>
      <c r="J50" s="12"/>
      <c r="K50" s="86"/>
      <c r="L50" s="12"/>
      <c r="M50" s="12"/>
      <c r="N50" s="12"/>
      <c r="O50" s="12"/>
      <c r="P50" s="12"/>
      <c r="Q50" s="12"/>
      <c r="R50" s="292" t="s">
        <v>153</v>
      </c>
      <c r="S50" s="293"/>
      <c r="T50" s="247">
        <f>$U$39+$V$39+$AB$39</f>
        <v>10858.589675013232</v>
      </c>
      <c r="U50" s="249">
        <f>T50/2000/8</f>
        <v>0.67866185468832707</v>
      </c>
    </row>
    <row r="51" spans="1:25" ht="47.25" customHeight="1" thickTop="1" thickBot="1" x14ac:dyDescent="0.3">
      <c r="A51" s="274" t="s">
        <v>191</v>
      </c>
      <c r="B51" s="287">
        <f>B50/1000</f>
        <v>0.82134470754645161</v>
      </c>
      <c r="C51" s="12"/>
      <c r="D51" s="274" t="s">
        <v>192</v>
      </c>
      <c r="E51" s="287">
        <f>E50/1000</f>
        <v>1.5763534549318641</v>
      </c>
      <c r="F51" s="12"/>
      <c r="G51" s="274" t="s">
        <v>193</v>
      </c>
      <c r="H51" s="287">
        <f>H50/1000</f>
        <v>0.4777178448758802</v>
      </c>
      <c r="I51" s="12"/>
      <c r="J51" s="12"/>
      <c r="K51" s="86"/>
      <c r="L51" s="12"/>
      <c r="M51" s="12"/>
      <c r="N51" s="12"/>
      <c r="O51" s="12"/>
      <c r="P51" s="12"/>
      <c r="Q51" s="12"/>
      <c r="R51" s="292" t="s">
        <v>154</v>
      </c>
      <c r="S51" s="293"/>
      <c r="T51" s="247">
        <f>$C$39+$J$39+$S$39+$T$39</f>
        <v>15755.674152926606</v>
      </c>
      <c r="U51" s="249">
        <f>(T51*8.34*1.4)/45000</f>
        <v>4.0880722535460228</v>
      </c>
    </row>
    <row r="52" spans="1:25" ht="16.5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292" t="s">
        <v>155</v>
      </c>
      <c r="S52" s="293"/>
      <c r="T52" s="247">
        <f>$H$39</f>
        <v>1637.2734116454949</v>
      </c>
      <c r="U52" s="249">
        <f>(T52*8.34*1.135)/45000</f>
        <v>0.34440591971766865</v>
      </c>
    </row>
    <row r="53" spans="1:25" ht="48" customHeight="1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2" t="s">
        <v>156</v>
      </c>
      <c r="S53" s="293"/>
      <c r="T53" s="247">
        <f>$B$39+$I$39+$AC$39</f>
        <v>5192.1795323212918</v>
      </c>
      <c r="U53" s="249">
        <f>(T53*8.34*1.029*0.03)/3300</f>
        <v>0.40507779855678899</v>
      </c>
    </row>
    <row r="54" spans="1:25" ht="57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54"/>
      <c r="T54" s="251">
        <f>$D$39+$Y$39+$Z$39</f>
        <v>41027.878722715373</v>
      </c>
      <c r="U54" s="252">
        <f>(T54*1.54*8.34)/45000</f>
        <v>11.709903625845937</v>
      </c>
    </row>
    <row r="55" spans="1:25" ht="15.75" thickTop="1" x14ac:dyDescent="0.25">
      <c r="A55" s="297"/>
      <c r="B55" s="297"/>
      <c r="C55" s="297"/>
      <c r="D55" s="297"/>
      <c r="E55" s="29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555"/>
      <c r="S55" s="555"/>
      <c r="T55" s="304"/>
      <c r="U55" s="305"/>
    </row>
    <row r="56" spans="1:25" x14ac:dyDescent="0.25">
      <c r="A56" s="308"/>
      <c r="B56" s="30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315"/>
      <c r="B57" s="309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309"/>
      <c r="B58" s="309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315"/>
      <c r="B59" s="309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309"/>
      <c r="B60" s="309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</sheetData>
  <sheetProtection selectLockedCells="1" selectUnlockedCells="1"/>
  <mergeCells count="31">
    <mergeCell ref="R54:S54"/>
    <mergeCell ref="R55:S55"/>
    <mergeCell ref="R43:U43"/>
    <mergeCell ref="A53:E53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4:E54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topLeftCell="A34" zoomScale="75" zoomScaleNormal="75" workbookViewId="0">
      <selection activeCell="F45" sqref="F45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425781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</row>
    <row r="5" spans="1:47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T5" t="s">
        <v>169</v>
      </c>
      <c r="AU5" s="331" t="s">
        <v>207</v>
      </c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9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47" x14ac:dyDescent="0.25">
      <c r="A8" s="11">
        <v>41306</v>
      </c>
      <c r="B8" s="49"/>
      <c r="C8" s="50">
        <v>73.455563994248507</v>
      </c>
      <c r="D8" s="50">
        <v>1179.0456352869669</v>
      </c>
      <c r="E8" s="50">
        <v>12.412282201151054</v>
      </c>
      <c r="F8" s="50">
        <v>0</v>
      </c>
      <c r="G8" s="50">
        <v>3191.5866921742841</v>
      </c>
      <c r="H8" s="51">
        <v>52.69217412074417</v>
      </c>
      <c r="I8" s="49">
        <v>178.32119335333471</v>
      </c>
      <c r="J8" s="50">
        <v>407.1181112448383</v>
      </c>
      <c r="K8" s="50">
        <v>17.4495708952347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231.23876818772851</v>
      </c>
      <c r="V8" s="54">
        <v>111.09944420698288</v>
      </c>
      <c r="W8" s="54">
        <v>20.444521550573622</v>
      </c>
      <c r="X8" s="54">
        <v>9.8226391670726425</v>
      </c>
      <c r="Y8" s="54">
        <v>53.707973053035218</v>
      </c>
      <c r="Z8" s="54">
        <v>25.804176360391466</v>
      </c>
      <c r="AA8" s="55">
        <v>0</v>
      </c>
      <c r="AB8" s="56">
        <v>0</v>
      </c>
      <c r="AC8" s="57">
        <v>0</v>
      </c>
      <c r="AD8" s="57">
        <v>12.765986247195141</v>
      </c>
      <c r="AE8" s="58">
        <v>8.4331200547202823</v>
      </c>
      <c r="AF8" s="58">
        <v>4.0517209045568041</v>
      </c>
      <c r="AG8" s="58">
        <v>0.67546876105409259</v>
      </c>
      <c r="AH8" s="57">
        <v>350.84504845937096</v>
      </c>
      <c r="AI8" s="57">
        <v>1132.1124051411946</v>
      </c>
      <c r="AJ8" s="57">
        <v>3127.4588834126794</v>
      </c>
      <c r="AK8" s="57">
        <v>807.19564625422174</v>
      </c>
      <c r="AL8" s="57">
        <v>3955.9001566569004</v>
      </c>
      <c r="AM8" s="57">
        <v>2797.9464974721277</v>
      </c>
      <c r="AN8" s="57">
        <v>567.00691394805904</v>
      </c>
      <c r="AO8" s="57">
        <v>1767.8327964782713</v>
      </c>
      <c r="AP8" s="57">
        <v>462.46373480161031</v>
      </c>
      <c r="AQ8" s="57">
        <v>743.58472487131758</v>
      </c>
    </row>
    <row r="9" spans="1:47" x14ac:dyDescent="0.25">
      <c r="A9" s="11">
        <v>41307</v>
      </c>
      <c r="B9" s="59"/>
      <c r="C9" s="60">
        <v>73.744568685690425</v>
      </c>
      <c r="D9" s="60">
        <v>1178.1582560221336</v>
      </c>
      <c r="E9" s="60">
        <v>12.40724407881499</v>
      </c>
      <c r="F9" s="60">
        <v>0</v>
      </c>
      <c r="G9" s="60">
        <v>3176.4756908416916</v>
      </c>
      <c r="H9" s="61">
        <v>52.647674552599653</v>
      </c>
      <c r="I9" s="59">
        <v>172.68694659868873</v>
      </c>
      <c r="J9" s="60">
        <v>393.67374277114919</v>
      </c>
      <c r="K9" s="60">
        <v>16.778414285182944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231.07861660148495</v>
      </c>
      <c r="V9" s="62">
        <v>111.48270355504083</v>
      </c>
      <c r="W9" s="62">
        <v>20.611433269068574</v>
      </c>
      <c r="X9" s="62">
        <v>9.9438811724533736</v>
      </c>
      <c r="Y9" s="66">
        <v>54.175386918769249</v>
      </c>
      <c r="Z9" s="66">
        <v>26.136639939560627</v>
      </c>
      <c r="AA9" s="67">
        <v>0</v>
      </c>
      <c r="AB9" s="68">
        <v>0</v>
      </c>
      <c r="AC9" s="69">
        <v>0</v>
      </c>
      <c r="AD9" s="69">
        <v>12.897718599107522</v>
      </c>
      <c r="AE9" s="68">
        <v>8.4988395369312304</v>
      </c>
      <c r="AF9" s="68">
        <v>4.1002219183766577</v>
      </c>
      <c r="AG9" s="68">
        <v>0.67456132086336751</v>
      </c>
      <c r="AH9" s="69">
        <v>348.12633686065669</v>
      </c>
      <c r="AI9" s="69">
        <v>1133.5134124755859</v>
      </c>
      <c r="AJ9" s="69">
        <v>3121.8087006886803</v>
      </c>
      <c r="AK9" s="69">
        <v>805.31990372339885</v>
      </c>
      <c r="AL9" s="69">
        <v>3903.7970965067548</v>
      </c>
      <c r="AM9" s="69">
        <v>2655.4247165679935</v>
      </c>
      <c r="AN9" s="69">
        <v>570.13190851211561</v>
      </c>
      <c r="AO9" s="69">
        <v>1770.323282877604</v>
      </c>
      <c r="AP9" s="69">
        <v>463.56253180503847</v>
      </c>
      <c r="AQ9" s="69">
        <v>621.02387692133584</v>
      </c>
    </row>
    <row r="10" spans="1:47" x14ac:dyDescent="0.25">
      <c r="A10" s="11">
        <v>41308</v>
      </c>
      <c r="B10" s="59"/>
      <c r="C10" s="60">
        <v>73.679041830698665</v>
      </c>
      <c r="D10" s="60">
        <v>1177.4012256622304</v>
      </c>
      <c r="E10" s="60">
        <v>12.414178496599193</v>
      </c>
      <c r="F10" s="60">
        <v>0</v>
      </c>
      <c r="G10" s="60">
        <v>3121.987091191625</v>
      </c>
      <c r="H10" s="61">
        <v>52.682471744219555</v>
      </c>
      <c r="I10" s="59">
        <v>172.56328167915319</v>
      </c>
      <c r="J10" s="60">
        <v>393.69501660665009</v>
      </c>
      <c r="K10" s="60">
        <v>16.919307990868841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231.31920090593459</v>
      </c>
      <c r="V10" s="62">
        <v>111.58007777720022</v>
      </c>
      <c r="W10" s="62">
        <v>20.627994307549002</v>
      </c>
      <c r="X10" s="62">
        <v>9.9502038750338375</v>
      </c>
      <c r="Y10" s="66">
        <v>54.170986659583029</v>
      </c>
      <c r="Z10" s="66">
        <v>26.13013913705284</v>
      </c>
      <c r="AA10" s="67">
        <v>0</v>
      </c>
      <c r="AB10" s="68">
        <v>0</v>
      </c>
      <c r="AC10" s="69">
        <v>0</v>
      </c>
      <c r="AD10" s="69">
        <v>12.898563049899206</v>
      </c>
      <c r="AE10" s="68">
        <v>8.4999736550644638</v>
      </c>
      <c r="AF10" s="68">
        <v>4.1000821281667914</v>
      </c>
      <c r="AG10" s="68">
        <v>0.67459809712720697</v>
      </c>
      <c r="AH10" s="69">
        <v>345.45442544619243</v>
      </c>
      <c r="AI10" s="69">
        <v>1119.3688865025836</v>
      </c>
      <c r="AJ10" s="69">
        <v>3101.9992262522373</v>
      </c>
      <c r="AK10" s="69">
        <v>800.84441324869783</v>
      </c>
      <c r="AL10" s="69">
        <v>3868.2709515889483</v>
      </c>
      <c r="AM10" s="69">
        <v>2761.0415475209556</v>
      </c>
      <c r="AN10" s="69">
        <v>559.74791593551629</v>
      </c>
      <c r="AO10" s="69">
        <v>1811.758627319336</v>
      </c>
      <c r="AP10" s="69">
        <v>478.72312801678981</v>
      </c>
      <c r="AQ10" s="69">
        <v>682.89519135157263</v>
      </c>
    </row>
    <row r="11" spans="1:47" x14ac:dyDescent="0.25">
      <c r="A11" s="11">
        <v>41309</v>
      </c>
      <c r="B11" s="59"/>
      <c r="C11" s="60">
        <v>74.570749966303424</v>
      </c>
      <c r="D11" s="60">
        <v>1184.7039815266915</v>
      </c>
      <c r="E11" s="60">
        <v>12.426508178810266</v>
      </c>
      <c r="F11" s="60">
        <v>0</v>
      </c>
      <c r="G11" s="60">
        <v>3122.800817998268</v>
      </c>
      <c r="H11" s="61">
        <v>53.111149263382089</v>
      </c>
      <c r="I11" s="59">
        <v>185.75946975549056</v>
      </c>
      <c r="J11" s="60">
        <v>424.56409144401499</v>
      </c>
      <c r="K11" s="60">
        <v>18.187721314032867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243.25519131704098</v>
      </c>
      <c r="V11" s="62">
        <v>111.32241799946469</v>
      </c>
      <c r="W11" s="62">
        <v>21.320476741571092</v>
      </c>
      <c r="X11" s="62">
        <v>9.7570251673669937</v>
      </c>
      <c r="Y11" s="66">
        <v>56.861819416045847</v>
      </c>
      <c r="Z11" s="66">
        <v>26.022035521507458</v>
      </c>
      <c r="AA11" s="67">
        <v>0</v>
      </c>
      <c r="AB11" s="68">
        <v>0</v>
      </c>
      <c r="AC11" s="69">
        <v>0</v>
      </c>
      <c r="AD11" s="69">
        <v>13.243132336272115</v>
      </c>
      <c r="AE11" s="68">
        <v>8.9240932607121266</v>
      </c>
      <c r="AF11" s="68">
        <v>4.0839894715357161</v>
      </c>
      <c r="AG11" s="68">
        <v>0.68604216658222417</v>
      </c>
      <c r="AH11" s="69">
        <v>345.95666975975041</v>
      </c>
      <c r="AI11" s="69">
        <v>1123.5019889831544</v>
      </c>
      <c r="AJ11" s="69">
        <v>3040.840866343181</v>
      </c>
      <c r="AK11" s="69">
        <v>804.91968285242706</v>
      </c>
      <c r="AL11" s="69">
        <v>4116.0649511973061</v>
      </c>
      <c r="AM11" s="69">
        <v>2796.9921157836911</v>
      </c>
      <c r="AN11" s="69">
        <v>557.12554114659633</v>
      </c>
      <c r="AO11" s="69">
        <v>1879.4906519571941</v>
      </c>
      <c r="AP11" s="69">
        <v>481.74073039690654</v>
      </c>
      <c r="AQ11" s="69">
        <v>669.22870635986339</v>
      </c>
    </row>
    <row r="12" spans="1:47" x14ac:dyDescent="0.25">
      <c r="A12" s="11">
        <v>41310</v>
      </c>
      <c r="B12" s="59"/>
      <c r="C12" s="60">
        <v>74.946651983261205</v>
      </c>
      <c r="D12" s="60">
        <v>1191.036816596984</v>
      </c>
      <c r="E12" s="60">
        <v>12.4256019875407</v>
      </c>
      <c r="F12" s="60">
        <v>0</v>
      </c>
      <c r="G12" s="60">
        <v>3142.2304566701418</v>
      </c>
      <c r="H12" s="61">
        <v>53.376560111840668</v>
      </c>
      <c r="I12" s="59">
        <v>179.29287401835077</v>
      </c>
      <c r="J12" s="60">
        <v>408.71192433039323</v>
      </c>
      <c r="K12" s="60">
        <v>17.363587445020688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245.39565793138254</v>
      </c>
      <c r="V12" s="62">
        <v>113.04615392690286</v>
      </c>
      <c r="W12" s="62">
        <v>21.488565817827634</v>
      </c>
      <c r="X12" s="62">
        <v>9.8991145140382972</v>
      </c>
      <c r="Y12" s="66">
        <v>56.623637403891912</v>
      </c>
      <c r="Z12" s="66">
        <v>26.084750169668318</v>
      </c>
      <c r="AA12" s="67">
        <v>0</v>
      </c>
      <c r="AB12" s="68">
        <v>0</v>
      </c>
      <c r="AC12" s="69">
        <v>0</v>
      </c>
      <c r="AD12" s="69">
        <v>13.292430186271639</v>
      </c>
      <c r="AE12" s="68">
        <v>9.0016332510923824</v>
      </c>
      <c r="AF12" s="68">
        <v>4.1467727125842515</v>
      </c>
      <c r="AG12" s="68">
        <v>0.68461783701841927</v>
      </c>
      <c r="AH12" s="69">
        <v>338.94236704508472</v>
      </c>
      <c r="AI12" s="69">
        <v>1108.3599394480389</v>
      </c>
      <c r="AJ12" s="69">
        <v>2964.1572962443033</v>
      </c>
      <c r="AK12" s="69">
        <v>795.19030984242784</v>
      </c>
      <c r="AL12" s="69">
        <v>4214.3021774291992</v>
      </c>
      <c r="AM12" s="69">
        <v>2751.1027191162107</v>
      </c>
      <c r="AN12" s="69">
        <v>554.63737939198802</v>
      </c>
      <c r="AO12" s="69">
        <v>1937.0269367218016</v>
      </c>
      <c r="AP12" s="69">
        <v>463.05979571342476</v>
      </c>
      <c r="AQ12" s="69">
        <v>707.04572137196863</v>
      </c>
    </row>
    <row r="13" spans="1:47" x14ac:dyDescent="0.25">
      <c r="A13" s="11">
        <v>41311</v>
      </c>
      <c r="B13" s="59"/>
      <c r="C13" s="60">
        <v>74.596536954243845</v>
      </c>
      <c r="D13" s="60">
        <v>1188.6710276285789</v>
      </c>
      <c r="E13" s="60">
        <v>12.436635183294559</v>
      </c>
      <c r="F13" s="60">
        <v>0</v>
      </c>
      <c r="G13" s="60">
        <v>3178.4866781870592</v>
      </c>
      <c r="H13" s="61">
        <v>53.306965414683127</v>
      </c>
      <c r="I13" s="59">
        <v>179.18239732583356</v>
      </c>
      <c r="J13" s="60">
        <v>408.69523143768288</v>
      </c>
      <c r="K13" s="60">
        <v>17.367074253161753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244.90008083654831</v>
      </c>
      <c r="V13" s="62">
        <v>112.98088939779186</v>
      </c>
      <c r="W13" s="62">
        <v>21.240127775687505</v>
      </c>
      <c r="X13" s="62">
        <v>9.7988065941944242</v>
      </c>
      <c r="Y13" s="66">
        <v>56.443696525681389</v>
      </c>
      <c r="Z13" s="66">
        <v>26.039432133249178</v>
      </c>
      <c r="AA13" s="67">
        <v>0</v>
      </c>
      <c r="AB13" s="68">
        <v>0</v>
      </c>
      <c r="AC13" s="69">
        <v>0</v>
      </c>
      <c r="AD13" s="69">
        <v>13.294498354196556</v>
      </c>
      <c r="AE13" s="68">
        <v>8.9953072088993444</v>
      </c>
      <c r="AF13" s="68">
        <v>4.1498467676950908</v>
      </c>
      <c r="AG13" s="68">
        <v>0.68430595981727649</v>
      </c>
      <c r="AH13" s="69">
        <v>332.47144862810762</v>
      </c>
      <c r="AI13" s="69">
        <v>1081.3986893335978</v>
      </c>
      <c r="AJ13" s="69">
        <v>2990.9787305196128</v>
      </c>
      <c r="AK13" s="69">
        <v>797.55031766891489</v>
      </c>
      <c r="AL13" s="69">
        <v>4203.7564931233728</v>
      </c>
      <c r="AM13" s="69">
        <v>2735.3814846038817</v>
      </c>
      <c r="AN13" s="69">
        <v>553.31867319742844</v>
      </c>
      <c r="AO13" s="69">
        <v>1987.9311130523683</v>
      </c>
      <c r="AP13" s="69">
        <v>460.30438229242964</v>
      </c>
      <c r="AQ13" s="69">
        <v>707.11050682067867</v>
      </c>
    </row>
    <row r="14" spans="1:47" x14ac:dyDescent="0.25">
      <c r="A14" s="11">
        <v>41312</v>
      </c>
      <c r="B14" s="59"/>
      <c r="C14" s="60">
        <v>74.461594076951144</v>
      </c>
      <c r="D14" s="60">
        <v>1187.0053427378316</v>
      </c>
      <c r="E14" s="60">
        <v>12.421813833216815</v>
      </c>
      <c r="F14" s="60">
        <v>0</v>
      </c>
      <c r="G14" s="60">
        <v>3191.9137814839769</v>
      </c>
      <c r="H14" s="61">
        <v>53.252031894524897</v>
      </c>
      <c r="I14" s="59">
        <v>169.67422816753404</v>
      </c>
      <c r="J14" s="60">
        <v>384.54577172597266</v>
      </c>
      <c r="K14" s="60">
        <v>17.026852599779744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222.66437947438223</v>
      </c>
      <c r="V14" s="62">
        <v>112.60722016805171</v>
      </c>
      <c r="W14" s="62">
        <v>19.473007364840498</v>
      </c>
      <c r="X14" s="62">
        <v>9.8480108621009599</v>
      </c>
      <c r="Y14" s="66">
        <v>51.147922522039963</v>
      </c>
      <c r="Z14" s="66">
        <v>25.86684671420673</v>
      </c>
      <c r="AA14" s="67">
        <v>0</v>
      </c>
      <c r="AB14" s="68">
        <v>0</v>
      </c>
      <c r="AC14" s="69">
        <v>0</v>
      </c>
      <c r="AD14" s="69">
        <v>12.364733323123723</v>
      </c>
      <c r="AE14" s="68">
        <v>8.1049837660992416</v>
      </c>
      <c r="AF14" s="68">
        <v>4.0989029927556384</v>
      </c>
      <c r="AG14" s="68">
        <v>0.66413134817220743</v>
      </c>
      <c r="AH14" s="69">
        <v>342.82848202387493</v>
      </c>
      <c r="AI14" s="69">
        <v>1106.0462821324666</v>
      </c>
      <c r="AJ14" s="69">
        <v>3083.3879929860441</v>
      </c>
      <c r="AK14" s="69">
        <v>804.75514961878457</v>
      </c>
      <c r="AL14" s="69">
        <v>4292.6761637369791</v>
      </c>
      <c r="AM14" s="69">
        <v>2881.2438555399581</v>
      </c>
      <c r="AN14" s="69">
        <v>583.14870494206741</v>
      </c>
      <c r="AO14" s="69">
        <v>1904.4414179484049</v>
      </c>
      <c r="AP14" s="69">
        <v>481.96892614364623</v>
      </c>
      <c r="AQ14" s="69">
        <v>698.89360949198408</v>
      </c>
    </row>
    <row r="15" spans="1:47" x14ac:dyDescent="0.25">
      <c r="A15" s="11">
        <v>41313</v>
      </c>
      <c r="B15" s="59"/>
      <c r="C15" s="60">
        <v>74.840385405222463</v>
      </c>
      <c r="D15" s="60">
        <v>1154.3101500829082</v>
      </c>
      <c r="E15" s="60">
        <v>12.409969336787841</v>
      </c>
      <c r="F15" s="60">
        <v>0</v>
      </c>
      <c r="G15" s="60">
        <v>3191.8107644399124</v>
      </c>
      <c r="H15" s="61">
        <v>53.122973803679329</v>
      </c>
      <c r="I15" s="59">
        <v>164.74896131356547</v>
      </c>
      <c r="J15" s="60">
        <v>364.3032358805338</v>
      </c>
      <c r="K15" s="60">
        <v>15.656250551342943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225.41480272470199</v>
      </c>
      <c r="V15" s="62">
        <v>113.83352913996805</v>
      </c>
      <c r="W15" s="62">
        <v>19.460034688765766</v>
      </c>
      <c r="X15" s="62">
        <v>9.8272358293781856</v>
      </c>
      <c r="Y15" s="66">
        <v>50.069681649158817</v>
      </c>
      <c r="Z15" s="66">
        <v>25.284979052592867</v>
      </c>
      <c r="AA15" s="67">
        <v>0</v>
      </c>
      <c r="AB15" s="68">
        <v>0</v>
      </c>
      <c r="AC15" s="69">
        <v>0</v>
      </c>
      <c r="AD15" s="69">
        <v>12.03336605694559</v>
      </c>
      <c r="AE15" s="68">
        <v>7.8961249267339353</v>
      </c>
      <c r="AF15" s="68">
        <v>3.9875099420065538</v>
      </c>
      <c r="AG15" s="68">
        <v>0.66445368054049114</v>
      </c>
      <c r="AH15" s="69">
        <v>332.74424993197124</v>
      </c>
      <c r="AI15" s="69">
        <v>1113.4553638458253</v>
      </c>
      <c r="AJ15" s="69">
        <v>3106.0622455596927</v>
      </c>
      <c r="AK15" s="69">
        <v>793.96141675313311</v>
      </c>
      <c r="AL15" s="69">
        <v>4300.2788441975918</v>
      </c>
      <c r="AM15" s="69">
        <v>2960.3506690979011</v>
      </c>
      <c r="AN15" s="69">
        <v>579.14253412882488</v>
      </c>
      <c r="AO15" s="69">
        <v>1862.4016417185467</v>
      </c>
      <c r="AP15" s="69">
        <v>486.00264581044524</v>
      </c>
      <c r="AQ15" s="69">
        <v>731.90343141555786</v>
      </c>
    </row>
    <row r="16" spans="1:47" x14ac:dyDescent="0.25">
      <c r="A16" s="11">
        <v>41314</v>
      </c>
      <c r="B16" s="59"/>
      <c r="C16" s="60">
        <v>73.951104660828875</v>
      </c>
      <c r="D16" s="60">
        <v>1128.636357688903</v>
      </c>
      <c r="E16" s="60">
        <v>12.407226144770757</v>
      </c>
      <c r="F16" s="60">
        <v>0</v>
      </c>
      <c r="G16" s="60">
        <v>3104.3133399963463</v>
      </c>
      <c r="H16" s="61">
        <v>53.080846671263402</v>
      </c>
      <c r="I16" s="59">
        <v>165.07616597811378</v>
      </c>
      <c r="J16" s="60">
        <v>364.96158205668121</v>
      </c>
      <c r="K16" s="60">
        <v>15.632662929097771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225.25508902150779</v>
      </c>
      <c r="V16" s="62">
        <v>116.75893577656637</v>
      </c>
      <c r="W16" s="62">
        <v>19.573233622875126</v>
      </c>
      <c r="X16" s="62">
        <v>10.145608418617336</v>
      </c>
      <c r="Y16" s="66">
        <v>50.568605725749869</v>
      </c>
      <c r="Z16" s="66">
        <v>26.211778894280958</v>
      </c>
      <c r="AA16" s="67">
        <v>0</v>
      </c>
      <c r="AB16" s="68">
        <v>0</v>
      </c>
      <c r="AC16" s="69">
        <v>0</v>
      </c>
      <c r="AD16" s="69">
        <v>12.288034145699619</v>
      </c>
      <c r="AE16" s="68">
        <v>7.999489391199937</v>
      </c>
      <c r="AF16" s="68">
        <v>4.1464628929349354</v>
      </c>
      <c r="AG16" s="68">
        <v>0.65861360262784219</v>
      </c>
      <c r="AH16" s="69">
        <v>340.91078201929724</v>
      </c>
      <c r="AI16" s="69">
        <v>1114.9887386322021</v>
      </c>
      <c r="AJ16" s="69">
        <v>3092.4972981770829</v>
      </c>
      <c r="AK16" s="69">
        <v>790.78080873489364</v>
      </c>
      <c r="AL16" s="69">
        <v>4327.0767697652182</v>
      </c>
      <c r="AM16" s="69">
        <v>2906.5669499715168</v>
      </c>
      <c r="AN16" s="69">
        <v>594.00643905003858</v>
      </c>
      <c r="AO16" s="69">
        <v>1841.1851820627849</v>
      </c>
      <c r="AP16" s="69">
        <v>492.28167182604471</v>
      </c>
      <c r="AQ16" s="69">
        <v>657.90075588226318</v>
      </c>
    </row>
    <row r="17" spans="1:43" x14ac:dyDescent="0.25">
      <c r="A17" s="11">
        <v>41315</v>
      </c>
      <c r="B17" s="49"/>
      <c r="C17" s="50">
        <v>73.615546377500067</v>
      </c>
      <c r="D17" s="50">
        <v>1112.9642848968497</v>
      </c>
      <c r="E17" s="50">
        <v>12.36562830805779</v>
      </c>
      <c r="F17" s="50">
        <v>0</v>
      </c>
      <c r="G17" s="50">
        <v>3021.3505886077869</v>
      </c>
      <c r="H17" s="51">
        <v>52.371812216440965</v>
      </c>
      <c r="I17" s="49">
        <v>165.29109067916852</v>
      </c>
      <c r="J17" s="50">
        <v>364.00852343241382</v>
      </c>
      <c r="K17" s="50">
        <v>15.588625114162731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224.20985976655879</v>
      </c>
      <c r="V17" s="66">
        <v>114.91923730307342</v>
      </c>
      <c r="W17" s="62">
        <v>19.640427726088863</v>
      </c>
      <c r="X17" s="62">
        <v>10.066742724598559</v>
      </c>
      <c r="Y17" s="66">
        <v>50.328267982469491</v>
      </c>
      <c r="Z17" s="66">
        <v>25.795860081050403</v>
      </c>
      <c r="AA17" s="67">
        <v>0</v>
      </c>
      <c r="AB17" s="68">
        <v>0</v>
      </c>
      <c r="AC17" s="69">
        <v>0</v>
      </c>
      <c r="AD17" s="69">
        <v>12.23953901065719</v>
      </c>
      <c r="AE17" s="68">
        <v>7.99947690642471</v>
      </c>
      <c r="AF17" s="68">
        <v>4.1001487885814694</v>
      </c>
      <c r="AG17" s="68">
        <v>0.66113424564251577</v>
      </c>
      <c r="AH17" s="69">
        <v>362.52361877759296</v>
      </c>
      <c r="AI17" s="69">
        <v>1173.3040215174358</v>
      </c>
      <c r="AJ17" s="69">
        <v>3105.1654987335205</v>
      </c>
      <c r="AK17" s="69">
        <v>798.88117081324276</v>
      </c>
      <c r="AL17" s="69">
        <v>4384.9664909362782</v>
      </c>
      <c r="AM17" s="69">
        <v>2919.3762224833172</v>
      </c>
      <c r="AN17" s="69">
        <v>632.33898379007962</v>
      </c>
      <c r="AO17" s="69">
        <v>1828.6976994832355</v>
      </c>
      <c r="AP17" s="69">
        <v>520.87245639165258</v>
      </c>
      <c r="AQ17" s="69">
        <v>686.57386980056754</v>
      </c>
    </row>
    <row r="18" spans="1:43" x14ac:dyDescent="0.25">
      <c r="A18" s="11">
        <v>41316</v>
      </c>
      <c r="B18" s="59"/>
      <c r="C18" s="60">
        <v>73.152357085545987</v>
      </c>
      <c r="D18" s="60">
        <v>1112.8219579696649</v>
      </c>
      <c r="E18" s="60">
        <v>12.167932177583399</v>
      </c>
      <c r="F18" s="60">
        <v>0</v>
      </c>
      <c r="G18" s="60">
        <v>3020.2675362904765</v>
      </c>
      <c r="H18" s="61">
        <v>52.337015291055188</v>
      </c>
      <c r="I18" s="59">
        <v>176.84377111593864</v>
      </c>
      <c r="J18" s="60">
        <v>390.28347833951301</v>
      </c>
      <c r="K18" s="60">
        <v>16.679263014594699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226.35094753548813</v>
      </c>
      <c r="V18" s="62">
        <v>102.0017206863059</v>
      </c>
      <c r="W18" s="62">
        <v>19.843437145470418</v>
      </c>
      <c r="X18" s="62">
        <v>8.9421526846102584</v>
      </c>
      <c r="Y18" s="66">
        <v>51.907357526897123</v>
      </c>
      <c r="Z18" s="66">
        <v>23.391286149542918</v>
      </c>
      <c r="AA18" s="67">
        <v>0</v>
      </c>
      <c r="AB18" s="68">
        <v>0</v>
      </c>
      <c r="AC18" s="69">
        <v>0</v>
      </c>
      <c r="AD18" s="69">
        <v>11.964141740732714</v>
      </c>
      <c r="AE18" s="68">
        <v>8.1434158212955765</v>
      </c>
      <c r="AF18" s="68">
        <v>3.6697103991844542</v>
      </c>
      <c r="AG18" s="68">
        <v>0.68935315422073473</v>
      </c>
      <c r="AH18" s="69">
        <v>377.31120483080542</v>
      </c>
      <c r="AI18" s="69">
        <v>1236.6337754567462</v>
      </c>
      <c r="AJ18" s="69">
        <v>3097.9795218149825</v>
      </c>
      <c r="AK18" s="69">
        <v>803.8430979092916</v>
      </c>
      <c r="AL18" s="69">
        <v>4484.5598757425951</v>
      </c>
      <c r="AM18" s="69">
        <v>3018.3511439005533</v>
      </c>
      <c r="AN18" s="69">
        <v>667.4825578053792</v>
      </c>
      <c r="AO18" s="69">
        <v>1792.7461381276448</v>
      </c>
      <c r="AP18" s="69">
        <v>515.15999490420029</v>
      </c>
      <c r="AQ18" s="69">
        <v>739.25238726933799</v>
      </c>
    </row>
    <row r="19" spans="1:43" x14ac:dyDescent="0.25">
      <c r="A19" s="11">
        <v>41317</v>
      </c>
      <c r="B19" s="59"/>
      <c r="C19" s="60">
        <v>73.040491966406364</v>
      </c>
      <c r="D19" s="60">
        <v>1110.7394809722898</v>
      </c>
      <c r="E19" s="60">
        <v>12.169359085460492</v>
      </c>
      <c r="F19" s="60">
        <v>0</v>
      </c>
      <c r="G19" s="60">
        <v>3083.9712851206359</v>
      </c>
      <c r="H19" s="61">
        <v>52.041644128163696</v>
      </c>
      <c r="I19" s="59">
        <v>181.33006066481283</v>
      </c>
      <c r="J19" s="60">
        <v>386.84959165255322</v>
      </c>
      <c r="K19" s="60">
        <v>15.687025697032615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234.82549687768488</v>
      </c>
      <c r="V19" s="62">
        <v>113.24096203632888</v>
      </c>
      <c r="W19" s="62">
        <v>20.702957370566867</v>
      </c>
      <c r="X19" s="62">
        <v>9.9836808217689104</v>
      </c>
      <c r="Y19" s="66">
        <v>54.848426455285264</v>
      </c>
      <c r="Z19" s="66">
        <v>26.449804900063924</v>
      </c>
      <c r="AA19" s="67">
        <v>0</v>
      </c>
      <c r="AB19" s="68">
        <v>0</v>
      </c>
      <c r="AC19" s="69">
        <v>0</v>
      </c>
      <c r="AD19" s="69">
        <v>12.750281967719411</v>
      </c>
      <c r="AE19" s="68">
        <v>8.5024248982741906</v>
      </c>
      <c r="AF19" s="68">
        <v>4.1001628354850972</v>
      </c>
      <c r="AG19" s="68">
        <v>0.67465706868266817</v>
      </c>
      <c r="AH19" s="69">
        <v>367.39971353212985</v>
      </c>
      <c r="AI19" s="69">
        <v>1193.0702351252235</v>
      </c>
      <c r="AJ19" s="69">
        <v>3095.6889466603598</v>
      </c>
      <c r="AK19" s="69">
        <v>793.34105717341106</v>
      </c>
      <c r="AL19" s="69">
        <v>4521.8950810750321</v>
      </c>
      <c r="AM19" s="69">
        <v>2974.2561812082927</v>
      </c>
      <c r="AN19" s="69">
        <v>637.04615653355916</v>
      </c>
      <c r="AO19" s="69">
        <v>1746.66357421875</v>
      </c>
      <c r="AP19" s="69">
        <v>506.11073284149182</v>
      </c>
      <c r="AQ19" s="69">
        <v>703.21207167307534</v>
      </c>
    </row>
    <row r="20" spans="1:43" x14ac:dyDescent="0.25">
      <c r="A20" s="11">
        <v>41318</v>
      </c>
      <c r="B20" s="59"/>
      <c r="C20" s="60">
        <v>72.727406469980934</v>
      </c>
      <c r="D20" s="60">
        <v>1109.908136431377</v>
      </c>
      <c r="E20" s="60">
        <v>12.135346738000733</v>
      </c>
      <c r="F20" s="60">
        <v>0</v>
      </c>
      <c r="G20" s="60">
        <v>3081.3923946380614</v>
      </c>
      <c r="H20" s="61">
        <v>52.007717466354379</v>
      </c>
      <c r="I20" s="59">
        <v>183.95834654966993</v>
      </c>
      <c r="J20" s="60">
        <v>386.99530076980699</v>
      </c>
      <c r="K20" s="60">
        <v>14.574107857545242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234.51511129382783</v>
      </c>
      <c r="V20" s="62">
        <v>113.20987533353916</v>
      </c>
      <c r="W20" s="62">
        <v>20.620367501245266</v>
      </c>
      <c r="X20" s="62">
        <v>9.9542806485629587</v>
      </c>
      <c r="Y20" s="66">
        <v>54.762340268231263</v>
      </c>
      <c r="Z20" s="66">
        <v>26.435983935259866</v>
      </c>
      <c r="AA20" s="67">
        <v>0</v>
      </c>
      <c r="AB20" s="68">
        <v>0</v>
      </c>
      <c r="AC20" s="69">
        <v>0</v>
      </c>
      <c r="AD20" s="69">
        <v>12.749617316987772</v>
      </c>
      <c r="AE20" s="68">
        <v>8.4941001668500871</v>
      </c>
      <c r="AF20" s="68">
        <v>4.1004437439209118</v>
      </c>
      <c r="AG20" s="68">
        <v>0.67442697623895975</v>
      </c>
      <c r="AH20" s="69">
        <v>333.82382275263467</v>
      </c>
      <c r="AI20" s="69">
        <v>1144.6661773045857</v>
      </c>
      <c r="AJ20" s="69">
        <v>3152.6800223032633</v>
      </c>
      <c r="AK20" s="69">
        <v>802.64621181488053</v>
      </c>
      <c r="AL20" s="69">
        <v>4632.2137095133467</v>
      </c>
      <c r="AM20" s="69">
        <v>2949.6566275278728</v>
      </c>
      <c r="AN20" s="69">
        <v>609.30696245829267</v>
      </c>
      <c r="AO20" s="69">
        <v>1760.3214769999186</v>
      </c>
      <c r="AP20" s="69">
        <v>494.32160703341157</v>
      </c>
      <c r="AQ20" s="69">
        <v>722.40070641835518</v>
      </c>
    </row>
    <row r="21" spans="1:43" x14ac:dyDescent="0.25">
      <c r="A21" s="11">
        <v>41319</v>
      </c>
      <c r="B21" s="59"/>
      <c r="C21" s="60">
        <v>73.03061287800476</v>
      </c>
      <c r="D21" s="60">
        <v>1109.1518550872804</v>
      </c>
      <c r="E21" s="60">
        <v>12.194319561123828</v>
      </c>
      <c r="F21" s="60">
        <v>0</v>
      </c>
      <c r="G21" s="60">
        <v>3095.3495363871116</v>
      </c>
      <c r="H21" s="61">
        <v>51.993181892236258</v>
      </c>
      <c r="I21" s="59">
        <v>192.85615470409397</v>
      </c>
      <c r="J21" s="60">
        <v>408.03264656066932</v>
      </c>
      <c r="K21" s="60">
        <v>15.425697609782253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230.80376206557889</v>
      </c>
      <c r="V21" s="62">
        <v>111.20405500146389</v>
      </c>
      <c r="W21" s="62">
        <v>20.227316091505863</v>
      </c>
      <c r="X21" s="62">
        <v>9.7457664946236751</v>
      </c>
      <c r="Y21" s="66">
        <v>54.374054744413399</v>
      </c>
      <c r="Z21" s="66">
        <v>26.198079790104615</v>
      </c>
      <c r="AA21" s="67">
        <v>0</v>
      </c>
      <c r="AB21" s="68">
        <v>0</v>
      </c>
      <c r="AC21" s="69">
        <v>0</v>
      </c>
      <c r="AD21" s="69">
        <v>12.67754579716259</v>
      </c>
      <c r="AE21" s="68">
        <v>8.4076753612801483</v>
      </c>
      <c r="AF21" s="68">
        <v>4.0509200757507395</v>
      </c>
      <c r="AG21" s="68">
        <v>0.67484937638233899</v>
      </c>
      <c r="AH21" s="69">
        <v>352.54167372385666</v>
      </c>
      <c r="AI21" s="69">
        <v>1197.5165639241538</v>
      </c>
      <c r="AJ21" s="69">
        <v>3192.658123016357</v>
      </c>
      <c r="AK21" s="69">
        <v>811.32927659352617</v>
      </c>
      <c r="AL21" s="69">
        <v>4721.0958730061866</v>
      </c>
      <c r="AM21" s="69">
        <v>2985.0379455566408</v>
      </c>
      <c r="AN21" s="69">
        <v>643.43942457834885</v>
      </c>
      <c r="AO21" s="69">
        <v>1773.982592391968</v>
      </c>
      <c r="AP21" s="69">
        <v>505.38821716308587</v>
      </c>
      <c r="AQ21" s="69">
        <v>715.06201076507557</v>
      </c>
    </row>
    <row r="22" spans="1:43" x14ac:dyDescent="0.25">
      <c r="A22" s="11">
        <v>41320</v>
      </c>
      <c r="B22" s="59"/>
      <c r="C22" s="60">
        <v>72.357106991609044</v>
      </c>
      <c r="D22" s="60">
        <v>1106.7441272099813</v>
      </c>
      <c r="E22" s="60">
        <v>12.195937613646194</v>
      </c>
      <c r="F22" s="60">
        <v>0</v>
      </c>
      <c r="G22" s="60">
        <v>3244.2089199066099</v>
      </c>
      <c r="H22" s="61">
        <v>51.893463345368822</v>
      </c>
      <c r="I22" s="59">
        <v>183.33459067344651</v>
      </c>
      <c r="J22" s="60">
        <v>394.09973917007466</v>
      </c>
      <c r="K22" s="60">
        <v>15.103662754098606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234.43925113529124</v>
      </c>
      <c r="V22" s="62">
        <v>113.16654707739528</v>
      </c>
      <c r="W22" s="62">
        <v>18.8522491772469</v>
      </c>
      <c r="X22" s="62">
        <v>9.1001994491123863</v>
      </c>
      <c r="Y22" s="66">
        <v>55.289617118649488</v>
      </c>
      <c r="Z22" s="66">
        <v>26.688939792500992</v>
      </c>
      <c r="AA22" s="67">
        <v>0</v>
      </c>
      <c r="AB22" s="68">
        <v>0</v>
      </c>
      <c r="AC22" s="69">
        <v>0</v>
      </c>
      <c r="AD22" s="69">
        <v>12.898908048868165</v>
      </c>
      <c r="AE22" s="68">
        <v>8.4875819532271777</v>
      </c>
      <c r="AF22" s="68">
        <v>4.0970543031159847</v>
      </c>
      <c r="AG22" s="68">
        <v>0.67443999018637468</v>
      </c>
      <c r="AH22" s="69">
        <v>361.74561943213138</v>
      </c>
      <c r="AI22" s="69">
        <v>1202.284947268168</v>
      </c>
      <c r="AJ22" s="69">
        <v>3188.1903419494633</v>
      </c>
      <c r="AK22" s="69">
        <v>802.09474512736017</v>
      </c>
      <c r="AL22" s="69">
        <v>4716.5461057027178</v>
      </c>
      <c r="AM22" s="69">
        <v>3000.4986499786369</v>
      </c>
      <c r="AN22" s="69">
        <v>659.36407769521077</v>
      </c>
      <c r="AO22" s="69">
        <v>1775.9260677337645</v>
      </c>
      <c r="AP22" s="69">
        <v>519.4332019329072</v>
      </c>
      <c r="AQ22" s="69">
        <v>715.33966067632048</v>
      </c>
    </row>
    <row r="23" spans="1:43" x14ac:dyDescent="0.25">
      <c r="A23" s="11">
        <v>41321</v>
      </c>
      <c r="B23" s="59"/>
      <c r="C23" s="60">
        <v>72.525222428639779</v>
      </c>
      <c r="D23" s="60">
        <v>1104.1094158172623</v>
      </c>
      <c r="E23" s="60">
        <v>12.210172131160901</v>
      </c>
      <c r="F23" s="60">
        <v>0</v>
      </c>
      <c r="G23" s="60">
        <v>3360.825364685064</v>
      </c>
      <c r="H23" s="61">
        <v>51.790711836020229</v>
      </c>
      <c r="I23" s="59">
        <v>173.7552388191221</v>
      </c>
      <c r="J23" s="60">
        <v>377.36929160753766</v>
      </c>
      <c r="K23" s="60">
        <v>14.743329683939663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225.10060793668762</v>
      </c>
      <c r="V23" s="62">
        <v>113.38157704561624</v>
      </c>
      <c r="W23" s="62">
        <v>19.690624862725116</v>
      </c>
      <c r="X23" s="62">
        <v>9.9180278561367921</v>
      </c>
      <c r="Y23" s="66">
        <v>53.189701451951898</v>
      </c>
      <c r="Z23" s="66">
        <v>26.791274748151853</v>
      </c>
      <c r="AA23" s="67">
        <v>0</v>
      </c>
      <c r="AB23" s="68">
        <v>0</v>
      </c>
      <c r="AC23" s="69">
        <v>0</v>
      </c>
      <c r="AD23" s="69">
        <v>12.536201735337579</v>
      </c>
      <c r="AE23" s="68">
        <v>8.1382589757411559</v>
      </c>
      <c r="AF23" s="68">
        <v>4.0991832298147441</v>
      </c>
      <c r="AG23" s="68">
        <v>0.66502941047977482</v>
      </c>
      <c r="AH23" s="69">
        <v>332.05227789084108</v>
      </c>
      <c r="AI23" s="69">
        <v>1131.5652045567833</v>
      </c>
      <c r="AJ23" s="69">
        <v>3160.8508349100753</v>
      </c>
      <c r="AK23" s="69">
        <v>780.96624256769815</v>
      </c>
      <c r="AL23" s="69">
        <v>4647.2575902303061</v>
      </c>
      <c r="AM23" s="69">
        <v>2913.1779004414875</v>
      </c>
      <c r="AN23" s="69">
        <v>594.58695106506332</v>
      </c>
      <c r="AO23" s="69">
        <v>1773.2073941548665</v>
      </c>
      <c r="AP23" s="69">
        <v>493.02400086720797</v>
      </c>
      <c r="AQ23" s="69">
        <v>699.13410895665493</v>
      </c>
    </row>
    <row r="24" spans="1:43" x14ac:dyDescent="0.25">
      <c r="A24" s="11">
        <v>41322</v>
      </c>
      <c r="B24" s="59"/>
      <c r="C24" s="60">
        <v>72.408328942457729</v>
      </c>
      <c r="D24" s="60">
        <v>1080.4343456268314</v>
      </c>
      <c r="E24" s="60">
        <v>12.249451288084213</v>
      </c>
      <c r="F24" s="60">
        <v>0</v>
      </c>
      <c r="G24" s="60">
        <v>3389.1902872721412</v>
      </c>
      <c r="H24" s="61">
        <v>51.715018228689928</v>
      </c>
      <c r="I24" s="59">
        <v>176.22090843518572</v>
      </c>
      <c r="J24" s="60">
        <v>383.04364763895609</v>
      </c>
      <c r="K24" s="60">
        <v>14.737196015318254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220.95584237357539</v>
      </c>
      <c r="V24" s="62">
        <v>112.70982653782815</v>
      </c>
      <c r="W24" s="62">
        <v>18.780366983304688</v>
      </c>
      <c r="X24" s="62">
        <v>9.5798865613438551</v>
      </c>
      <c r="Y24" s="66">
        <v>51.646820420942262</v>
      </c>
      <c r="Z24" s="66">
        <v>26.345101846335798</v>
      </c>
      <c r="AA24" s="67">
        <v>0</v>
      </c>
      <c r="AB24" s="68">
        <v>0</v>
      </c>
      <c r="AC24" s="69">
        <v>0</v>
      </c>
      <c r="AD24" s="69">
        <v>12.263624722758941</v>
      </c>
      <c r="AE24" s="68">
        <v>7.9388114697861649</v>
      </c>
      <c r="AF24" s="68">
        <v>4.0495967613442394</v>
      </c>
      <c r="AG24" s="68">
        <v>0.66220730198120747</v>
      </c>
      <c r="AH24" s="69">
        <v>295.91721642812098</v>
      </c>
      <c r="AI24" s="69">
        <v>1058.0109463373819</v>
      </c>
      <c r="AJ24" s="69">
        <v>3174.5157834370921</v>
      </c>
      <c r="AK24" s="69">
        <v>783.42110563913991</v>
      </c>
      <c r="AL24" s="69">
        <v>4614.5948776245123</v>
      </c>
      <c r="AM24" s="69">
        <v>2875.9235757191977</v>
      </c>
      <c r="AN24" s="69">
        <v>546.66500371297207</v>
      </c>
      <c r="AO24" s="69">
        <v>1811.9648999532062</v>
      </c>
      <c r="AP24" s="69">
        <v>501.89184226989744</v>
      </c>
      <c r="AQ24" s="69">
        <v>717.54793252944944</v>
      </c>
    </row>
    <row r="25" spans="1:43" x14ac:dyDescent="0.25">
      <c r="A25" s="11">
        <v>41323</v>
      </c>
      <c r="B25" s="59"/>
      <c r="C25" s="60">
        <v>72.570561726887988</v>
      </c>
      <c r="D25" s="60">
        <v>1077.3029989242573</v>
      </c>
      <c r="E25" s="60">
        <v>12.241451673209664</v>
      </c>
      <c r="F25" s="60">
        <v>0</v>
      </c>
      <c r="G25" s="60">
        <v>3306.9332829793366</v>
      </c>
      <c r="H25" s="61">
        <v>51.761765297254051</v>
      </c>
      <c r="I25" s="59">
        <v>167.79481478532125</v>
      </c>
      <c r="J25" s="60">
        <v>364.25097204844133</v>
      </c>
      <c r="K25" s="60">
        <v>13.775716144839958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219.40644052347429</v>
      </c>
      <c r="V25" s="62">
        <v>109.78464853445</v>
      </c>
      <c r="W25" s="62">
        <v>18.94683847561415</v>
      </c>
      <c r="X25" s="62">
        <v>9.4804509745544472</v>
      </c>
      <c r="Y25" s="66">
        <v>50.441756457812744</v>
      </c>
      <c r="Z25" s="66">
        <v>25.239598668885993</v>
      </c>
      <c r="AA25" s="67">
        <v>0</v>
      </c>
      <c r="AB25" s="68">
        <v>0</v>
      </c>
      <c r="AC25" s="69">
        <v>0</v>
      </c>
      <c r="AD25" s="69">
        <v>11.858786391880781</v>
      </c>
      <c r="AE25" s="68">
        <v>7.8175730627069262</v>
      </c>
      <c r="AF25" s="68">
        <v>3.9116878658347298</v>
      </c>
      <c r="AG25" s="68">
        <v>0.66650176088110225</v>
      </c>
      <c r="AH25" s="69">
        <v>323.23128341039018</v>
      </c>
      <c r="AI25" s="69">
        <v>1082.1784526824952</v>
      </c>
      <c r="AJ25" s="69">
        <v>3204.327508163452</v>
      </c>
      <c r="AK25" s="69">
        <v>792.26128590901692</v>
      </c>
      <c r="AL25" s="69">
        <v>4511.2060389200851</v>
      </c>
      <c r="AM25" s="69">
        <v>2939.938643773397</v>
      </c>
      <c r="AN25" s="69">
        <v>553.25878518422451</v>
      </c>
      <c r="AO25" s="69">
        <v>1745.2649754842123</v>
      </c>
      <c r="AP25" s="69">
        <v>479.18276904424039</v>
      </c>
      <c r="AQ25" s="69">
        <v>688.02413387298589</v>
      </c>
    </row>
    <row r="26" spans="1:43" x14ac:dyDescent="0.25">
      <c r="A26" s="11">
        <v>41324</v>
      </c>
      <c r="B26" s="59"/>
      <c r="C26" s="60">
        <v>72.271494428316743</v>
      </c>
      <c r="D26" s="60">
        <v>1075.74937216441</v>
      </c>
      <c r="E26" s="60">
        <v>12.21917013575634</v>
      </c>
      <c r="F26" s="60">
        <v>0</v>
      </c>
      <c r="G26" s="60">
        <v>3329.4116933186938</v>
      </c>
      <c r="H26" s="61">
        <v>51.68464417854959</v>
      </c>
      <c r="I26" s="59">
        <v>167.66644211610151</v>
      </c>
      <c r="J26" s="60">
        <v>364.03211024602234</v>
      </c>
      <c r="K26" s="60">
        <v>13.711995102961854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221.37449430489423</v>
      </c>
      <c r="V26" s="62">
        <v>113.41227780848234</v>
      </c>
      <c r="W26" s="62">
        <v>19.5397749360984</v>
      </c>
      <c r="X26" s="62">
        <v>10.010414209307665</v>
      </c>
      <c r="Y26" s="66">
        <v>51.395318512096487</v>
      </c>
      <c r="Z26" s="66">
        <v>26.330314878647947</v>
      </c>
      <c r="AA26" s="67">
        <v>0</v>
      </c>
      <c r="AB26" s="68">
        <v>0</v>
      </c>
      <c r="AC26" s="69">
        <v>0</v>
      </c>
      <c r="AD26" s="69">
        <v>12.231977460781742</v>
      </c>
      <c r="AE26" s="68">
        <v>8.0024516359977689</v>
      </c>
      <c r="AF26" s="68">
        <v>4.0997327670492085</v>
      </c>
      <c r="AG26" s="68">
        <v>0.66124026617731801</v>
      </c>
      <c r="AH26" s="69">
        <v>330.27633159955343</v>
      </c>
      <c r="AI26" s="69">
        <v>1109.5260479609171</v>
      </c>
      <c r="AJ26" s="69">
        <v>3204.4535933176676</v>
      </c>
      <c r="AK26" s="69">
        <v>789.9510107994081</v>
      </c>
      <c r="AL26" s="69">
        <v>4321.7084035237622</v>
      </c>
      <c r="AM26" s="69">
        <v>2993.8810929616293</v>
      </c>
      <c r="AN26" s="69">
        <v>588.25079380671184</v>
      </c>
      <c r="AO26" s="69">
        <v>1727.3050453186036</v>
      </c>
      <c r="AP26" s="69">
        <v>463.87471181551615</v>
      </c>
      <c r="AQ26" s="69">
        <v>722.68807493845623</v>
      </c>
    </row>
    <row r="27" spans="1:43" x14ac:dyDescent="0.25">
      <c r="A27" s="11">
        <v>41325</v>
      </c>
      <c r="B27" s="59"/>
      <c r="C27" s="60">
        <v>72.233436751365574</v>
      </c>
      <c r="D27" s="60">
        <v>1075.1758714675918</v>
      </c>
      <c r="E27" s="60">
        <v>12.230509599049888</v>
      </c>
      <c r="F27" s="60">
        <v>0</v>
      </c>
      <c r="G27" s="60">
        <v>3353.5826797485402</v>
      </c>
      <c r="H27" s="61">
        <v>51.664953295390021</v>
      </c>
      <c r="I27" s="59">
        <v>171.68838711579656</v>
      </c>
      <c r="J27" s="60">
        <v>372.79738944371525</v>
      </c>
      <c r="K27" s="60">
        <v>14.142587862412119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222.07396491556653</v>
      </c>
      <c r="V27" s="62">
        <v>111.09449600455952</v>
      </c>
      <c r="W27" s="62">
        <v>19.367111187286927</v>
      </c>
      <c r="X27" s="62">
        <v>9.688571360600271</v>
      </c>
      <c r="Y27" s="62">
        <v>51.586653019617287</v>
      </c>
      <c r="Z27" s="62">
        <v>25.806686614324281</v>
      </c>
      <c r="AA27" s="72">
        <v>0</v>
      </c>
      <c r="AB27" s="69">
        <v>0</v>
      </c>
      <c r="AC27" s="69">
        <v>0</v>
      </c>
      <c r="AD27" s="69">
        <v>12.210065389341771</v>
      </c>
      <c r="AE27" s="69">
        <v>8.0511174128535341</v>
      </c>
      <c r="AF27" s="69">
        <v>4.0276438149540148</v>
      </c>
      <c r="AG27" s="69">
        <v>0.66655158265057579</v>
      </c>
      <c r="AH27" s="69">
        <v>346.06276338895157</v>
      </c>
      <c r="AI27" s="69">
        <v>1143.1756970087683</v>
      </c>
      <c r="AJ27" s="69">
        <v>3226.0349622090657</v>
      </c>
      <c r="AK27" s="69">
        <v>802.09000339508054</v>
      </c>
      <c r="AL27" s="69">
        <v>4471.027418518066</v>
      </c>
      <c r="AM27" s="69">
        <v>3000.1733854929598</v>
      </c>
      <c r="AN27" s="69">
        <v>606.43022883733113</v>
      </c>
      <c r="AO27" s="69">
        <v>1739.5810855865477</v>
      </c>
      <c r="AP27" s="69">
        <v>477.88585405349733</v>
      </c>
      <c r="AQ27" s="69">
        <v>738.86057933171594</v>
      </c>
    </row>
    <row r="28" spans="1:43" x14ac:dyDescent="0.25">
      <c r="A28" s="11">
        <v>41326</v>
      </c>
      <c r="B28" s="59"/>
      <c r="C28" s="60">
        <v>66.809896663824716</v>
      </c>
      <c r="D28" s="60">
        <v>1074.6185409545928</v>
      </c>
      <c r="E28" s="60">
        <v>12.213764180739712</v>
      </c>
      <c r="F28" s="60">
        <v>0</v>
      </c>
      <c r="G28" s="60">
        <v>3434.7863945007311</v>
      </c>
      <c r="H28" s="61">
        <v>51.6305672883989</v>
      </c>
      <c r="I28" s="59">
        <v>177.01982587973245</v>
      </c>
      <c r="J28" s="60">
        <v>384.96068207422866</v>
      </c>
      <c r="K28" s="60">
        <v>15.066292060414987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223.63066761313692</v>
      </c>
      <c r="V28" s="62">
        <v>112.54435906855119</v>
      </c>
      <c r="W28" s="62">
        <v>19.393022102262258</v>
      </c>
      <c r="X28" s="62">
        <v>9.7597313740395943</v>
      </c>
      <c r="Y28" s="66">
        <v>51.779115032599471</v>
      </c>
      <c r="Z28" s="66">
        <v>26.058354950501272</v>
      </c>
      <c r="AA28" s="67">
        <v>0</v>
      </c>
      <c r="AB28" s="68">
        <v>0</v>
      </c>
      <c r="AC28" s="69">
        <v>0</v>
      </c>
      <c r="AD28" s="69">
        <v>12.23008422785335</v>
      </c>
      <c r="AE28" s="68">
        <v>8.0406461032335184</v>
      </c>
      <c r="AF28" s="68">
        <v>4.0465351726754903</v>
      </c>
      <c r="AG28" s="68">
        <v>0.66522094106914331</v>
      </c>
      <c r="AH28" s="69">
        <v>377.71714633305874</v>
      </c>
      <c r="AI28" s="69">
        <v>1191.0207419713338</v>
      </c>
      <c r="AJ28" s="69">
        <v>3229.7496551513673</v>
      </c>
      <c r="AK28" s="69">
        <v>823.17899726231894</v>
      </c>
      <c r="AL28" s="69">
        <v>4505.1949778238932</v>
      </c>
      <c r="AM28" s="69">
        <v>3047.4780572255454</v>
      </c>
      <c r="AN28" s="69">
        <v>637.89899024963381</v>
      </c>
      <c r="AO28" s="69">
        <v>1736.7813245137531</v>
      </c>
      <c r="AP28" s="69">
        <v>495.69094576835636</v>
      </c>
      <c r="AQ28" s="69">
        <v>739.91912816365561</v>
      </c>
    </row>
    <row r="29" spans="1:43" x14ac:dyDescent="0.25">
      <c r="A29" s="11">
        <v>41327</v>
      </c>
      <c r="B29" s="59"/>
      <c r="C29" s="60">
        <v>58.41613935232175</v>
      </c>
      <c r="D29" s="60">
        <v>1044.5122147242257</v>
      </c>
      <c r="E29" s="60">
        <v>12.178977819780513</v>
      </c>
      <c r="F29" s="60">
        <v>0</v>
      </c>
      <c r="G29" s="60">
        <v>3482.8597147623664</v>
      </c>
      <c r="H29" s="61">
        <v>51.624485019842901</v>
      </c>
      <c r="I29" s="59">
        <v>167.72127647399881</v>
      </c>
      <c r="J29" s="60">
        <v>364.14588591257746</v>
      </c>
      <c r="K29" s="60">
        <v>14.345324343442977</v>
      </c>
      <c r="L29" s="60">
        <v>0.14423078298568706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221.35464654776527</v>
      </c>
      <c r="V29" s="62">
        <v>113.46867835508661</v>
      </c>
      <c r="W29" s="62">
        <v>19.268278263295862</v>
      </c>
      <c r="X29" s="62">
        <v>9.8771184739618363</v>
      </c>
      <c r="Y29" s="66">
        <v>49.355794463347372</v>
      </c>
      <c r="Z29" s="66">
        <v>25.300290074158674</v>
      </c>
      <c r="AA29" s="67">
        <v>0</v>
      </c>
      <c r="AB29" s="68">
        <v>0</v>
      </c>
      <c r="AC29" s="69">
        <v>0</v>
      </c>
      <c r="AD29" s="69">
        <v>12.228949593835397</v>
      </c>
      <c r="AE29" s="68">
        <v>7.9995317509564536</v>
      </c>
      <c r="AF29" s="68">
        <v>4.1006426085784131</v>
      </c>
      <c r="AG29" s="68">
        <v>0.661108800027569</v>
      </c>
      <c r="AH29" s="69">
        <v>365.24596136411031</v>
      </c>
      <c r="AI29" s="69">
        <v>1202.7539262135824</v>
      </c>
      <c r="AJ29" s="69">
        <v>3204.5675477345781</v>
      </c>
      <c r="AK29" s="69">
        <v>815.02682428359981</v>
      </c>
      <c r="AL29" s="69">
        <v>4390.1239013671884</v>
      </c>
      <c r="AM29" s="69">
        <v>3012.3578744252522</v>
      </c>
      <c r="AN29" s="69">
        <v>614.45071706771853</v>
      </c>
      <c r="AO29" s="69">
        <v>1713.6847068786619</v>
      </c>
      <c r="AP29" s="69">
        <v>488.73948815663658</v>
      </c>
      <c r="AQ29" s="69">
        <v>711.64850355784097</v>
      </c>
    </row>
    <row r="30" spans="1:43" x14ac:dyDescent="0.25">
      <c r="A30" s="11">
        <v>41328</v>
      </c>
      <c r="B30" s="59"/>
      <c r="C30" s="60">
        <v>58.1148227175077</v>
      </c>
      <c r="D30" s="60">
        <v>1017.7275124867747</v>
      </c>
      <c r="E30" s="60">
        <v>12.17307245234649</v>
      </c>
      <c r="F30" s="60">
        <v>0</v>
      </c>
      <c r="G30" s="60">
        <v>3353.4964116414321</v>
      </c>
      <c r="H30" s="61">
        <v>51.449732462565244</v>
      </c>
      <c r="I30" s="59">
        <v>167.71250174045525</v>
      </c>
      <c r="J30" s="60">
        <v>363.92745092709862</v>
      </c>
      <c r="K30" s="60">
        <v>14.332999980449713</v>
      </c>
      <c r="L30" s="60">
        <v>0.12549463510513192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221.62130375896729</v>
      </c>
      <c r="V30" s="62">
        <v>113.58636708860793</v>
      </c>
      <c r="W30" s="62">
        <v>19.217299415483783</v>
      </c>
      <c r="X30" s="62">
        <v>9.8493384382976306</v>
      </c>
      <c r="Y30" s="66">
        <v>48.739799280113708</v>
      </c>
      <c r="Z30" s="66">
        <v>24.980345476521268</v>
      </c>
      <c r="AA30" s="67">
        <v>0</v>
      </c>
      <c r="AB30" s="68">
        <v>0</v>
      </c>
      <c r="AC30" s="69">
        <v>0</v>
      </c>
      <c r="AD30" s="69">
        <v>12.231537655327067</v>
      </c>
      <c r="AE30" s="68">
        <v>7.9989543416095197</v>
      </c>
      <c r="AF30" s="68">
        <v>4.0996607670859371</v>
      </c>
      <c r="AG30" s="68">
        <v>0.66114627746613341</v>
      </c>
      <c r="AH30" s="69">
        <v>349.88541199366256</v>
      </c>
      <c r="AI30" s="69">
        <v>1146.4581924438476</v>
      </c>
      <c r="AJ30" s="69">
        <v>3172.508879216512</v>
      </c>
      <c r="AK30" s="69">
        <v>799.39025920232143</v>
      </c>
      <c r="AL30" s="69">
        <v>4369.4549051920576</v>
      </c>
      <c r="AM30" s="69">
        <v>2968.5362731933592</v>
      </c>
      <c r="AN30" s="69">
        <v>578.13230212529493</v>
      </c>
      <c r="AO30" s="69">
        <v>1717.3289794921875</v>
      </c>
      <c r="AP30" s="69">
        <v>437.13929780324304</v>
      </c>
      <c r="AQ30" s="69">
        <v>660.65017830530792</v>
      </c>
    </row>
    <row r="31" spans="1:43" x14ac:dyDescent="0.25">
      <c r="A31" s="11">
        <v>41329</v>
      </c>
      <c r="B31" s="59"/>
      <c r="C31" s="60">
        <v>57.861451518535979</v>
      </c>
      <c r="D31" s="60">
        <v>1013.6692310333264</v>
      </c>
      <c r="E31" s="60">
        <v>12.19002509117125</v>
      </c>
      <c r="F31" s="60">
        <v>0</v>
      </c>
      <c r="G31" s="60">
        <v>3295.6562149047945</v>
      </c>
      <c r="H31" s="61">
        <v>51.264064697424679</v>
      </c>
      <c r="I31" s="59">
        <v>172.68296446005479</v>
      </c>
      <c r="J31" s="60">
        <v>375.43342642784114</v>
      </c>
      <c r="K31" s="60">
        <v>14.604076956709237</v>
      </c>
      <c r="L31" s="60">
        <v>0.11824496984481664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220.99783577639531</v>
      </c>
      <c r="V31" s="62">
        <v>113.18963240266967</v>
      </c>
      <c r="W31" s="62">
        <v>19.20853395890305</v>
      </c>
      <c r="X31" s="62">
        <v>9.8381366051126715</v>
      </c>
      <c r="Y31" s="66">
        <v>48.20280921769092</v>
      </c>
      <c r="Z31" s="66">
        <v>24.688288176934318</v>
      </c>
      <c r="AA31" s="67">
        <v>0</v>
      </c>
      <c r="AB31" s="68">
        <v>0</v>
      </c>
      <c r="AC31" s="69">
        <v>0</v>
      </c>
      <c r="AD31" s="69">
        <v>12.095876565244478</v>
      </c>
      <c r="AE31" s="68">
        <v>7.905381425348101</v>
      </c>
      <c r="AF31" s="68">
        <v>4.0489410875652503</v>
      </c>
      <c r="AG31" s="68">
        <v>0.66129899179217522</v>
      </c>
      <c r="AH31" s="69">
        <v>364.43088884353642</v>
      </c>
      <c r="AI31" s="69">
        <v>1178.7927290598552</v>
      </c>
      <c r="AJ31" s="69">
        <v>3177.9301661173499</v>
      </c>
      <c r="AK31" s="69">
        <v>806.40624364217126</v>
      </c>
      <c r="AL31" s="69">
        <v>4452.2072161356609</v>
      </c>
      <c r="AM31" s="69">
        <v>2983.8362280527749</v>
      </c>
      <c r="AN31" s="69">
        <v>597.39968090057368</v>
      </c>
      <c r="AO31" s="69">
        <v>1709.4566822052004</v>
      </c>
      <c r="AP31" s="69">
        <v>408.10141402880356</v>
      </c>
      <c r="AQ31" s="69">
        <v>672.27633508046472</v>
      </c>
    </row>
    <row r="32" spans="1:43" x14ac:dyDescent="0.25">
      <c r="A32" s="11">
        <v>41330</v>
      </c>
      <c r="B32" s="59"/>
      <c r="C32" s="60">
        <v>58.844014819463155</v>
      </c>
      <c r="D32" s="60">
        <v>1022.8697355270372</v>
      </c>
      <c r="E32" s="60">
        <v>12.560155686736106</v>
      </c>
      <c r="F32" s="60">
        <v>0</v>
      </c>
      <c r="G32" s="60">
        <v>3280.8549296061133</v>
      </c>
      <c r="H32" s="61">
        <v>51.733852342764635</v>
      </c>
      <c r="I32" s="59">
        <v>168.17424166997256</v>
      </c>
      <c r="J32" s="60">
        <v>364.85268656412751</v>
      </c>
      <c r="K32" s="60">
        <v>13.889383639891985</v>
      </c>
      <c r="L32" s="60">
        <v>0.1231879234313957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216.54242711076569</v>
      </c>
      <c r="V32" s="62">
        <v>98.992064385844699</v>
      </c>
      <c r="W32" s="62">
        <v>18.931002682244703</v>
      </c>
      <c r="X32" s="62">
        <v>8.6542811097742476</v>
      </c>
      <c r="Y32" s="66">
        <v>48.268625745586014</v>
      </c>
      <c r="Z32" s="66">
        <v>22.065934012918142</v>
      </c>
      <c r="AA32" s="67">
        <v>0</v>
      </c>
      <c r="AB32" s="68">
        <v>0</v>
      </c>
      <c r="AC32" s="69">
        <v>0</v>
      </c>
      <c r="AD32" s="69">
        <v>11.713126916024418</v>
      </c>
      <c r="AE32" s="68">
        <v>7.9420984591938657</v>
      </c>
      <c r="AF32" s="68">
        <v>3.6307190813423271</v>
      </c>
      <c r="AG32" s="68">
        <v>0.68627181162884654</v>
      </c>
      <c r="AH32" s="69">
        <v>363.22944949467984</v>
      </c>
      <c r="AI32" s="69">
        <v>1184.9726470947264</v>
      </c>
      <c r="AJ32" s="69">
        <v>3178.32615852356</v>
      </c>
      <c r="AK32" s="69">
        <v>786.77093063990276</v>
      </c>
      <c r="AL32" s="69">
        <v>4882.6140459696453</v>
      </c>
      <c r="AM32" s="69">
        <v>3020.6857306162519</v>
      </c>
      <c r="AN32" s="69">
        <v>613.41090059280396</v>
      </c>
      <c r="AO32" s="69">
        <v>1708.6383211771647</v>
      </c>
      <c r="AP32" s="69">
        <v>414.11377733548477</v>
      </c>
      <c r="AQ32" s="69">
        <v>711.08768466313666</v>
      </c>
    </row>
    <row r="33" spans="1:43" x14ac:dyDescent="0.25">
      <c r="A33" s="11">
        <v>41331</v>
      </c>
      <c r="B33" s="59"/>
      <c r="C33" s="60">
        <v>58.537352832158611</v>
      </c>
      <c r="D33" s="60">
        <v>1019.6910301844269</v>
      </c>
      <c r="E33" s="60">
        <v>12.593620114525168</v>
      </c>
      <c r="F33" s="60">
        <v>0</v>
      </c>
      <c r="G33" s="60">
        <v>3301.4409202575812</v>
      </c>
      <c r="H33" s="61">
        <v>51.567072359720925</v>
      </c>
      <c r="I33" s="59">
        <v>177.76703821023273</v>
      </c>
      <c r="J33" s="60">
        <v>386.34941167831482</v>
      </c>
      <c r="K33" s="60">
        <v>14.781875839829439</v>
      </c>
      <c r="L33" s="60">
        <v>0.14022934436798104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230.95792593193821</v>
      </c>
      <c r="V33" s="62">
        <v>111.55545954407066</v>
      </c>
      <c r="W33" s="62">
        <v>20.113442779942741</v>
      </c>
      <c r="X33" s="62">
        <v>9.7150350795542959</v>
      </c>
      <c r="Y33" s="66">
        <v>52.014560174575507</v>
      </c>
      <c r="Z33" s="66">
        <v>25.123658951489929</v>
      </c>
      <c r="AA33" s="67">
        <v>0</v>
      </c>
      <c r="AB33" s="68">
        <v>0</v>
      </c>
      <c r="AC33" s="69">
        <v>0</v>
      </c>
      <c r="AD33" s="69">
        <v>12.737159232960813</v>
      </c>
      <c r="AE33" s="68">
        <v>8.4883607723336869</v>
      </c>
      <c r="AF33" s="68">
        <v>4.099980474420259</v>
      </c>
      <c r="AG33" s="68">
        <v>0.67430335784093176</v>
      </c>
      <c r="AH33" s="69">
        <v>370.15342034498849</v>
      </c>
      <c r="AI33" s="69">
        <v>1199.3747611999509</v>
      </c>
      <c r="AJ33" s="69">
        <v>3177.8089127858475</v>
      </c>
      <c r="AK33" s="69">
        <v>804.52561330795311</v>
      </c>
      <c r="AL33" s="69">
        <v>4579.7333826700851</v>
      </c>
      <c r="AM33" s="69">
        <v>3017.0575731913245</v>
      </c>
      <c r="AN33" s="69">
        <v>614.63826980590841</v>
      </c>
      <c r="AO33" s="69">
        <v>1762.7297663370769</v>
      </c>
      <c r="AP33" s="69">
        <v>425.19453047116605</v>
      </c>
      <c r="AQ33" s="69">
        <v>739.15091880162561</v>
      </c>
    </row>
    <row r="34" spans="1:43" x14ac:dyDescent="0.25">
      <c r="A34" s="11">
        <v>41332</v>
      </c>
      <c r="B34" s="59"/>
      <c r="C34" s="60">
        <v>58.308089601993835</v>
      </c>
      <c r="D34" s="60">
        <v>1018.04647248586</v>
      </c>
      <c r="E34" s="60">
        <v>12.590721797943088</v>
      </c>
      <c r="F34" s="60">
        <v>0</v>
      </c>
      <c r="G34" s="60">
        <v>3304.1557685852013</v>
      </c>
      <c r="H34" s="61">
        <v>51.452675620714963</v>
      </c>
      <c r="I34" s="59">
        <v>170.30889976024585</v>
      </c>
      <c r="J34" s="60">
        <v>386.79223197301258</v>
      </c>
      <c r="K34" s="60">
        <v>14.846757814288141</v>
      </c>
      <c r="L34" s="60">
        <v>0.12031630277633534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230.97753667882375</v>
      </c>
      <c r="V34" s="62">
        <v>111.3510518704731</v>
      </c>
      <c r="W34" s="62">
        <v>20.2191086663519</v>
      </c>
      <c r="X34" s="62">
        <v>9.7473505443618098</v>
      </c>
      <c r="Y34" s="66">
        <v>51.642916869729397</v>
      </c>
      <c r="Z34" s="66">
        <v>24.896330603351608</v>
      </c>
      <c r="AA34" s="67">
        <v>0</v>
      </c>
      <c r="AB34" s="68">
        <v>0</v>
      </c>
      <c r="AC34" s="69">
        <v>0</v>
      </c>
      <c r="AD34" s="69">
        <v>12.746299254231969</v>
      </c>
      <c r="AE34" s="68">
        <v>8.4931495503754775</v>
      </c>
      <c r="AF34" s="68">
        <v>4.0944290502265517</v>
      </c>
      <c r="AG34" s="68">
        <v>0.67472464878743821</v>
      </c>
      <c r="AH34" s="69">
        <v>373.00140226682026</v>
      </c>
      <c r="AI34" s="69">
        <v>1176.4283010482786</v>
      </c>
      <c r="AJ34" s="69">
        <v>3179.689419174194</v>
      </c>
      <c r="AK34" s="69">
        <v>800.49296598434444</v>
      </c>
      <c r="AL34" s="69">
        <v>4347.6706659952815</v>
      </c>
      <c r="AM34" s="69">
        <v>3028.4653265635175</v>
      </c>
      <c r="AN34" s="69">
        <v>590.48335717519126</v>
      </c>
      <c r="AO34" s="69">
        <v>1785.2640473683675</v>
      </c>
      <c r="AP34" s="69">
        <v>395.7190923293432</v>
      </c>
      <c r="AQ34" s="69">
        <v>718.39454615910859</v>
      </c>
    </row>
    <row r="35" spans="1:43" x14ac:dyDescent="0.25">
      <c r="A35" s="11">
        <v>41333</v>
      </c>
      <c r="B35" s="59"/>
      <c r="C35" s="60">
        <v>24.983288508653633</v>
      </c>
      <c r="D35" s="60">
        <v>439.9283747255808</v>
      </c>
      <c r="E35" s="60">
        <v>5.6558557083209315</v>
      </c>
      <c r="F35" s="60">
        <v>0</v>
      </c>
      <c r="G35" s="60">
        <v>1431.4329592386894</v>
      </c>
      <c r="H35" s="61">
        <v>21.342229978243502</v>
      </c>
      <c r="I35" s="59">
        <v>215.98269975185394</v>
      </c>
      <c r="J35" s="60">
        <v>437.73014179865527</v>
      </c>
      <c r="K35" s="60">
        <v>18.099089471995804</v>
      </c>
      <c r="L35" s="60">
        <v>0.1160324096679672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270.93908017039803</v>
      </c>
      <c r="V35" s="62">
        <v>47.253946626583101</v>
      </c>
      <c r="W35" s="62">
        <v>23.63839157486526</v>
      </c>
      <c r="X35" s="62">
        <v>4.1227249059620723</v>
      </c>
      <c r="Y35" s="66">
        <v>61.873919058491992</v>
      </c>
      <c r="Z35" s="66">
        <v>10.791307281801819</v>
      </c>
      <c r="AA35" s="67">
        <v>0</v>
      </c>
      <c r="AB35" s="68">
        <v>0</v>
      </c>
      <c r="AC35" s="69">
        <v>0</v>
      </c>
      <c r="AD35" s="69">
        <v>11.866829416818097</v>
      </c>
      <c r="AE35" s="68">
        <v>9.8763294731490898</v>
      </c>
      <c r="AF35" s="68">
        <v>1.7225109995103856</v>
      </c>
      <c r="AG35" s="68">
        <v>0.85149282778992874</v>
      </c>
      <c r="AH35" s="69">
        <v>348.44386913776407</v>
      </c>
      <c r="AI35" s="69">
        <v>990.2262814203898</v>
      </c>
      <c r="AJ35" s="69">
        <v>2018.288252449036</v>
      </c>
      <c r="AK35" s="69">
        <v>803.02886034647634</v>
      </c>
      <c r="AL35" s="69">
        <v>2974.0741572697953</v>
      </c>
      <c r="AM35" s="69">
        <v>2729.0805891672762</v>
      </c>
      <c r="AN35" s="69">
        <v>557.45232642491658</v>
      </c>
      <c r="AO35" s="69">
        <v>1699.8807889938353</v>
      </c>
      <c r="AP35" s="69">
        <v>348.99991184870407</v>
      </c>
      <c r="AQ35" s="69">
        <v>701.25652351379392</v>
      </c>
    </row>
    <row r="36" spans="1:43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69"/>
      <c r="AE36" s="68"/>
      <c r="AF36" s="68"/>
      <c r="AG36" s="68"/>
      <c r="AH36" s="69"/>
      <c r="AI36" s="69"/>
      <c r="AJ36" s="69"/>
      <c r="AK36" s="69"/>
      <c r="AL36" s="69"/>
      <c r="AM36" s="69"/>
      <c r="AN36" s="69"/>
      <c r="AO36" s="69"/>
      <c r="AP36" s="69"/>
      <c r="AQ36" s="69"/>
    </row>
    <row r="37" spans="1:43" x14ac:dyDescent="0.25">
      <c r="A37" s="11"/>
      <c r="B37" s="59"/>
      <c r="C37" s="60"/>
      <c r="D37" s="60"/>
      <c r="E37" s="60"/>
      <c r="F37" s="60"/>
      <c r="G37" s="60"/>
      <c r="H37" s="61"/>
      <c r="I37" s="59"/>
      <c r="J37" s="60"/>
      <c r="K37" s="60"/>
      <c r="L37" s="60"/>
      <c r="M37" s="60"/>
      <c r="N37" s="61"/>
      <c r="O37" s="59"/>
      <c r="P37" s="60"/>
      <c r="Q37" s="60"/>
      <c r="R37" s="63"/>
      <c r="S37" s="60"/>
      <c r="T37" s="64"/>
      <c r="U37" s="65"/>
      <c r="V37" s="62"/>
      <c r="W37" s="62"/>
      <c r="X37" s="62"/>
      <c r="Y37" s="66"/>
      <c r="Z37" s="66"/>
      <c r="AA37" s="67"/>
      <c r="AB37" s="68"/>
      <c r="AC37" s="69"/>
      <c r="AD37" s="69"/>
      <c r="AE37" s="68"/>
      <c r="AF37" s="68"/>
      <c r="AG37" s="68"/>
      <c r="AH37" s="69"/>
      <c r="AI37" s="69"/>
      <c r="AJ37" s="69"/>
      <c r="AK37" s="69"/>
      <c r="AL37" s="69"/>
      <c r="AM37" s="69"/>
      <c r="AN37" s="69"/>
      <c r="AO37" s="69"/>
      <c r="AP37" s="69"/>
      <c r="AQ37" s="69"/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1910.053819618623</v>
      </c>
      <c r="D39" s="30">
        <f t="shared" si="0"/>
        <v>30295.133751922851</v>
      </c>
      <c r="E39" s="30">
        <f t="shared" si="0"/>
        <v>338.29693060368294</v>
      </c>
      <c r="F39" s="30">
        <f t="shared" si="0"/>
        <v>0</v>
      </c>
      <c r="G39" s="30">
        <f t="shared" si="0"/>
        <v>88592.772195434678</v>
      </c>
      <c r="H39" s="31">
        <f t="shared" si="0"/>
        <v>1430.5994545221356</v>
      </c>
      <c r="I39" s="29">
        <f t="shared" si="0"/>
        <v>4925.4147717952683</v>
      </c>
      <c r="J39" s="30">
        <f t="shared" si="0"/>
        <v>10806.223315763475</v>
      </c>
      <c r="K39" s="30">
        <f t="shared" si="0"/>
        <v>436.51644922743259</v>
      </c>
      <c r="L39" s="30">
        <f t="shared" si="0"/>
        <v>0.88773636817931489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6431.5989893175301</v>
      </c>
      <c r="V39" s="255">
        <f t="shared" si="0"/>
        <v>3064.7781546588994</v>
      </c>
      <c r="W39" s="255">
        <f t="shared" si="0"/>
        <v>560.43994603926194</v>
      </c>
      <c r="X39" s="255">
        <f t="shared" si="0"/>
        <v>267.02641591653997</v>
      </c>
      <c r="Y39" s="255">
        <f t="shared" si="0"/>
        <v>1475.4175636744562</v>
      </c>
      <c r="Z39" s="255">
        <f t="shared" si="0"/>
        <v>702.95821885505597</v>
      </c>
      <c r="AA39" s="263">
        <f t="shared" si="0"/>
        <v>0</v>
      </c>
      <c r="AB39" s="266">
        <f t="shared" si="0"/>
        <v>0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Q39" si="1">SUM(AH8:AH38)</f>
        <v>9773.2728857199345</v>
      </c>
      <c r="AI39" s="266">
        <f t="shared" si="1"/>
        <v>31974.705356089275</v>
      </c>
      <c r="AJ39" s="266">
        <f t="shared" si="1"/>
        <v>86770.605367851269</v>
      </c>
      <c r="AK39" s="266">
        <f t="shared" si="1"/>
        <v>22400.163551108039</v>
      </c>
      <c r="AL39" s="266">
        <f t="shared" si="1"/>
        <v>121710.26832141873</v>
      </c>
      <c r="AM39" s="266">
        <f t="shared" si="1"/>
        <v>81623.819577153554</v>
      </c>
      <c r="AN39" s="266">
        <f t="shared" si="1"/>
        <v>16660.302480061851</v>
      </c>
      <c r="AO39" s="266">
        <f t="shared" si="1"/>
        <v>50071.817216555268</v>
      </c>
      <c r="AP39" s="266">
        <f t="shared" si="1"/>
        <v>13160.951392865183</v>
      </c>
      <c r="AQ39" s="266">
        <f t="shared" si="1"/>
        <v>19722.065878963473</v>
      </c>
    </row>
    <row r="40" spans="1:43" ht="15.75" thickBot="1" x14ac:dyDescent="0.3">
      <c r="A40" s="47" t="s">
        <v>172</v>
      </c>
      <c r="B40" s="32">
        <f>Projection!$AA$30</f>
        <v>0.91139353199999984</v>
      </c>
      <c r="C40" s="33">
        <f>Projection!$AA$28</f>
        <v>1.4375491199999999</v>
      </c>
      <c r="D40" s="33">
        <f>Projection!$AA$31</f>
        <v>2.0999286000000001</v>
      </c>
      <c r="E40" s="33">
        <f>Projection!$AA$26</f>
        <v>3.8734129199999998</v>
      </c>
      <c r="F40" s="33">
        <f>Projection!$AA$23</f>
        <v>5.8379999999999994E-2</v>
      </c>
      <c r="G40" s="33">
        <f>Projection!$AA$24</f>
        <v>5.2999999999999999E-2</v>
      </c>
      <c r="H40" s="34">
        <f>Projection!$AA$29</f>
        <v>3.6371774160000006</v>
      </c>
      <c r="I40" s="32">
        <f>Projection!$AA$30</f>
        <v>0.91139353199999984</v>
      </c>
      <c r="J40" s="33">
        <f>Projection!$AA$28</f>
        <v>1.4375491199999999</v>
      </c>
      <c r="K40" s="33">
        <f>Projection!$AA$26</f>
        <v>3.8734129199999998</v>
      </c>
      <c r="L40" s="33">
        <f>Projection!$AA$25</f>
        <v>0.37613399999999997</v>
      </c>
      <c r="M40" s="33">
        <f>Projection!$AA$23</f>
        <v>5.8379999999999994E-2</v>
      </c>
      <c r="N40" s="34">
        <f>Projection!$AA$23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1.4375491199999999</v>
      </c>
      <c r="T40" s="38">
        <f>Projection!$AA$28</f>
        <v>1.4375491199999999</v>
      </c>
      <c r="U40" s="26">
        <f>Projection!$AA$27</f>
        <v>0.26250000000000001</v>
      </c>
      <c r="V40" s="27">
        <f>Projection!$AA$27</f>
        <v>0.26250000000000001</v>
      </c>
      <c r="W40" s="27">
        <f>Projection!$AA$22</f>
        <v>1.2186999999999999</v>
      </c>
      <c r="X40" s="27">
        <f>Projection!$AA$22</f>
        <v>1.2186999999999999</v>
      </c>
      <c r="Y40" s="27">
        <f>Projection!$AA$31</f>
        <v>2.0999286000000001</v>
      </c>
      <c r="Z40" s="27">
        <f>Projection!$AA$31</f>
        <v>2.0999286000000001</v>
      </c>
      <c r="AA40" s="28">
        <v>0</v>
      </c>
      <c r="AB40" s="41">
        <f>Projection!$AA$27</f>
        <v>0.26250000000000001</v>
      </c>
      <c r="AC40" s="41">
        <f>Projection!$AA$30</f>
        <v>0.91139353199999984</v>
      </c>
      <c r="AD40" s="270">
        <f>SUM(AD8:AD38)</f>
        <v>349.30901474323542</v>
      </c>
      <c r="AE40" s="270">
        <f>SUM(AE8:AE38)</f>
        <v>233.08090459209009</v>
      </c>
      <c r="AF40" s="270">
        <f>SUM(AF8:AF38)</f>
        <v>111.01521355705265</v>
      </c>
      <c r="AG40" s="270">
        <v>0.5</v>
      </c>
      <c r="AH40" s="306">
        <v>0.08</v>
      </c>
      <c r="AI40" s="306">
        <f t="shared" ref="AI40:AQ40" si="2">$AH$40</f>
        <v>0.08</v>
      </c>
      <c r="AJ40" s="306">
        <f t="shared" si="2"/>
        <v>0.08</v>
      </c>
      <c r="AK40" s="306">
        <f t="shared" si="2"/>
        <v>0.08</v>
      </c>
      <c r="AL40" s="306">
        <f t="shared" si="2"/>
        <v>0.08</v>
      </c>
      <c r="AM40" s="306">
        <f t="shared" si="2"/>
        <v>0.08</v>
      </c>
      <c r="AN40" s="306">
        <f t="shared" si="2"/>
        <v>0.08</v>
      </c>
      <c r="AO40" s="306">
        <f t="shared" si="2"/>
        <v>0.08</v>
      </c>
      <c r="AP40" s="306">
        <f t="shared" si="2"/>
        <v>0.08</v>
      </c>
      <c r="AQ40" s="306">
        <f t="shared" si="2"/>
        <v>0.08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2745.7961875453902</v>
      </c>
      <c r="D41" s="36">
        <f t="shared" si="3"/>
        <v>63617.617806488102</v>
      </c>
      <c r="E41" s="36">
        <f t="shared" si="3"/>
        <v>1310.3637017966489</v>
      </c>
      <c r="F41" s="36">
        <f t="shared" si="3"/>
        <v>0</v>
      </c>
      <c r="G41" s="36">
        <f t="shared" si="3"/>
        <v>4695.4169263580379</v>
      </c>
      <c r="H41" s="37">
        <f t="shared" si="3"/>
        <v>5203.3440273298311</v>
      </c>
      <c r="I41" s="35">
        <f t="shared" si="3"/>
        <v>4488.9911654314628</v>
      </c>
      <c r="J41" s="36">
        <f t="shared" si="3"/>
        <v>15534.476818099263</v>
      </c>
      <c r="K41" s="36">
        <f t="shared" si="3"/>
        <v>1690.8084542300612</v>
      </c>
      <c r="L41" s="36">
        <f t="shared" si="3"/>
        <v>0.33390783110875838</v>
      </c>
      <c r="M41" s="36">
        <f t="shared" si="3"/>
        <v>0</v>
      </c>
      <c r="N41" s="37">
        <f t="shared" si="3"/>
        <v>0</v>
      </c>
      <c r="O41" s="260">
        <f t="shared" si="3"/>
        <v>0</v>
      </c>
      <c r="P41" s="261">
        <f t="shared" si="3"/>
        <v>0</v>
      </c>
      <c r="Q41" s="261">
        <f t="shared" si="3"/>
        <v>0</v>
      </c>
      <c r="R41" s="261">
        <f t="shared" si="3"/>
        <v>0</v>
      </c>
      <c r="S41" s="261">
        <f t="shared" si="3"/>
        <v>0</v>
      </c>
      <c r="T41" s="262">
        <f t="shared" si="3"/>
        <v>0</v>
      </c>
      <c r="U41" s="260">
        <f t="shared" si="3"/>
        <v>1688.2947346958517</v>
      </c>
      <c r="V41" s="261">
        <f t="shared" si="3"/>
        <v>804.50426559796108</v>
      </c>
      <c r="W41" s="261">
        <f t="shared" si="3"/>
        <v>683.0081622380485</v>
      </c>
      <c r="X41" s="261">
        <f t="shared" si="3"/>
        <v>325.42509307748725</v>
      </c>
      <c r="Y41" s="261">
        <f t="shared" si="3"/>
        <v>3098.2715389023119</v>
      </c>
      <c r="Z41" s="261">
        <f t="shared" si="3"/>
        <v>1476.1620683787914</v>
      </c>
      <c r="AA41" s="265">
        <f t="shared" si="3"/>
        <v>0</v>
      </c>
      <c r="AB41" s="268">
        <f t="shared" si="3"/>
        <v>0</v>
      </c>
      <c r="AC41" s="268">
        <f t="shared" si="3"/>
        <v>0</v>
      </c>
      <c r="AH41" s="271">
        <f t="shared" ref="AH41:AQ41" si="4">AH40*AH39</f>
        <v>781.86183085759478</v>
      </c>
      <c r="AI41" s="271">
        <f t="shared" si="4"/>
        <v>2557.9764284871421</v>
      </c>
      <c r="AJ41" s="271">
        <f t="shared" si="4"/>
        <v>6941.6484294281017</v>
      </c>
      <c r="AK41" s="271">
        <f t="shared" si="4"/>
        <v>1792.0130840886432</v>
      </c>
      <c r="AL41" s="271">
        <f t="shared" si="4"/>
        <v>9736.8214657134977</v>
      </c>
      <c r="AM41" s="271">
        <f t="shared" si="4"/>
        <v>6529.9055661722841</v>
      </c>
      <c r="AN41" s="271">
        <f t="shared" si="4"/>
        <v>1332.8241984049482</v>
      </c>
      <c r="AO41" s="271">
        <f t="shared" si="4"/>
        <v>4005.7453773244215</v>
      </c>
      <c r="AP41" s="271">
        <f t="shared" si="4"/>
        <v>1052.8761114292147</v>
      </c>
      <c r="AQ41" s="271">
        <f t="shared" si="4"/>
        <v>1577.7652703170779</v>
      </c>
    </row>
    <row r="42" spans="1:43" ht="49.5" customHeight="1" thickTop="1" thickBot="1" x14ac:dyDescent="0.3">
      <c r="A42" s="562" t="s">
        <v>214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1207.56</v>
      </c>
      <c r="AI42" s="271" t="s">
        <v>197</v>
      </c>
      <c r="AJ42" s="271">
        <v>2798.89</v>
      </c>
      <c r="AK42" s="271">
        <v>1275.33</v>
      </c>
      <c r="AL42" s="271">
        <v>1843.52</v>
      </c>
      <c r="AM42" s="271">
        <v>7780.92</v>
      </c>
      <c r="AN42" s="271">
        <v>1998.28</v>
      </c>
      <c r="AO42" s="271" t="s">
        <v>197</v>
      </c>
      <c r="AP42" s="271">
        <v>246.86</v>
      </c>
      <c r="AQ42" s="271">
        <v>741.39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24.75" thickTop="1" thickBot="1" x14ac:dyDescent="0.3">
      <c r="A44" s="275" t="s">
        <v>135</v>
      </c>
      <c r="B44" s="276">
        <f>SUM(B41:AC41)</f>
        <v>107362.81485800038</v>
      </c>
      <c r="C44" s="12"/>
      <c r="D44" s="275" t="s">
        <v>135</v>
      </c>
      <c r="E44" s="276">
        <f>SUM(B41:H41)+P41+R41+T41+V41+X41+Z41</f>
        <v>80178.630076572255</v>
      </c>
      <c r="F44" s="12"/>
      <c r="G44" s="275" t="s">
        <v>135</v>
      </c>
      <c r="H44" s="276">
        <f>SUM(I41:N41)+O41+Q41+S41+U41+W41+Y41</f>
        <v>27184.184781428106</v>
      </c>
      <c r="I44" s="12"/>
      <c r="J44" s="275" t="s">
        <v>198</v>
      </c>
      <c r="K44" s="276">
        <v>96109.97</v>
      </c>
      <c r="L44" s="12"/>
      <c r="M44" s="12"/>
      <c r="N44" s="12"/>
      <c r="O44" s="12"/>
      <c r="P44" s="12"/>
      <c r="Q44" s="12"/>
      <c r="R44" s="300" t="s">
        <v>135</v>
      </c>
      <c r="S44" s="301"/>
      <c r="T44" s="298" t="s">
        <v>167</v>
      </c>
      <c r="U44" s="248" t="s">
        <v>168</v>
      </c>
    </row>
    <row r="45" spans="1:43" ht="24" thickBot="1" x14ac:dyDescent="0.4">
      <c r="A45" s="277" t="s">
        <v>183</v>
      </c>
      <c r="B45" s="278">
        <f>SUM(AH41:AQ41)</f>
        <v>36309.437762222922</v>
      </c>
      <c r="C45" s="12"/>
      <c r="D45" s="277" t="s">
        <v>183</v>
      </c>
      <c r="E45" s="278">
        <f>AH41*(1-$AG$40)+AI41+AJ41*0.5+AL41+AM41*(1-$AG$40)+AN41*(1-$AG$40)+AO41*(1-$AG$40)+AP41*0.5+AQ41*0.5</f>
        <v>23406.111286167456</v>
      </c>
      <c r="F45" s="24"/>
      <c r="G45" s="277" t="s">
        <v>183</v>
      </c>
      <c r="H45" s="278">
        <f>AH41*AG40+AJ41*0.5+AK41+AM41*AG40+AN41*AG40+AO41*AG40+AP41*0.5+AQ41*0.5</f>
        <v>12903.326476055465</v>
      </c>
      <c r="I45" s="12"/>
      <c r="J45" s="12"/>
      <c r="K45" s="281"/>
      <c r="L45" s="12"/>
      <c r="M45" s="12"/>
      <c r="N45" s="12"/>
      <c r="O45" s="12"/>
      <c r="P45" s="12"/>
      <c r="Q45" s="12"/>
      <c r="R45" s="302" t="s">
        <v>141</v>
      </c>
      <c r="S45" s="303"/>
      <c r="T45" s="247">
        <f>$W$39+$X$39</f>
        <v>827.46636195580186</v>
      </c>
      <c r="U45" s="249">
        <f>(T45*8.34*0.895)/27000</f>
        <v>0.22875767279802561</v>
      </c>
    </row>
    <row r="46" spans="1:43" ht="32.25" thickBot="1" x14ac:dyDescent="0.3">
      <c r="A46" s="279" t="s">
        <v>184</v>
      </c>
      <c r="B46" s="280">
        <f>SUM(AH42:AQ42)</f>
        <v>17892.75</v>
      </c>
      <c r="C46" s="12"/>
      <c r="D46" s="279" t="s">
        <v>184</v>
      </c>
      <c r="E46" s="280">
        <f>AH42*(1-$AG$40)+AJ42*0.5+AL42+AM42*(1-$AG$40)+AN42*(1-$AG$40)+AP42*0.5+AQ42*0.5</f>
        <v>9230.4699999999993</v>
      </c>
      <c r="F46" s="23"/>
      <c r="G46" s="279" t="s">
        <v>184</v>
      </c>
      <c r="H46" s="280">
        <f>AH42*AG40+AJ42*0.5+AK42+AM42*AG40+AN42*AG40+AP42*0.5+AQ42*0.5</f>
        <v>8662.2799999999988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302" t="s">
        <v>145</v>
      </c>
      <c r="S46" s="303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96109.97</v>
      </c>
      <c r="C47" s="12"/>
      <c r="D47" s="279" t="s">
        <v>187</v>
      </c>
      <c r="E47" s="280">
        <f>K44*0.5</f>
        <v>48054.985000000001</v>
      </c>
      <c r="F47" s="24"/>
      <c r="G47" s="279" t="s">
        <v>185</v>
      </c>
      <c r="H47" s="280">
        <f>K44*0.5</f>
        <v>48054.985000000001</v>
      </c>
      <c r="I47" s="12"/>
      <c r="J47" s="275" t="s">
        <v>198</v>
      </c>
      <c r="K47" s="276">
        <v>40377.56</v>
      </c>
      <c r="L47" s="12"/>
      <c r="M47" s="12"/>
      <c r="N47" s="12"/>
      <c r="O47" s="12"/>
      <c r="P47" s="12"/>
      <c r="Q47" s="12"/>
      <c r="R47" s="302" t="s">
        <v>148</v>
      </c>
      <c r="S47" s="303"/>
      <c r="T47" s="247">
        <f>$G$39</f>
        <v>88592.772195434678</v>
      </c>
      <c r="U47" s="249">
        <f>T47/40000</f>
        <v>2.2148193048858671</v>
      </c>
    </row>
    <row r="48" spans="1:43" ht="24" thickBot="1" x14ac:dyDescent="0.3">
      <c r="A48" s="279" t="s">
        <v>186</v>
      </c>
      <c r="B48" s="280">
        <f>K47</f>
        <v>40377.56</v>
      </c>
      <c r="C48" s="12"/>
      <c r="D48" s="279" t="s">
        <v>186</v>
      </c>
      <c r="E48" s="280">
        <f>K47*0.5</f>
        <v>20188.78</v>
      </c>
      <c r="F48" s="23"/>
      <c r="G48" s="279" t="s">
        <v>186</v>
      </c>
      <c r="H48" s="280">
        <f>K47*0.5</f>
        <v>20188.78</v>
      </c>
      <c r="I48" s="12"/>
      <c r="J48" s="12"/>
      <c r="K48" s="86"/>
      <c r="L48" s="12"/>
      <c r="M48" s="12"/>
      <c r="N48" s="12"/>
      <c r="O48" s="12"/>
      <c r="P48" s="12"/>
      <c r="Q48" s="12"/>
      <c r="R48" s="302" t="s">
        <v>150</v>
      </c>
      <c r="S48" s="303"/>
      <c r="T48" s="247">
        <f>$L$39</f>
        <v>0.88773636817931489</v>
      </c>
      <c r="U48" s="249">
        <f>T48*9.34*0.107</f>
        <v>0.88718597163104373</v>
      </c>
    </row>
    <row r="49" spans="1:25" ht="48" thickTop="1" thickBot="1" x14ac:dyDescent="0.3">
      <c r="A49" s="284" t="s">
        <v>194</v>
      </c>
      <c r="B49" s="285">
        <f>AD40</f>
        <v>349.30901474323542</v>
      </c>
      <c r="C49" s="12"/>
      <c r="D49" s="284" t="s">
        <v>195</v>
      </c>
      <c r="E49" s="285">
        <f>AF40</f>
        <v>111.01521355705265</v>
      </c>
      <c r="F49" s="23"/>
      <c r="G49" s="284" t="s">
        <v>196</v>
      </c>
      <c r="H49" s="285">
        <f>AE40</f>
        <v>233.08090459209009</v>
      </c>
      <c r="I49" s="12"/>
      <c r="J49" s="12"/>
      <c r="K49" s="86"/>
      <c r="L49" s="12"/>
      <c r="M49" s="12"/>
      <c r="N49" s="12"/>
      <c r="O49" s="12"/>
      <c r="P49" s="12"/>
      <c r="Q49" s="12"/>
      <c r="R49" s="302" t="s">
        <v>152</v>
      </c>
      <c r="S49" s="303"/>
      <c r="T49" s="247">
        <f>$E$39+$K$39</f>
        <v>774.81337983111553</v>
      </c>
      <c r="U49" s="249">
        <f>(T49*8.34*1.04)/45000</f>
        <v>0.14934269625118141</v>
      </c>
    </row>
    <row r="50" spans="1:25" ht="48" thickTop="1" thickBot="1" x14ac:dyDescent="0.3">
      <c r="A50" s="284" t="s">
        <v>190</v>
      </c>
      <c r="B50" s="286">
        <f>(SUM(B44:B48)/AD40)</f>
        <v>853.26321406079671</v>
      </c>
      <c r="C50" s="12"/>
      <c r="D50" s="284" t="s">
        <v>188</v>
      </c>
      <c r="E50" s="286">
        <f>SUM(E44:E48)/AF40</f>
        <v>1630.9384143074262</v>
      </c>
      <c r="F50" s="23"/>
      <c r="G50" s="284" t="s">
        <v>189</v>
      </c>
      <c r="H50" s="286">
        <f>SUM(H44:H48)/AE40</f>
        <v>501.94397718779879</v>
      </c>
      <c r="I50" s="12"/>
      <c r="J50" s="12"/>
      <c r="K50" s="86"/>
      <c r="L50" s="12"/>
      <c r="M50" s="12"/>
      <c r="N50" s="12"/>
      <c r="O50" s="12"/>
      <c r="P50" s="12"/>
      <c r="Q50" s="12"/>
      <c r="R50" s="302" t="s">
        <v>153</v>
      </c>
      <c r="S50" s="303"/>
      <c r="T50" s="247">
        <f>$U$39+$V$39+$AB$39</f>
        <v>9496.3771439764296</v>
      </c>
      <c r="U50" s="249">
        <f>T50/2000/8</f>
        <v>0.59352357149852686</v>
      </c>
    </row>
    <row r="51" spans="1:25" ht="47.25" customHeight="1" thickTop="1" thickBot="1" x14ac:dyDescent="0.3">
      <c r="A51" s="274" t="s">
        <v>191</v>
      </c>
      <c r="B51" s="287">
        <f>B50/1000</f>
        <v>0.85326321406079675</v>
      </c>
      <c r="C51" s="12"/>
      <c r="D51" s="274" t="s">
        <v>192</v>
      </c>
      <c r="E51" s="287">
        <f>E50/1000</f>
        <v>1.6309384143074261</v>
      </c>
      <c r="F51" s="12"/>
      <c r="G51" s="274" t="s">
        <v>193</v>
      </c>
      <c r="H51" s="287">
        <f>H50/1000</f>
        <v>0.50194397718779882</v>
      </c>
      <c r="I51" s="12"/>
      <c r="J51" s="12"/>
      <c r="K51" s="86"/>
      <c r="L51" s="12"/>
      <c r="M51" s="12"/>
      <c r="N51" s="12"/>
      <c r="O51" s="12"/>
      <c r="P51" s="12"/>
      <c r="Q51" s="12"/>
      <c r="R51" s="302" t="s">
        <v>154</v>
      </c>
      <c r="S51" s="303"/>
      <c r="T51" s="247">
        <f>$C$39+$J$39+$S$39+$T$39</f>
        <v>12716.277135382097</v>
      </c>
      <c r="U51" s="249">
        <f>(T51*8.34*1.4)/45000</f>
        <v>3.299450040727141</v>
      </c>
    </row>
    <row r="52" spans="1:25" ht="16.5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2" t="s">
        <v>155</v>
      </c>
      <c r="S52" s="303"/>
      <c r="T52" s="247">
        <f>$H$39</f>
        <v>1430.5994545221356</v>
      </c>
      <c r="U52" s="249">
        <f>(T52*8.34*1.135)/45000</f>
        <v>0.30093136392357961</v>
      </c>
    </row>
    <row r="53" spans="1:25" ht="48" customHeight="1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2" t="s">
        <v>156</v>
      </c>
      <c r="S53" s="303"/>
      <c r="T53" s="247">
        <f>$B$39+$I$39+$AC$39</f>
        <v>4925.4147717952683</v>
      </c>
      <c r="U53" s="249">
        <f>(T53*8.34*1.029*0.03)/3300</f>
        <v>0.38426563648617212</v>
      </c>
    </row>
    <row r="54" spans="1:25" ht="42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54"/>
      <c r="T54" s="251">
        <f>$D$39+$Y$39+$Z$39</f>
        <v>32473.509534452362</v>
      </c>
      <c r="U54" s="252">
        <f>(T54*1.54*8.34)/45000</f>
        <v>9.2683726012598306</v>
      </c>
    </row>
    <row r="55" spans="1:25" ht="24" thickTop="1" x14ac:dyDescent="0.25">
      <c r="A55" s="589"/>
      <c r="B55" s="59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1"/>
      <c r="B56" s="59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7"/>
      <c r="B57" s="58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8"/>
      <c r="B58" s="58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7"/>
      <c r="B59" s="58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8"/>
      <c r="B60" s="588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password="A25B" sheet="1" objects="1" scenarios="1" selectLockedCells="1" selectUnlockedCells="1"/>
  <mergeCells count="34">
    <mergeCell ref="A57:B58"/>
    <mergeCell ref="A59:B60"/>
    <mergeCell ref="A55:B55"/>
    <mergeCell ref="A56:B56"/>
    <mergeCell ref="AB4:AB5"/>
    <mergeCell ref="A53:E53"/>
    <mergeCell ref="A54:E54"/>
    <mergeCell ref="R54:S54"/>
    <mergeCell ref="U4:AA5"/>
    <mergeCell ref="AC4:AC5"/>
    <mergeCell ref="J43:K43"/>
    <mergeCell ref="J46:K46"/>
    <mergeCell ref="A42:K42"/>
    <mergeCell ref="AN4:AN5"/>
    <mergeCell ref="R43:U43"/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</mergeCells>
  <pageMargins left="0.33" right="0.19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topLeftCell="A35" zoomScale="75" zoomScaleNormal="75" workbookViewId="0">
      <selection activeCell="J49" sqref="J49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285156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  <c r="AT4" t="s">
        <v>169</v>
      </c>
      <c r="AU4" s="331" t="s">
        <v>207</v>
      </c>
    </row>
    <row r="5" spans="1:47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</row>
    <row r="6" spans="1:47" ht="15.75" customHeight="1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customHeight="1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0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47" x14ac:dyDescent="0.25">
      <c r="A8" s="11">
        <v>41334</v>
      </c>
      <c r="B8" s="49"/>
      <c r="C8" s="50">
        <v>0</v>
      </c>
      <c r="D8" s="50">
        <v>0</v>
      </c>
      <c r="E8" s="50">
        <v>0.50878776361544897</v>
      </c>
      <c r="F8" s="50">
        <v>0</v>
      </c>
      <c r="G8" s="50">
        <v>0</v>
      </c>
      <c r="H8" s="51">
        <v>0</v>
      </c>
      <c r="I8" s="49">
        <v>238.26927256584167</v>
      </c>
      <c r="J8" s="50">
        <v>491.67550719579026</v>
      </c>
      <c r="K8" s="50">
        <v>22.018421906232788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338.10239306555872</v>
      </c>
      <c r="V8" s="54">
        <v>0</v>
      </c>
      <c r="W8" s="54">
        <v>29.727942442893948</v>
      </c>
      <c r="X8" s="54">
        <v>0</v>
      </c>
      <c r="Y8" s="54">
        <v>123.80754160881068</v>
      </c>
      <c r="Z8" s="54">
        <v>0</v>
      </c>
      <c r="AA8" s="55">
        <v>0</v>
      </c>
      <c r="AB8" s="56">
        <v>0</v>
      </c>
      <c r="AC8" s="57">
        <v>0</v>
      </c>
      <c r="AD8" s="57">
        <v>12.569708687067042</v>
      </c>
      <c r="AE8" s="58">
        <v>12.24842884698808</v>
      </c>
      <c r="AF8" s="58">
        <v>0</v>
      </c>
      <c r="AG8" s="58">
        <v>1</v>
      </c>
      <c r="AH8" s="57">
        <v>314.37182047367094</v>
      </c>
      <c r="AI8" s="57">
        <v>740.21141195297218</v>
      </c>
      <c r="AJ8" s="57">
        <v>1145.0337142308554</v>
      </c>
      <c r="AK8" s="57">
        <v>816.55404033660886</v>
      </c>
      <c r="AL8" s="57">
        <v>1900.2066753387451</v>
      </c>
      <c r="AM8" s="57">
        <v>2488.2757429758708</v>
      </c>
      <c r="AN8" s="57">
        <v>532.76086824735</v>
      </c>
      <c r="AO8" s="57">
        <v>1803.4026799519859</v>
      </c>
      <c r="AP8" s="57">
        <v>369.47353270848589</v>
      </c>
      <c r="AQ8" s="57">
        <v>666.16205536524467</v>
      </c>
    </row>
    <row r="9" spans="1:47" x14ac:dyDescent="0.25">
      <c r="A9" s="11">
        <v>41335</v>
      </c>
      <c r="B9" s="59"/>
      <c r="C9" s="60">
        <v>0</v>
      </c>
      <c r="D9" s="60">
        <v>0</v>
      </c>
      <c r="E9" s="60">
        <v>0.5044964998960495</v>
      </c>
      <c r="F9" s="60">
        <v>0</v>
      </c>
      <c r="G9" s="60">
        <v>0</v>
      </c>
      <c r="H9" s="61">
        <v>0</v>
      </c>
      <c r="I9" s="59">
        <v>207.3432625611627</v>
      </c>
      <c r="J9" s="60">
        <v>485.26794268290189</v>
      </c>
      <c r="K9" s="60">
        <v>21.607523113489183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327.5187047322612</v>
      </c>
      <c r="V9" s="62">
        <v>0</v>
      </c>
      <c r="W9" s="62">
        <v>28.470012025038386</v>
      </c>
      <c r="X9" s="62">
        <v>0</v>
      </c>
      <c r="Y9" s="66">
        <v>126.26701926390336</v>
      </c>
      <c r="Z9" s="66">
        <v>0</v>
      </c>
      <c r="AA9" s="67">
        <v>0</v>
      </c>
      <c r="AB9" s="68">
        <v>0</v>
      </c>
      <c r="AC9" s="69">
        <v>0</v>
      </c>
      <c r="AD9" s="69">
        <v>12.365316188997706</v>
      </c>
      <c r="AE9" s="68">
        <v>12.074892345336281</v>
      </c>
      <c r="AF9" s="68">
        <v>0</v>
      </c>
      <c r="AG9" s="68">
        <v>1</v>
      </c>
      <c r="AH9" s="69">
        <v>289.22238818804419</v>
      </c>
      <c r="AI9" s="69">
        <v>670.80107924143476</v>
      </c>
      <c r="AJ9" s="69">
        <v>1131.6604592641195</v>
      </c>
      <c r="AK9" s="69">
        <v>811.08549569447825</v>
      </c>
      <c r="AL9" s="69">
        <v>1826.1776119232175</v>
      </c>
      <c r="AM9" s="69">
        <v>2351.7771560668943</v>
      </c>
      <c r="AN9" s="69">
        <v>495.2690161705018</v>
      </c>
      <c r="AO9" s="69">
        <v>1824.0155970255535</v>
      </c>
      <c r="AP9" s="69">
        <v>363.86057588259376</v>
      </c>
      <c r="AQ9" s="69">
        <v>657.64326492945361</v>
      </c>
    </row>
    <row r="10" spans="1:47" x14ac:dyDescent="0.25">
      <c r="A10" s="11">
        <v>41336</v>
      </c>
      <c r="B10" s="59"/>
      <c r="C10" s="60">
        <v>0</v>
      </c>
      <c r="D10" s="60">
        <v>0</v>
      </c>
      <c r="E10" s="60">
        <v>0.50825632115205077</v>
      </c>
      <c r="F10" s="60">
        <v>0</v>
      </c>
      <c r="G10" s="60">
        <v>0</v>
      </c>
      <c r="H10" s="61">
        <v>0</v>
      </c>
      <c r="I10" s="59">
        <v>200.18279369672166</v>
      </c>
      <c r="J10" s="60">
        <v>482.26669346491406</v>
      </c>
      <c r="K10" s="60">
        <v>21.029216473301311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324.78993434906249</v>
      </c>
      <c r="V10" s="62">
        <v>0</v>
      </c>
      <c r="W10" s="62">
        <v>28.162618684768688</v>
      </c>
      <c r="X10" s="62">
        <v>0</v>
      </c>
      <c r="Y10" s="66">
        <v>124.79120714664458</v>
      </c>
      <c r="Z10" s="66">
        <v>0</v>
      </c>
      <c r="AA10" s="67">
        <v>0</v>
      </c>
      <c r="AB10" s="68">
        <v>0</v>
      </c>
      <c r="AC10" s="69">
        <v>0</v>
      </c>
      <c r="AD10" s="69">
        <v>12.262691116995299</v>
      </c>
      <c r="AE10" s="68">
        <v>12.000412093704583</v>
      </c>
      <c r="AF10" s="68">
        <v>0</v>
      </c>
      <c r="AG10" s="68">
        <v>1</v>
      </c>
      <c r="AH10" s="69">
        <v>268.26155465443929</v>
      </c>
      <c r="AI10" s="69">
        <v>631.84690910975144</v>
      </c>
      <c r="AJ10" s="69">
        <v>1119.2901496251422</v>
      </c>
      <c r="AK10" s="69">
        <v>805.06833670934054</v>
      </c>
      <c r="AL10" s="69">
        <v>1763.4861481984458</v>
      </c>
      <c r="AM10" s="69">
        <v>2370.847875086467</v>
      </c>
      <c r="AN10" s="69">
        <v>467.35057945251464</v>
      </c>
      <c r="AO10" s="69">
        <v>1787.5615255991618</v>
      </c>
      <c r="AP10" s="69">
        <v>372.70701090494794</v>
      </c>
      <c r="AQ10" s="69">
        <v>686.41045185724897</v>
      </c>
    </row>
    <row r="11" spans="1:47" x14ac:dyDescent="0.25">
      <c r="A11" s="11">
        <v>41337</v>
      </c>
      <c r="B11" s="59"/>
      <c r="C11" s="60">
        <v>0</v>
      </c>
      <c r="D11" s="60">
        <v>0</v>
      </c>
      <c r="E11" s="60">
        <v>0.51141671091318097</v>
      </c>
      <c r="F11" s="60">
        <v>0</v>
      </c>
      <c r="G11" s="60">
        <v>0</v>
      </c>
      <c r="H11" s="61">
        <v>0</v>
      </c>
      <c r="I11" s="59">
        <v>205.4171102205917</v>
      </c>
      <c r="J11" s="60">
        <v>529.17152929305962</v>
      </c>
      <c r="K11" s="60">
        <v>20.97104235788186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325.81020041571321</v>
      </c>
      <c r="V11" s="62">
        <v>0</v>
      </c>
      <c r="W11" s="62">
        <v>28.39757402737937</v>
      </c>
      <c r="X11" s="62">
        <v>0</v>
      </c>
      <c r="Y11" s="66">
        <v>124.32069053649911</v>
      </c>
      <c r="Z11" s="66">
        <v>0</v>
      </c>
      <c r="AA11" s="67">
        <v>0</v>
      </c>
      <c r="AB11" s="68">
        <v>0</v>
      </c>
      <c r="AC11" s="69">
        <v>0</v>
      </c>
      <c r="AD11" s="69">
        <v>12.253526582982802</v>
      </c>
      <c r="AE11" s="68">
        <v>11.999425148762633</v>
      </c>
      <c r="AF11" s="68">
        <v>0</v>
      </c>
      <c r="AG11" s="68">
        <v>1</v>
      </c>
      <c r="AH11" s="69">
        <v>308.59796246687574</v>
      </c>
      <c r="AI11" s="69">
        <v>729.70080496470155</v>
      </c>
      <c r="AJ11" s="69">
        <v>1152.1455196380616</v>
      </c>
      <c r="AK11" s="69">
        <v>828.08496338526413</v>
      </c>
      <c r="AL11" s="69">
        <v>1872.6769954681399</v>
      </c>
      <c r="AM11" s="69">
        <v>2464.3512031555174</v>
      </c>
      <c r="AN11" s="69">
        <v>514.80254580179849</v>
      </c>
      <c r="AO11" s="69">
        <v>1739.5811663309732</v>
      </c>
      <c r="AP11" s="69">
        <v>353.87928684552509</v>
      </c>
      <c r="AQ11" s="69">
        <v>707.54397993087753</v>
      </c>
    </row>
    <row r="12" spans="1:47" x14ac:dyDescent="0.25">
      <c r="A12" s="11">
        <v>41338</v>
      </c>
      <c r="B12" s="59"/>
      <c r="C12" s="60">
        <v>0</v>
      </c>
      <c r="D12" s="60">
        <v>0</v>
      </c>
      <c r="E12" s="60">
        <v>0.51228169103463528</v>
      </c>
      <c r="F12" s="60">
        <v>0</v>
      </c>
      <c r="G12" s="60">
        <v>0</v>
      </c>
      <c r="H12" s="61">
        <v>0</v>
      </c>
      <c r="I12" s="59">
        <v>212.2731525421145</v>
      </c>
      <c r="J12" s="60">
        <v>591.70534474055023</v>
      </c>
      <c r="K12" s="60">
        <v>20.849420156081511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321.429244062637</v>
      </c>
      <c r="V12" s="62">
        <v>0</v>
      </c>
      <c r="W12" s="62">
        <v>28.524691538016018</v>
      </c>
      <c r="X12" s="62">
        <v>0</v>
      </c>
      <c r="Y12" s="66">
        <v>145.58581631978379</v>
      </c>
      <c r="Z12" s="66">
        <v>0</v>
      </c>
      <c r="AA12" s="67">
        <v>0</v>
      </c>
      <c r="AB12" s="68">
        <v>0</v>
      </c>
      <c r="AC12" s="69">
        <v>0</v>
      </c>
      <c r="AD12" s="69">
        <v>12.247524793280512</v>
      </c>
      <c r="AE12" s="68">
        <v>11.998545399770284</v>
      </c>
      <c r="AF12" s="68">
        <v>0</v>
      </c>
      <c r="AG12" s="68">
        <v>1</v>
      </c>
      <c r="AH12" s="69">
        <v>332.09333610534662</v>
      </c>
      <c r="AI12" s="69">
        <v>766.91013234456409</v>
      </c>
      <c r="AJ12" s="69">
        <v>1181.72495619456</v>
      </c>
      <c r="AK12" s="69">
        <v>824.56862567265819</v>
      </c>
      <c r="AL12" s="69">
        <v>1936.7921479543054</v>
      </c>
      <c r="AM12" s="69">
        <v>2457.0312592824303</v>
      </c>
      <c r="AN12" s="69">
        <v>556.35995178222652</v>
      </c>
      <c r="AO12" s="69">
        <v>1730.728485361735</v>
      </c>
      <c r="AP12" s="69">
        <v>352.91763250033057</v>
      </c>
      <c r="AQ12" s="69">
        <v>726.40793666839602</v>
      </c>
    </row>
    <row r="13" spans="1:47" x14ac:dyDescent="0.25">
      <c r="A13" s="11">
        <v>41339</v>
      </c>
      <c r="B13" s="59"/>
      <c r="C13" s="60">
        <v>0</v>
      </c>
      <c r="D13" s="60">
        <v>0</v>
      </c>
      <c r="E13" s="60">
        <v>0.50476052363713564</v>
      </c>
      <c r="F13" s="60">
        <v>0</v>
      </c>
      <c r="G13" s="60">
        <v>0</v>
      </c>
      <c r="H13" s="61">
        <v>0</v>
      </c>
      <c r="I13" s="59">
        <v>215.71028413772601</v>
      </c>
      <c r="J13" s="60">
        <v>601.60089804331369</v>
      </c>
      <c r="K13" s="60">
        <v>21.271943946679485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327.11015540229164</v>
      </c>
      <c r="V13" s="62">
        <v>0</v>
      </c>
      <c r="W13" s="62">
        <v>28.38171045382817</v>
      </c>
      <c r="X13" s="62">
        <v>0</v>
      </c>
      <c r="Y13" s="66">
        <v>166.67502787907921</v>
      </c>
      <c r="Z13" s="66">
        <v>0</v>
      </c>
      <c r="AA13" s="67">
        <v>0</v>
      </c>
      <c r="AB13" s="68">
        <v>0</v>
      </c>
      <c r="AC13" s="69">
        <v>0</v>
      </c>
      <c r="AD13" s="69">
        <v>12.108979648351674</v>
      </c>
      <c r="AE13" s="68">
        <v>11.85756140537544</v>
      </c>
      <c r="AF13" s="68">
        <v>0</v>
      </c>
      <c r="AG13" s="68">
        <v>1</v>
      </c>
      <c r="AH13" s="69">
        <v>301.70672729015348</v>
      </c>
      <c r="AI13" s="69">
        <v>672.91124366124473</v>
      </c>
      <c r="AJ13" s="69">
        <v>1200.5416810353595</v>
      </c>
      <c r="AK13" s="69">
        <v>808.6943436940511</v>
      </c>
      <c r="AL13" s="69">
        <v>1835.1391081492106</v>
      </c>
      <c r="AM13" s="69">
        <v>2371.1868237813314</v>
      </c>
      <c r="AN13" s="69">
        <v>499.64337151845291</v>
      </c>
      <c r="AO13" s="69">
        <v>1752.7189732869463</v>
      </c>
      <c r="AP13" s="69">
        <v>329.10782098770142</v>
      </c>
      <c r="AQ13" s="69">
        <v>718.08384628295869</v>
      </c>
    </row>
    <row r="14" spans="1:47" x14ac:dyDescent="0.25">
      <c r="A14" s="11">
        <v>41340</v>
      </c>
      <c r="B14" s="59"/>
      <c r="C14" s="60">
        <v>0</v>
      </c>
      <c r="D14" s="60">
        <v>0</v>
      </c>
      <c r="E14" s="60">
        <v>0.50966885189215227</v>
      </c>
      <c r="F14" s="60">
        <v>0</v>
      </c>
      <c r="G14" s="60">
        <v>0</v>
      </c>
      <c r="H14" s="61">
        <v>0</v>
      </c>
      <c r="I14" s="59">
        <v>212.05912391344742</v>
      </c>
      <c r="J14" s="60">
        <v>591.15752331415763</v>
      </c>
      <c r="K14" s="60">
        <v>20.96659406920277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329.20400844149873</v>
      </c>
      <c r="V14" s="62">
        <v>0</v>
      </c>
      <c r="W14" s="62">
        <v>28.789804605642953</v>
      </c>
      <c r="X14" s="62">
        <v>0</v>
      </c>
      <c r="Y14" s="66">
        <v>166.12633279164618</v>
      </c>
      <c r="Z14" s="66">
        <v>0</v>
      </c>
      <c r="AA14" s="67">
        <v>0</v>
      </c>
      <c r="AB14" s="68">
        <v>0</v>
      </c>
      <c r="AC14" s="69">
        <v>0</v>
      </c>
      <c r="AD14" s="69">
        <v>12.083458503087364</v>
      </c>
      <c r="AE14" s="68">
        <v>11.841860145402702</v>
      </c>
      <c r="AF14" s="68">
        <v>0</v>
      </c>
      <c r="AG14" s="68">
        <v>1</v>
      </c>
      <c r="AH14" s="69">
        <v>267.73566139539088</v>
      </c>
      <c r="AI14" s="69">
        <v>599.30758692423501</v>
      </c>
      <c r="AJ14" s="69">
        <v>1158.5135735193887</v>
      </c>
      <c r="AK14" s="69">
        <v>824.64742943445845</v>
      </c>
      <c r="AL14" s="69">
        <v>1749.0243169784542</v>
      </c>
      <c r="AM14" s="69">
        <v>2338.0930726369224</v>
      </c>
      <c r="AN14" s="69">
        <v>465.25923344294239</v>
      </c>
      <c r="AO14" s="69">
        <v>1721.1569871266681</v>
      </c>
      <c r="AP14" s="69">
        <v>299.97998762130737</v>
      </c>
      <c r="AQ14" s="69">
        <v>739.05529902776073</v>
      </c>
    </row>
    <row r="15" spans="1:47" x14ac:dyDescent="0.25">
      <c r="A15" s="11">
        <v>41341</v>
      </c>
      <c r="B15" s="59"/>
      <c r="C15" s="60">
        <v>0</v>
      </c>
      <c r="D15" s="60">
        <v>0</v>
      </c>
      <c r="E15" s="60">
        <v>0.50955643504858084</v>
      </c>
      <c r="F15" s="60">
        <v>0</v>
      </c>
      <c r="G15" s="60">
        <v>0</v>
      </c>
      <c r="H15" s="61">
        <v>0</v>
      </c>
      <c r="I15" s="59">
        <v>212.30863634745282</v>
      </c>
      <c r="J15" s="60">
        <v>591.20242452621369</v>
      </c>
      <c r="K15" s="60">
        <v>20.983154429992101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329.36691330803859</v>
      </c>
      <c r="V15" s="62">
        <v>0</v>
      </c>
      <c r="W15" s="62">
        <v>28.650721704959846</v>
      </c>
      <c r="X15" s="62">
        <v>0</v>
      </c>
      <c r="Y15" s="66">
        <v>168.4175525665282</v>
      </c>
      <c r="Z15" s="66">
        <v>0</v>
      </c>
      <c r="AA15" s="67">
        <v>0</v>
      </c>
      <c r="AB15" s="68">
        <v>0</v>
      </c>
      <c r="AC15" s="69">
        <v>0</v>
      </c>
      <c r="AD15" s="69">
        <v>12.24450670480728</v>
      </c>
      <c r="AE15" s="68">
        <v>11.992297800099086</v>
      </c>
      <c r="AF15" s="68">
        <v>0</v>
      </c>
      <c r="AG15" s="68">
        <v>1</v>
      </c>
      <c r="AH15" s="69">
        <v>289.61074239412949</v>
      </c>
      <c r="AI15" s="69">
        <v>629.19214029312138</v>
      </c>
      <c r="AJ15" s="69">
        <v>1137.0947971343994</v>
      </c>
      <c r="AK15" s="69">
        <v>822.54699726104718</v>
      </c>
      <c r="AL15" s="69">
        <v>1806.6680853525795</v>
      </c>
      <c r="AM15" s="69">
        <v>2369.2119786580406</v>
      </c>
      <c r="AN15" s="69">
        <v>464.40563060442599</v>
      </c>
      <c r="AO15" s="69">
        <v>1734.4961494445799</v>
      </c>
      <c r="AP15" s="69">
        <v>302.54431794484452</v>
      </c>
      <c r="AQ15" s="69">
        <v>673.22726068496695</v>
      </c>
    </row>
    <row r="16" spans="1:47" x14ac:dyDescent="0.25">
      <c r="A16" s="11">
        <v>41342</v>
      </c>
      <c r="B16" s="59"/>
      <c r="C16" s="60">
        <v>0</v>
      </c>
      <c r="D16" s="60">
        <v>0</v>
      </c>
      <c r="E16" s="60">
        <v>0.50559700777133265</v>
      </c>
      <c r="F16" s="60">
        <v>0</v>
      </c>
      <c r="G16" s="60">
        <v>0</v>
      </c>
      <c r="H16" s="61">
        <v>0</v>
      </c>
      <c r="I16" s="59">
        <v>212.1898099263511</v>
      </c>
      <c r="J16" s="60">
        <v>590.96678269704125</v>
      </c>
      <c r="K16" s="60">
        <v>20.92509083648525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328.81608280605633</v>
      </c>
      <c r="V16" s="62">
        <v>0</v>
      </c>
      <c r="W16" s="62">
        <v>28.768093872070271</v>
      </c>
      <c r="X16" s="62">
        <v>0</v>
      </c>
      <c r="Y16" s="66">
        <v>167.88731443881977</v>
      </c>
      <c r="Z16" s="66">
        <v>0</v>
      </c>
      <c r="AA16" s="67">
        <v>0</v>
      </c>
      <c r="AB16" s="68">
        <v>0</v>
      </c>
      <c r="AC16" s="69">
        <v>0</v>
      </c>
      <c r="AD16" s="69">
        <v>12.240883681509219</v>
      </c>
      <c r="AE16" s="68">
        <v>12.002797586458051</v>
      </c>
      <c r="AF16" s="68">
        <v>0</v>
      </c>
      <c r="AG16" s="68">
        <v>1</v>
      </c>
      <c r="AH16" s="69">
        <v>334.6128438711167</v>
      </c>
      <c r="AI16" s="69">
        <v>746.21236991882313</v>
      </c>
      <c r="AJ16" s="69">
        <v>1171.0654655456544</v>
      </c>
      <c r="AK16" s="69">
        <v>841.14666506449396</v>
      </c>
      <c r="AL16" s="69">
        <v>1940.8909238179526</v>
      </c>
      <c r="AM16" s="69">
        <v>2378.071942265829</v>
      </c>
      <c r="AN16" s="69">
        <v>524.00215729077649</v>
      </c>
      <c r="AO16" s="69">
        <v>1731.3471487681072</v>
      </c>
      <c r="AP16" s="69">
        <v>349.53487240473436</v>
      </c>
      <c r="AQ16" s="69">
        <v>679.2395858128865</v>
      </c>
    </row>
    <row r="17" spans="1:43" x14ac:dyDescent="0.25">
      <c r="A17" s="11">
        <v>41343</v>
      </c>
      <c r="B17" s="49"/>
      <c r="C17" s="50">
        <v>0</v>
      </c>
      <c r="D17" s="50">
        <v>0</v>
      </c>
      <c r="E17" s="50">
        <v>0.51378529767195424</v>
      </c>
      <c r="F17" s="50">
        <v>0</v>
      </c>
      <c r="G17" s="50">
        <v>0</v>
      </c>
      <c r="H17" s="51">
        <v>0</v>
      </c>
      <c r="I17" s="49">
        <v>214.91299657821665</v>
      </c>
      <c r="J17" s="50">
        <v>599.57955032984387</v>
      </c>
      <c r="K17" s="50">
        <v>21.206787386536579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318.06018233829201</v>
      </c>
      <c r="V17" s="66">
        <v>0</v>
      </c>
      <c r="W17" s="62">
        <v>28.279922382036737</v>
      </c>
      <c r="X17" s="62">
        <v>0</v>
      </c>
      <c r="Y17" s="66">
        <v>165.50582651297199</v>
      </c>
      <c r="Z17" s="66">
        <v>0</v>
      </c>
      <c r="AA17" s="67">
        <v>0</v>
      </c>
      <c r="AB17" s="68">
        <v>0</v>
      </c>
      <c r="AC17" s="69">
        <v>0</v>
      </c>
      <c r="AD17" s="69">
        <v>12.049077706204457</v>
      </c>
      <c r="AE17" s="68">
        <v>11.845581525195749</v>
      </c>
      <c r="AF17" s="68">
        <v>0</v>
      </c>
      <c r="AG17" s="68">
        <v>1</v>
      </c>
      <c r="AH17" s="69">
        <v>343.83221791585282</v>
      </c>
      <c r="AI17" s="69">
        <v>755.76711479822791</v>
      </c>
      <c r="AJ17" s="69">
        <v>1163.0995205561321</v>
      </c>
      <c r="AK17" s="69">
        <v>813.54573421478267</v>
      </c>
      <c r="AL17" s="69">
        <v>1943.2358178456623</v>
      </c>
      <c r="AM17" s="69">
        <v>2449.1651388804116</v>
      </c>
      <c r="AN17" s="69">
        <v>558.91204071044922</v>
      </c>
      <c r="AO17" s="69">
        <v>1726.3625546773276</v>
      </c>
      <c r="AP17" s="69">
        <v>353.32351619402561</v>
      </c>
      <c r="AQ17" s="69">
        <v>695.01813128789286</v>
      </c>
    </row>
    <row r="18" spans="1:43" x14ac:dyDescent="0.25">
      <c r="A18" s="11">
        <v>41344</v>
      </c>
      <c r="B18" s="59"/>
      <c r="C18" s="60">
        <v>0</v>
      </c>
      <c r="D18" s="60">
        <v>0</v>
      </c>
      <c r="E18" s="60">
        <v>0.50603215893109599</v>
      </c>
      <c r="F18" s="60">
        <v>0</v>
      </c>
      <c r="G18" s="60">
        <v>0</v>
      </c>
      <c r="H18" s="61">
        <v>0</v>
      </c>
      <c r="I18" s="59">
        <v>213.6317880471544</v>
      </c>
      <c r="J18" s="60">
        <v>595.81602328618271</v>
      </c>
      <c r="K18" s="60">
        <v>20.742392732699688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331.58054890103</v>
      </c>
      <c r="V18" s="62">
        <v>0</v>
      </c>
      <c r="W18" s="62">
        <v>29.007772052287997</v>
      </c>
      <c r="X18" s="62">
        <v>0</v>
      </c>
      <c r="Y18" s="66">
        <v>169.41582857767739</v>
      </c>
      <c r="Z18" s="66">
        <v>0</v>
      </c>
      <c r="AA18" s="67">
        <v>0</v>
      </c>
      <c r="AB18" s="68">
        <v>0</v>
      </c>
      <c r="AC18" s="69">
        <v>0</v>
      </c>
      <c r="AD18" s="69">
        <v>12.327891126606199</v>
      </c>
      <c r="AE18" s="68">
        <v>12.203654575067294</v>
      </c>
      <c r="AF18" s="68">
        <v>0</v>
      </c>
      <c r="AG18" s="68">
        <v>1</v>
      </c>
      <c r="AH18" s="69">
        <v>314.04872076511384</v>
      </c>
      <c r="AI18" s="69">
        <v>687.02702169418342</v>
      </c>
      <c r="AJ18" s="69">
        <v>1175.9038220723469</v>
      </c>
      <c r="AK18" s="69">
        <v>800.54872388839726</v>
      </c>
      <c r="AL18" s="69">
        <v>1873.3077842076621</v>
      </c>
      <c r="AM18" s="69">
        <v>2424.0435677846272</v>
      </c>
      <c r="AN18" s="69">
        <v>499.99771986007693</v>
      </c>
      <c r="AO18" s="69">
        <v>1727.4914225260418</v>
      </c>
      <c r="AP18" s="69">
        <v>324.89131690661111</v>
      </c>
      <c r="AQ18" s="69">
        <v>709.4229386965435</v>
      </c>
    </row>
    <row r="19" spans="1:43" x14ac:dyDescent="0.25">
      <c r="A19" s="11">
        <v>41345</v>
      </c>
      <c r="B19" s="59"/>
      <c r="C19" s="60">
        <v>0</v>
      </c>
      <c r="D19" s="60">
        <v>0</v>
      </c>
      <c r="E19" s="60">
        <v>0.50564691424369723</v>
      </c>
      <c r="F19" s="60">
        <v>0</v>
      </c>
      <c r="G19" s="60">
        <v>0</v>
      </c>
      <c r="H19" s="61">
        <v>0</v>
      </c>
      <c r="I19" s="59">
        <v>218.79723010063151</v>
      </c>
      <c r="J19" s="60">
        <v>610.42953478495178</v>
      </c>
      <c r="K19" s="60">
        <v>21.431167184313164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335.91576444837784</v>
      </c>
      <c r="V19" s="62">
        <v>0</v>
      </c>
      <c r="W19" s="62">
        <v>29.559229679902369</v>
      </c>
      <c r="X19" s="62">
        <v>0</v>
      </c>
      <c r="Y19" s="66">
        <v>173.46019197305031</v>
      </c>
      <c r="Z19" s="66">
        <v>0</v>
      </c>
      <c r="AA19" s="67">
        <v>0</v>
      </c>
      <c r="AB19" s="68">
        <v>0</v>
      </c>
      <c r="AC19" s="69">
        <v>0</v>
      </c>
      <c r="AD19" s="69">
        <v>12.622732559177621</v>
      </c>
      <c r="AE19" s="68">
        <v>12.498244717210056</v>
      </c>
      <c r="AF19" s="68">
        <v>0</v>
      </c>
      <c r="AG19" s="68">
        <v>1</v>
      </c>
      <c r="AH19" s="69">
        <v>319.84261394341786</v>
      </c>
      <c r="AI19" s="69">
        <v>709.01628475189216</v>
      </c>
      <c r="AJ19" s="69">
        <v>1138.7363994598386</v>
      </c>
      <c r="AK19" s="69">
        <v>808.601551214854</v>
      </c>
      <c r="AL19" s="69">
        <v>1891.3476498921709</v>
      </c>
      <c r="AM19" s="69">
        <v>2345.9634920756021</v>
      </c>
      <c r="AN19" s="69">
        <v>528.3574098587037</v>
      </c>
      <c r="AO19" s="69">
        <v>1767.7401124318442</v>
      </c>
      <c r="AP19" s="69">
        <v>342.46577226320898</v>
      </c>
      <c r="AQ19" s="69">
        <v>685.25442148844377</v>
      </c>
    </row>
    <row r="20" spans="1:43" x14ac:dyDescent="0.25">
      <c r="A20" s="11">
        <v>41346</v>
      </c>
      <c r="B20" s="59"/>
      <c r="C20" s="60">
        <v>0</v>
      </c>
      <c r="D20" s="60">
        <v>0</v>
      </c>
      <c r="E20" s="60">
        <v>0.50420044114192242</v>
      </c>
      <c r="F20" s="60">
        <v>0</v>
      </c>
      <c r="G20" s="60">
        <v>0</v>
      </c>
      <c r="H20" s="61">
        <v>0</v>
      </c>
      <c r="I20" s="59">
        <v>215.48410272598267</v>
      </c>
      <c r="J20" s="60">
        <v>634.04820340474612</v>
      </c>
      <c r="K20" s="60">
        <v>19.587076164285339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347.9428289625348</v>
      </c>
      <c r="V20" s="62">
        <v>0</v>
      </c>
      <c r="W20" s="62">
        <v>30.51101382176078</v>
      </c>
      <c r="X20" s="62">
        <v>0</v>
      </c>
      <c r="Y20" s="66">
        <v>177.65062372684491</v>
      </c>
      <c r="Z20" s="66">
        <v>0</v>
      </c>
      <c r="AA20" s="67">
        <v>0</v>
      </c>
      <c r="AB20" s="68">
        <v>0</v>
      </c>
      <c r="AC20" s="69">
        <v>0</v>
      </c>
      <c r="AD20" s="69">
        <v>13.12364801433349</v>
      </c>
      <c r="AE20" s="68">
        <v>12.993990543469073</v>
      </c>
      <c r="AF20" s="68">
        <v>0</v>
      </c>
      <c r="AG20" s="68">
        <v>1</v>
      </c>
      <c r="AH20" s="69">
        <v>282.86188444296516</v>
      </c>
      <c r="AI20" s="69">
        <v>615.20902214050295</v>
      </c>
      <c r="AJ20" s="69">
        <v>1195.0277053833008</v>
      </c>
      <c r="AK20" s="69">
        <v>813.43742059071872</v>
      </c>
      <c r="AL20" s="69">
        <v>1769.1016468683877</v>
      </c>
      <c r="AM20" s="69">
        <v>2213.2914605458573</v>
      </c>
      <c r="AN20" s="69">
        <v>489.1892321745554</v>
      </c>
      <c r="AO20" s="69">
        <v>1804.3530057271321</v>
      </c>
      <c r="AP20" s="69">
        <v>325.11289869944255</v>
      </c>
      <c r="AQ20" s="69">
        <v>697.09188251495357</v>
      </c>
    </row>
    <row r="21" spans="1:43" x14ac:dyDescent="0.25">
      <c r="A21" s="11">
        <v>41347</v>
      </c>
      <c r="B21" s="59"/>
      <c r="C21" s="60">
        <v>0</v>
      </c>
      <c r="D21" s="60">
        <v>0</v>
      </c>
      <c r="E21" s="60">
        <v>0.51467702041069618</v>
      </c>
      <c r="F21" s="60">
        <v>0</v>
      </c>
      <c r="G21" s="60">
        <v>0</v>
      </c>
      <c r="H21" s="61">
        <v>0</v>
      </c>
      <c r="I21" s="59">
        <v>214.37643013000519</v>
      </c>
      <c r="J21" s="60">
        <v>633.71098330815767</v>
      </c>
      <c r="K21" s="60">
        <v>17.113208705186853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348.75067541334471</v>
      </c>
      <c r="V21" s="62">
        <v>0</v>
      </c>
      <c r="W21" s="62">
        <v>30.28770725727081</v>
      </c>
      <c r="X21" s="62">
        <v>0</v>
      </c>
      <c r="Y21" s="66">
        <v>179.35479920705168</v>
      </c>
      <c r="Z21" s="66">
        <v>0</v>
      </c>
      <c r="AA21" s="67">
        <v>0</v>
      </c>
      <c r="AB21" s="68">
        <v>0</v>
      </c>
      <c r="AC21" s="69">
        <v>0</v>
      </c>
      <c r="AD21" s="69">
        <v>13.127865292628597</v>
      </c>
      <c r="AE21" s="68">
        <v>12.996501776714112</v>
      </c>
      <c r="AF21" s="68">
        <v>0</v>
      </c>
      <c r="AG21" s="68">
        <v>1</v>
      </c>
      <c r="AH21" s="69">
        <v>236.78199006716409</v>
      </c>
      <c r="AI21" s="69">
        <v>505.93016134897869</v>
      </c>
      <c r="AJ21" s="69">
        <v>1133.3113882700604</v>
      </c>
      <c r="AK21" s="69">
        <v>815.70154511133831</v>
      </c>
      <c r="AL21" s="69">
        <v>1695.2437222798662</v>
      </c>
      <c r="AM21" s="69">
        <v>2111.1922470092777</v>
      </c>
      <c r="AN21" s="69">
        <v>436.27020945549015</v>
      </c>
      <c r="AO21" s="69">
        <v>1757.9310291290283</v>
      </c>
      <c r="AP21" s="69">
        <v>306.793464867274</v>
      </c>
      <c r="AQ21" s="69">
        <v>754.06714178721109</v>
      </c>
    </row>
    <row r="22" spans="1:43" x14ac:dyDescent="0.25">
      <c r="A22" s="11">
        <v>41348</v>
      </c>
      <c r="B22" s="59"/>
      <c r="C22" s="60">
        <v>0</v>
      </c>
      <c r="D22" s="60">
        <v>0</v>
      </c>
      <c r="E22" s="60">
        <v>0.53249298781156507</v>
      </c>
      <c r="F22" s="60">
        <v>0</v>
      </c>
      <c r="G22" s="60">
        <v>0</v>
      </c>
      <c r="H22" s="61">
        <v>0</v>
      </c>
      <c r="I22" s="59">
        <v>214.52209677696268</v>
      </c>
      <c r="J22" s="60">
        <v>634.01669750213773</v>
      </c>
      <c r="K22" s="60">
        <v>19.36517181297144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348.72201129066042</v>
      </c>
      <c r="V22" s="62">
        <v>0</v>
      </c>
      <c r="W22" s="62">
        <v>30.110770118236534</v>
      </c>
      <c r="X22" s="62">
        <v>0</v>
      </c>
      <c r="Y22" s="66">
        <v>177.38766152063999</v>
      </c>
      <c r="Z22" s="66">
        <v>0</v>
      </c>
      <c r="AA22" s="67">
        <v>0</v>
      </c>
      <c r="AB22" s="68">
        <v>0</v>
      </c>
      <c r="AC22" s="69">
        <v>0</v>
      </c>
      <c r="AD22" s="69">
        <v>13.130184403393038</v>
      </c>
      <c r="AE22" s="68">
        <v>12.997662705176108</v>
      </c>
      <c r="AF22" s="68">
        <v>0</v>
      </c>
      <c r="AG22" s="68">
        <v>1</v>
      </c>
      <c r="AH22" s="69">
        <v>219.14437342484788</v>
      </c>
      <c r="AI22" s="69">
        <v>474.69565963745117</v>
      </c>
      <c r="AJ22" s="69">
        <v>1128.9452609380085</v>
      </c>
      <c r="AK22" s="69">
        <v>799.35757217407229</v>
      </c>
      <c r="AL22" s="69">
        <v>1668.7487126668298</v>
      </c>
      <c r="AM22" s="69">
        <v>2069.2233291625976</v>
      </c>
      <c r="AN22" s="69">
        <v>431.56684554417922</v>
      </c>
      <c r="AO22" s="69">
        <v>1770.3802808125813</v>
      </c>
      <c r="AP22" s="69">
        <v>309.90616000493367</v>
      </c>
      <c r="AQ22" s="69">
        <v>838.44913660685222</v>
      </c>
    </row>
    <row r="23" spans="1:43" x14ac:dyDescent="0.25">
      <c r="A23" s="11">
        <v>41349</v>
      </c>
      <c r="B23" s="59"/>
      <c r="C23" s="60">
        <v>0</v>
      </c>
      <c r="D23" s="60">
        <v>0</v>
      </c>
      <c r="E23" s="60">
        <v>0.5322485715150822</v>
      </c>
      <c r="F23" s="60">
        <v>0</v>
      </c>
      <c r="G23" s="60">
        <v>0</v>
      </c>
      <c r="H23" s="61">
        <v>0</v>
      </c>
      <c r="I23" s="59">
        <v>220.25338048934901</v>
      </c>
      <c r="J23" s="60">
        <v>619.99591366449829</v>
      </c>
      <c r="K23" s="60">
        <v>19.366532710194587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336.30085927115613</v>
      </c>
      <c r="V23" s="62">
        <v>0</v>
      </c>
      <c r="W23" s="62">
        <v>28.852203249931328</v>
      </c>
      <c r="X23" s="62">
        <v>0</v>
      </c>
      <c r="Y23" s="66">
        <v>166.46660775343571</v>
      </c>
      <c r="Z23" s="66">
        <v>0</v>
      </c>
      <c r="AA23" s="67">
        <v>0</v>
      </c>
      <c r="AB23" s="68">
        <v>0</v>
      </c>
      <c r="AC23" s="69">
        <v>0</v>
      </c>
      <c r="AD23" s="69">
        <v>12.478370421793727</v>
      </c>
      <c r="AE23" s="68">
        <v>12.336582165961124</v>
      </c>
      <c r="AF23" s="68">
        <v>0</v>
      </c>
      <c r="AG23" s="68">
        <v>1</v>
      </c>
      <c r="AH23" s="69">
        <v>233.76106356779729</v>
      </c>
      <c r="AI23" s="69">
        <v>507.16560872395843</v>
      </c>
      <c r="AJ23" s="69">
        <v>1119.619529914856</v>
      </c>
      <c r="AK23" s="69">
        <v>800.59274508158353</v>
      </c>
      <c r="AL23" s="69">
        <v>1722.6129252751666</v>
      </c>
      <c r="AM23" s="69">
        <v>2093.8008487701418</v>
      </c>
      <c r="AN23" s="69">
        <v>452.14628612200414</v>
      </c>
      <c r="AO23" s="69">
        <v>1765.8691767374676</v>
      </c>
      <c r="AP23" s="69">
        <v>306.99563477834067</v>
      </c>
      <c r="AQ23" s="69">
        <v>672.89388068517064</v>
      </c>
    </row>
    <row r="24" spans="1:43" x14ac:dyDescent="0.25">
      <c r="A24" s="11">
        <v>41350</v>
      </c>
      <c r="B24" s="59"/>
      <c r="C24" s="60">
        <v>0</v>
      </c>
      <c r="D24" s="60">
        <v>0</v>
      </c>
      <c r="E24" s="60">
        <v>0.53147449841101946</v>
      </c>
      <c r="F24" s="60">
        <v>0</v>
      </c>
      <c r="G24" s="60">
        <v>0</v>
      </c>
      <c r="H24" s="61">
        <v>0</v>
      </c>
      <c r="I24" s="59">
        <v>218.99503191312147</v>
      </c>
      <c r="J24" s="60">
        <v>624.13522996902327</v>
      </c>
      <c r="K24" s="60">
        <v>18.4674715379874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334.69694690704347</v>
      </c>
      <c r="V24" s="62">
        <v>0</v>
      </c>
      <c r="W24" s="62">
        <v>28.740267455577879</v>
      </c>
      <c r="X24" s="62">
        <v>0</v>
      </c>
      <c r="Y24" s="66">
        <v>168.56997229258207</v>
      </c>
      <c r="Z24" s="66">
        <v>0</v>
      </c>
      <c r="AA24" s="67">
        <v>0</v>
      </c>
      <c r="AB24" s="68">
        <v>0</v>
      </c>
      <c r="AC24" s="69">
        <v>0</v>
      </c>
      <c r="AD24" s="69">
        <v>12.63856676220894</v>
      </c>
      <c r="AE24" s="68">
        <v>12.498749033186638</v>
      </c>
      <c r="AF24" s="68">
        <v>0</v>
      </c>
      <c r="AG24" s="68">
        <v>1</v>
      </c>
      <c r="AH24" s="69">
        <v>260.37865835030874</v>
      </c>
      <c r="AI24" s="69">
        <v>560.60610141754159</v>
      </c>
      <c r="AJ24" s="69">
        <v>1153.2314273834229</v>
      </c>
      <c r="AK24" s="69">
        <v>799.26686242421465</v>
      </c>
      <c r="AL24" s="69">
        <v>1784.8616389592491</v>
      </c>
      <c r="AM24" s="69">
        <v>2149.367922210693</v>
      </c>
      <c r="AN24" s="69">
        <v>468.70923989613846</v>
      </c>
      <c r="AO24" s="69">
        <v>1779.2151786804197</v>
      </c>
      <c r="AP24" s="69">
        <v>308.59815045992531</v>
      </c>
      <c r="AQ24" s="69">
        <v>688.68807916641242</v>
      </c>
    </row>
    <row r="25" spans="1:43" x14ac:dyDescent="0.25">
      <c r="A25" s="11">
        <v>41351</v>
      </c>
      <c r="B25" s="59"/>
      <c r="C25" s="60">
        <v>0</v>
      </c>
      <c r="D25" s="60">
        <v>0</v>
      </c>
      <c r="E25" s="60">
        <v>0.51974411060412629</v>
      </c>
      <c r="F25" s="60">
        <v>0</v>
      </c>
      <c r="G25" s="60">
        <v>0</v>
      </c>
      <c r="H25" s="61">
        <v>0</v>
      </c>
      <c r="I25" s="59">
        <v>218.66196242968243</v>
      </c>
      <c r="J25" s="60">
        <v>609.96543734868192</v>
      </c>
      <c r="K25" s="60">
        <v>18.205191255609186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334.78412570953179</v>
      </c>
      <c r="V25" s="62">
        <v>0</v>
      </c>
      <c r="W25" s="62">
        <v>29.138136951128654</v>
      </c>
      <c r="X25" s="62">
        <v>0</v>
      </c>
      <c r="Y25" s="66">
        <v>169.06237037181862</v>
      </c>
      <c r="Z25" s="66">
        <v>0</v>
      </c>
      <c r="AA25" s="67">
        <v>0</v>
      </c>
      <c r="AB25" s="68">
        <v>0</v>
      </c>
      <c r="AC25" s="69">
        <v>0</v>
      </c>
      <c r="AD25" s="69">
        <v>12.63988447454239</v>
      </c>
      <c r="AE25" s="68">
        <v>12.498904191362389</v>
      </c>
      <c r="AF25" s="68">
        <v>0</v>
      </c>
      <c r="AG25" s="68">
        <v>1</v>
      </c>
      <c r="AH25" s="69">
        <v>282.97368923823035</v>
      </c>
      <c r="AI25" s="69">
        <v>604.40450630187991</v>
      </c>
      <c r="AJ25" s="69">
        <v>1154.9425031661985</v>
      </c>
      <c r="AK25" s="69">
        <v>783.00501330693567</v>
      </c>
      <c r="AL25" s="69">
        <v>1843.0063907623291</v>
      </c>
      <c r="AM25" s="69">
        <v>2259.9063950856525</v>
      </c>
      <c r="AN25" s="69">
        <v>486.59824612935381</v>
      </c>
      <c r="AO25" s="69">
        <v>1784.8314568837482</v>
      </c>
      <c r="AP25" s="69">
        <v>190.01680016915003</v>
      </c>
      <c r="AQ25" s="69">
        <v>707.1729930241903</v>
      </c>
    </row>
    <row r="26" spans="1:43" x14ac:dyDescent="0.25">
      <c r="A26" s="11">
        <v>41352</v>
      </c>
      <c r="B26" s="59"/>
      <c r="C26" s="60">
        <v>0</v>
      </c>
      <c r="D26" s="60">
        <v>0</v>
      </c>
      <c r="E26" s="60">
        <v>0.51772339393695166</v>
      </c>
      <c r="F26" s="60">
        <v>0</v>
      </c>
      <c r="G26" s="60">
        <v>0</v>
      </c>
      <c r="H26" s="61">
        <v>0</v>
      </c>
      <c r="I26" s="59">
        <v>223.56834990183495</v>
      </c>
      <c r="J26" s="60">
        <v>623.82472025553341</v>
      </c>
      <c r="K26" s="60">
        <v>18.513353551427553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330.81416802936047</v>
      </c>
      <c r="V26" s="62">
        <v>0</v>
      </c>
      <c r="W26" s="62">
        <v>28.920357958475744</v>
      </c>
      <c r="X26" s="62">
        <v>0</v>
      </c>
      <c r="Y26" s="66">
        <v>167.45101347764347</v>
      </c>
      <c r="Z26" s="66">
        <v>0</v>
      </c>
      <c r="AA26" s="67">
        <v>0</v>
      </c>
      <c r="AB26" s="68">
        <v>0</v>
      </c>
      <c r="AC26" s="69">
        <v>0</v>
      </c>
      <c r="AD26" s="69">
        <v>12.552622088458794</v>
      </c>
      <c r="AE26" s="68">
        <v>12.355219786930475</v>
      </c>
      <c r="AF26" s="68">
        <v>0</v>
      </c>
      <c r="AG26" s="68">
        <v>1</v>
      </c>
      <c r="AH26" s="69">
        <v>274.30293254852296</v>
      </c>
      <c r="AI26" s="69">
        <v>591.85661708513896</v>
      </c>
      <c r="AJ26" s="69">
        <v>1173.2092897415162</v>
      </c>
      <c r="AK26" s="69">
        <v>781.53390426635735</v>
      </c>
      <c r="AL26" s="69">
        <v>1822.6499083836877</v>
      </c>
      <c r="AM26" s="69">
        <v>2270.7039587656664</v>
      </c>
      <c r="AN26" s="69">
        <v>480.70616262753799</v>
      </c>
      <c r="AO26" s="69">
        <v>1795.9788916269938</v>
      </c>
      <c r="AP26" s="69">
        <v>113.30742234388988</v>
      </c>
      <c r="AQ26" s="69">
        <v>679.40952269236254</v>
      </c>
    </row>
    <row r="27" spans="1:43" x14ac:dyDescent="0.25">
      <c r="A27" s="11">
        <v>41353</v>
      </c>
      <c r="B27" s="59"/>
      <c r="C27" s="60">
        <v>0</v>
      </c>
      <c r="D27" s="60">
        <v>0</v>
      </c>
      <c r="E27" s="60">
        <v>0.51971379915873139</v>
      </c>
      <c r="F27" s="60">
        <v>0</v>
      </c>
      <c r="G27" s="60">
        <v>0</v>
      </c>
      <c r="H27" s="61">
        <v>0</v>
      </c>
      <c r="I27" s="59">
        <v>220.64235347112017</v>
      </c>
      <c r="J27" s="60">
        <v>615.71906954447343</v>
      </c>
      <c r="K27" s="60">
        <v>18.136968444784468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334.01266761355936</v>
      </c>
      <c r="V27" s="62">
        <v>0</v>
      </c>
      <c r="W27" s="62">
        <v>29.564497546354971</v>
      </c>
      <c r="X27" s="62">
        <v>0</v>
      </c>
      <c r="Y27" s="62">
        <v>170.22630964914941</v>
      </c>
      <c r="Z27" s="62">
        <v>0</v>
      </c>
      <c r="AA27" s="72">
        <v>0</v>
      </c>
      <c r="AB27" s="69">
        <v>0</v>
      </c>
      <c r="AC27" s="69">
        <v>0</v>
      </c>
      <c r="AD27" s="69">
        <v>12.766034473975498</v>
      </c>
      <c r="AE27" s="69">
        <v>12.49899158677575</v>
      </c>
      <c r="AF27" s="69">
        <v>0</v>
      </c>
      <c r="AG27" s="69">
        <v>1</v>
      </c>
      <c r="AH27" s="69">
        <v>269.71353508631387</v>
      </c>
      <c r="AI27" s="69">
        <v>585.8939903259278</v>
      </c>
      <c r="AJ27" s="69">
        <v>1183.8729740778606</v>
      </c>
      <c r="AK27" s="69">
        <v>779.41480452219639</v>
      </c>
      <c r="AL27" s="69">
        <v>1813.72176767985</v>
      </c>
      <c r="AM27" s="69">
        <v>2240.1414012908936</v>
      </c>
      <c r="AN27" s="69">
        <v>498.54733473459891</v>
      </c>
      <c r="AO27" s="69">
        <v>1811.1596478780111</v>
      </c>
      <c r="AP27" s="69">
        <v>64.994627342621499</v>
      </c>
      <c r="AQ27" s="69">
        <v>710.58087151845302</v>
      </c>
    </row>
    <row r="28" spans="1:43" x14ac:dyDescent="0.25">
      <c r="A28" s="11">
        <v>41354</v>
      </c>
      <c r="B28" s="59"/>
      <c r="C28" s="60">
        <v>0</v>
      </c>
      <c r="D28" s="60">
        <v>0</v>
      </c>
      <c r="E28" s="60">
        <v>0.5194106251001358</v>
      </c>
      <c r="F28" s="60">
        <v>0</v>
      </c>
      <c r="G28" s="60">
        <v>0</v>
      </c>
      <c r="H28" s="61">
        <v>0</v>
      </c>
      <c r="I28" s="59">
        <v>220.94742782910643</v>
      </c>
      <c r="J28" s="60">
        <v>615.88472646077344</v>
      </c>
      <c r="K28" s="60">
        <v>18.171572925647101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334.68129636976386</v>
      </c>
      <c r="V28" s="62">
        <v>0</v>
      </c>
      <c r="W28" s="62">
        <v>29.002877938747368</v>
      </c>
      <c r="X28" s="62">
        <v>0</v>
      </c>
      <c r="Y28" s="66">
        <v>170.26586128870642</v>
      </c>
      <c r="Z28" s="66">
        <v>0</v>
      </c>
      <c r="AA28" s="67">
        <v>0</v>
      </c>
      <c r="AB28" s="68">
        <v>0</v>
      </c>
      <c r="AC28" s="69">
        <v>0</v>
      </c>
      <c r="AD28" s="69">
        <v>12.767172406117137</v>
      </c>
      <c r="AE28" s="68">
        <v>12.501600016030718</v>
      </c>
      <c r="AF28" s="68">
        <v>0</v>
      </c>
      <c r="AG28" s="68">
        <v>1</v>
      </c>
      <c r="AH28" s="69">
        <v>259.97375123500825</v>
      </c>
      <c r="AI28" s="69">
        <v>575.76621273358671</v>
      </c>
      <c r="AJ28" s="69">
        <v>1146.7841881434122</v>
      </c>
      <c r="AK28" s="69">
        <v>793.04607200622559</v>
      </c>
      <c r="AL28" s="69">
        <v>1784.0611928304036</v>
      </c>
      <c r="AM28" s="69">
        <v>2183.6382186889646</v>
      </c>
      <c r="AN28" s="69">
        <v>481.9308093070984</v>
      </c>
      <c r="AO28" s="69">
        <v>1849.2816406249999</v>
      </c>
      <c r="AP28" s="69">
        <v>48.157336149613066</v>
      </c>
      <c r="AQ28" s="69">
        <v>677.32167879740405</v>
      </c>
    </row>
    <row r="29" spans="1:43" x14ac:dyDescent="0.25">
      <c r="A29" s="11">
        <v>41355</v>
      </c>
      <c r="B29" s="59"/>
      <c r="C29" s="60">
        <v>0</v>
      </c>
      <c r="D29" s="60">
        <v>0</v>
      </c>
      <c r="E29" s="60">
        <v>0.51588278760512707</v>
      </c>
      <c r="F29" s="60">
        <v>0</v>
      </c>
      <c r="G29" s="60">
        <v>0</v>
      </c>
      <c r="H29" s="61">
        <v>0</v>
      </c>
      <c r="I29" s="59">
        <v>212.19199260075919</v>
      </c>
      <c r="J29" s="60">
        <v>591.66857646306289</v>
      </c>
      <c r="K29" s="60">
        <v>18.119419977068898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321.14451654221932</v>
      </c>
      <c r="V29" s="62">
        <v>0</v>
      </c>
      <c r="W29" s="62">
        <v>28.297937667369826</v>
      </c>
      <c r="X29" s="62">
        <v>0</v>
      </c>
      <c r="Y29" s="66">
        <v>163.4539937734603</v>
      </c>
      <c r="Z29" s="66">
        <v>0</v>
      </c>
      <c r="AA29" s="67">
        <v>0</v>
      </c>
      <c r="AB29" s="68">
        <v>0</v>
      </c>
      <c r="AC29" s="69">
        <v>0</v>
      </c>
      <c r="AD29" s="69">
        <v>12.260944223403937</v>
      </c>
      <c r="AE29" s="68">
        <v>12.00702770864094</v>
      </c>
      <c r="AF29" s="68">
        <v>0</v>
      </c>
      <c r="AG29" s="68">
        <v>1</v>
      </c>
      <c r="AH29" s="69">
        <v>310.06117307345068</v>
      </c>
      <c r="AI29" s="69">
        <v>673.40357035001114</v>
      </c>
      <c r="AJ29" s="69">
        <v>1162.8173477808634</v>
      </c>
      <c r="AK29" s="69">
        <v>777.37867581049613</v>
      </c>
      <c r="AL29" s="69">
        <v>1876.5293716430663</v>
      </c>
      <c r="AM29" s="69">
        <v>2229.7633480072018</v>
      </c>
      <c r="AN29" s="69">
        <v>500.9590972105662</v>
      </c>
      <c r="AO29" s="69">
        <v>1764.3457308451336</v>
      </c>
      <c r="AP29" s="69">
        <v>76.156391336520514</v>
      </c>
      <c r="AQ29" s="69">
        <v>680.39838679631544</v>
      </c>
    </row>
    <row r="30" spans="1:43" x14ac:dyDescent="0.25">
      <c r="A30" s="11">
        <v>41356</v>
      </c>
      <c r="B30" s="59"/>
      <c r="C30" s="60">
        <v>0</v>
      </c>
      <c r="D30" s="60">
        <v>0</v>
      </c>
      <c r="E30" s="60">
        <v>0.51103467494249288</v>
      </c>
      <c r="F30" s="60">
        <v>0</v>
      </c>
      <c r="G30" s="60">
        <v>0</v>
      </c>
      <c r="H30" s="61">
        <v>0</v>
      </c>
      <c r="I30" s="59">
        <v>202.81309556961079</v>
      </c>
      <c r="J30" s="60">
        <v>565.56907866795711</v>
      </c>
      <c r="K30" s="60">
        <v>17.195797956983181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307.18698037465577</v>
      </c>
      <c r="V30" s="62">
        <v>0</v>
      </c>
      <c r="W30" s="62">
        <v>27.453805955251063</v>
      </c>
      <c r="X30" s="62">
        <v>0</v>
      </c>
      <c r="Y30" s="66">
        <v>147.81314732233687</v>
      </c>
      <c r="Z30" s="66">
        <v>0</v>
      </c>
      <c r="AA30" s="67">
        <v>0</v>
      </c>
      <c r="AB30" s="68">
        <v>0</v>
      </c>
      <c r="AC30" s="69">
        <v>0</v>
      </c>
      <c r="AD30" s="69">
        <v>11.726483447021915</v>
      </c>
      <c r="AE30" s="68">
        <v>11.476239086276431</v>
      </c>
      <c r="AF30" s="68">
        <v>0</v>
      </c>
      <c r="AG30" s="68">
        <v>1</v>
      </c>
      <c r="AH30" s="69">
        <v>362.97375596364344</v>
      </c>
      <c r="AI30" s="69">
        <v>776.17598406473792</v>
      </c>
      <c r="AJ30" s="69">
        <v>1170.9293560028075</v>
      </c>
      <c r="AK30" s="69">
        <v>778.81497081120801</v>
      </c>
      <c r="AL30" s="69">
        <v>1980.5874256134032</v>
      </c>
      <c r="AM30" s="69">
        <v>2332.540046691895</v>
      </c>
      <c r="AN30" s="69">
        <v>624.8053874333699</v>
      </c>
      <c r="AO30" s="69">
        <v>1715.0152623494466</v>
      </c>
      <c r="AP30" s="69">
        <v>132.73483628630638</v>
      </c>
      <c r="AQ30" s="69">
        <v>641.16808662414553</v>
      </c>
    </row>
    <row r="31" spans="1:43" x14ac:dyDescent="0.25">
      <c r="A31" s="11">
        <v>41357</v>
      </c>
      <c r="B31" s="59"/>
      <c r="C31" s="60">
        <v>0</v>
      </c>
      <c r="D31" s="60">
        <v>0</v>
      </c>
      <c r="E31" s="60">
        <v>0.50446087370316162</v>
      </c>
      <c r="F31" s="60">
        <v>0</v>
      </c>
      <c r="G31" s="60">
        <v>0</v>
      </c>
      <c r="H31" s="61">
        <v>0</v>
      </c>
      <c r="I31" s="59">
        <v>194.57483199437482</v>
      </c>
      <c r="J31" s="60">
        <v>542.86494035720739</v>
      </c>
      <c r="K31" s="60">
        <v>16.343396670619608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292.95158714718224</v>
      </c>
      <c r="V31" s="62">
        <v>0</v>
      </c>
      <c r="W31" s="62">
        <v>26.42110556761423</v>
      </c>
      <c r="X31" s="62">
        <v>0</v>
      </c>
      <c r="Y31" s="66">
        <v>139.45246950785321</v>
      </c>
      <c r="Z31" s="66">
        <v>0</v>
      </c>
      <c r="AA31" s="67">
        <v>0</v>
      </c>
      <c r="AB31" s="68">
        <v>0</v>
      </c>
      <c r="AC31" s="69">
        <v>0</v>
      </c>
      <c r="AD31" s="69">
        <v>11.235535335540762</v>
      </c>
      <c r="AE31" s="68">
        <v>10.999539988123392</v>
      </c>
      <c r="AF31" s="68">
        <v>0</v>
      </c>
      <c r="AG31" s="68">
        <v>1</v>
      </c>
      <c r="AH31" s="69">
        <v>357.78431205749519</v>
      </c>
      <c r="AI31" s="69">
        <v>757.92056407928476</v>
      </c>
      <c r="AJ31" s="69">
        <v>1157.8758907318115</v>
      </c>
      <c r="AK31" s="69">
        <v>757.82561082839982</v>
      </c>
      <c r="AL31" s="69">
        <v>1966.2102317810059</v>
      </c>
      <c r="AM31" s="69">
        <v>2341.0399091084796</v>
      </c>
      <c r="AN31" s="69">
        <v>672.91454242070529</v>
      </c>
      <c r="AO31" s="69">
        <v>1666.4526958465576</v>
      </c>
      <c r="AP31" s="69">
        <v>116.45952477653819</v>
      </c>
      <c r="AQ31" s="69">
        <v>641.73657684326167</v>
      </c>
    </row>
    <row r="32" spans="1:43" x14ac:dyDescent="0.25">
      <c r="A32" s="11">
        <v>41358</v>
      </c>
      <c r="B32" s="59"/>
      <c r="C32" s="60">
        <v>0</v>
      </c>
      <c r="D32" s="60">
        <v>0</v>
      </c>
      <c r="E32" s="60">
        <v>0.50754641244808862</v>
      </c>
      <c r="F32" s="60">
        <v>0</v>
      </c>
      <c r="G32" s="60">
        <v>0</v>
      </c>
      <c r="H32" s="61">
        <v>0</v>
      </c>
      <c r="I32" s="59">
        <v>207.02170898119627</v>
      </c>
      <c r="J32" s="60">
        <v>579.54731655120759</v>
      </c>
      <c r="K32" s="60">
        <v>17.111097033818542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303.68458099365421</v>
      </c>
      <c r="V32" s="62">
        <v>0</v>
      </c>
      <c r="W32" s="62">
        <v>27.12406822045644</v>
      </c>
      <c r="X32" s="62">
        <v>0</v>
      </c>
      <c r="Y32" s="66">
        <v>143.78816576798752</v>
      </c>
      <c r="Z32" s="66">
        <v>0</v>
      </c>
      <c r="AA32" s="67">
        <v>0</v>
      </c>
      <c r="AB32" s="68">
        <v>0</v>
      </c>
      <c r="AC32" s="69">
        <v>0</v>
      </c>
      <c r="AD32" s="69">
        <v>11.552355018258078</v>
      </c>
      <c r="AE32" s="68">
        <v>11.315087570797939</v>
      </c>
      <c r="AF32" s="68">
        <v>0</v>
      </c>
      <c r="AG32" s="68">
        <v>1</v>
      </c>
      <c r="AH32" s="69">
        <v>335.89097824096672</v>
      </c>
      <c r="AI32" s="69">
        <v>719.21306333541884</v>
      </c>
      <c r="AJ32" s="69">
        <v>1177.1191745758058</v>
      </c>
      <c r="AK32" s="69">
        <v>795.05877180099503</v>
      </c>
      <c r="AL32" s="69">
        <v>1939.7022069295249</v>
      </c>
      <c r="AM32" s="69">
        <v>2398.211393992106</v>
      </c>
      <c r="AN32" s="69">
        <v>646.98948453267406</v>
      </c>
      <c r="AO32" s="69">
        <v>1769.4897357940674</v>
      </c>
      <c r="AP32" s="69">
        <v>233.47075518170993</v>
      </c>
      <c r="AQ32" s="69">
        <v>698.23971853256239</v>
      </c>
    </row>
    <row r="33" spans="1:43" x14ac:dyDescent="0.25">
      <c r="A33" s="11">
        <v>41359</v>
      </c>
      <c r="B33" s="59"/>
      <c r="C33" s="60">
        <v>0</v>
      </c>
      <c r="D33" s="60">
        <v>0</v>
      </c>
      <c r="E33" s="60">
        <v>0.50828482458988866</v>
      </c>
      <c r="F33" s="60">
        <v>0</v>
      </c>
      <c r="G33" s="60">
        <v>0</v>
      </c>
      <c r="H33" s="61">
        <v>0</v>
      </c>
      <c r="I33" s="59">
        <v>253.19016745885205</v>
      </c>
      <c r="J33" s="60">
        <v>708.97188568115132</v>
      </c>
      <c r="K33" s="60">
        <v>18.769261358181655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330.23847128550148</v>
      </c>
      <c r="V33" s="62">
        <v>0</v>
      </c>
      <c r="W33" s="62">
        <v>29.334844370682987</v>
      </c>
      <c r="X33" s="62">
        <v>0</v>
      </c>
      <c r="Y33" s="66">
        <v>159.16699221928937</v>
      </c>
      <c r="Z33" s="66">
        <v>0</v>
      </c>
      <c r="AA33" s="67">
        <v>0</v>
      </c>
      <c r="AB33" s="68">
        <v>0</v>
      </c>
      <c r="AC33" s="69">
        <v>0</v>
      </c>
      <c r="AD33" s="69">
        <v>12.747348911894687</v>
      </c>
      <c r="AE33" s="68">
        <v>12.499792606483489</v>
      </c>
      <c r="AF33" s="68">
        <v>0</v>
      </c>
      <c r="AG33" s="68">
        <v>1</v>
      </c>
      <c r="AH33" s="69">
        <v>319.29111480712891</v>
      </c>
      <c r="AI33" s="69">
        <v>679.4916696866353</v>
      </c>
      <c r="AJ33" s="69">
        <v>1195.0851692199708</v>
      </c>
      <c r="AK33" s="69">
        <v>815.21277338663742</v>
      </c>
      <c r="AL33" s="69">
        <v>1906.700535837809</v>
      </c>
      <c r="AM33" s="69">
        <v>2355.0922350565588</v>
      </c>
      <c r="AN33" s="69">
        <v>612.23061412175491</v>
      </c>
      <c r="AO33" s="69">
        <v>1910.6950950622559</v>
      </c>
      <c r="AP33" s="69">
        <v>353.10163757205015</v>
      </c>
      <c r="AQ33" s="69">
        <v>710.76840060551956</v>
      </c>
    </row>
    <row r="34" spans="1:43" x14ac:dyDescent="0.25">
      <c r="A34" s="11">
        <v>41360</v>
      </c>
      <c r="B34" s="59"/>
      <c r="C34" s="60">
        <v>0</v>
      </c>
      <c r="D34" s="60">
        <v>0</v>
      </c>
      <c r="E34" s="60">
        <v>0.51104930539925908</v>
      </c>
      <c r="F34" s="60">
        <v>0</v>
      </c>
      <c r="G34" s="60">
        <v>0</v>
      </c>
      <c r="H34" s="61">
        <v>0</v>
      </c>
      <c r="I34" s="59">
        <v>280.3206762631736</v>
      </c>
      <c r="J34" s="60">
        <v>811.1460983594252</v>
      </c>
      <c r="K34" s="60">
        <v>19.172833264867482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330.91874050564081</v>
      </c>
      <c r="V34" s="62">
        <v>0</v>
      </c>
      <c r="W34" s="62">
        <v>29.351798129081747</v>
      </c>
      <c r="X34" s="62">
        <v>0</v>
      </c>
      <c r="Y34" s="66">
        <v>189.50014897982322</v>
      </c>
      <c r="Z34" s="66">
        <v>0</v>
      </c>
      <c r="AA34" s="67">
        <v>0</v>
      </c>
      <c r="AB34" s="68">
        <v>0</v>
      </c>
      <c r="AC34" s="69">
        <v>0</v>
      </c>
      <c r="AD34" s="69">
        <v>12.75115661289956</v>
      </c>
      <c r="AE34" s="68">
        <v>12.504980820509015</v>
      </c>
      <c r="AF34" s="68">
        <v>0</v>
      </c>
      <c r="AG34" s="68">
        <v>1</v>
      </c>
      <c r="AH34" s="69">
        <v>306.58562761942551</v>
      </c>
      <c r="AI34" s="69">
        <v>625.21692972183223</v>
      </c>
      <c r="AJ34" s="69">
        <v>1153.4742097218832</v>
      </c>
      <c r="AK34" s="69">
        <v>810.02750225067143</v>
      </c>
      <c r="AL34" s="69">
        <v>1820.3685190200808</v>
      </c>
      <c r="AM34" s="69">
        <v>2290.6814675649007</v>
      </c>
      <c r="AN34" s="69">
        <v>581.87335729598988</v>
      </c>
      <c r="AO34" s="69">
        <v>1934.8068660736085</v>
      </c>
      <c r="AP34" s="69">
        <v>371.21162470181781</v>
      </c>
      <c r="AQ34" s="69">
        <v>685.69549614588436</v>
      </c>
    </row>
    <row r="35" spans="1:43" x14ac:dyDescent="0.25">
      <c r="A35" s="11">
        <v>41361</v>
      </c>
      <c r="B35" s="59"/>
      <c r="C35" s="60">
        <v>0</v>
      </c>
      <c r="D35" s="60">
        <v>0</v>
      </c>
      <c r="E35" s="60">
        <v>0.51017896582682809</v>
      </c>
      <c r="F35" s="60">
        <v>0</v>
      </c>
      <c r="G35" s="60">
        <v>0</v>
      </c>
      <c r="H35" s="61">
        <v>0</v>
      </c>
      <c r="I35" s="59">
        <v>268.63898088137302</v>
      </c>
      <c r="J35" s="60">
        <v>790.50868377685572</v>
      </c>
      <c r="K35" s="60">
        <v>18.497868877649317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336.26694554222632</v>
      </c>
      <c r="V35" s="62">
        <v>0</v>
      </c>
      <c r="W35" s="62">
        <v>29.469067458311752</v>
      </c>
      <c r="X35" s="62">
        <v>0</v>
      </c>
      <c r="Y35" s="66">
        <v>210.27071276505808</v>
      </c>
      <c r="Z35" s="66">
        <v>0</v>
      </c>
      <c r="AA35" s="67">
        <v>0</v>
      </c>
      <c r="AB35" s="68">
        <v>0</v>
      </c>
      <c r="AC35" s="69">
        <v>0</v>
      </c>
      <c r="AD35" s="69">
        <v>12.483652776479698</v>
      </c>
      <c r="AE35" s="68">
        <v>12.353246101345691</v>
      </c>
      <c r="AF35" s="68">
        <v>0</v>
      </c>
      <c r="AG35" s="68">
        <v>1</v>
      </c>
      <c r="AH35" s="69">
        <v>290.67505651315059</v>
      </c>
      <c r="AI35" s="69">
        <v>587.09640534718835</v>
      </c>
      <c r="AJ35" s="69">
        <v>1094.0935903549196</v>
      </c>
      <c r="AK35" s="69">
        <v>809.40110740661612</v>
      </c>
      <c r="AL35" s="69">
        <v>1767.8602612177531</v>
      </c>
      <c r="AM35" s="69">
        <v>2232.7883964538573</v>
      </c>
      <c r="AN35" s="69">
        <v>564.43973404566452</v>
      </c>
      <c r="AO35" s="69">
        <v>1890.3529351552329</v>
      </c>
      <c r="AP35" s="69">
        <v>325.6239633083344</v>
      </c>
      <c r="AQ35" s="69">
        <v>737.45875873565672</v>
      </c>
    </row>
    <row r="36" spans="1:43" x14ac:dyDescent="0.25">
      <c r="A36" s="11">
        <v>41362</v>
      </c>
      <c r="B36" s="59"/>
      <c r="C36" s="60">
        <v>0</v>
      </c>
      <c r="D36" s="60">
        <v>0</v>
      </c>
      <c r="E36" s="60">
        <v>0.52470954010883919</v>
      </c>
      <c r="F36" s="60">
        <v>0</v>
      </c>
      <c r="G36" s="60">
        <v>0</v>
      </c>
      <c r="H36" s="61">
        <v>0</v>
      </c>
      <c r="I36" s="59">
        <v>248.47324007352157</v>
      </c>
      <c r="J36" s="60">
        <v>789.86720110575334</v>
      </c>
      <c r="K36" s="60">
        <v>18.547025498747857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339.60317281087134</v>
      </c>
      <c r="V36" s="62">
        <v>0</v>
      </c>
      <c r="W36" s="62">
        <v>29.881037012735998</v>
      </c>
      <c r="X36" s="62">
        <v>0</v>
      </c>
      <c r="Y36" s="66">
        <v>222.0837460199995</v>
      </c>
      <c r="Z36" s="66">
        <v>0</v>
      </c>
      <c r="AA36" s="67">
        <v>0</v>
      </c>
      <c r="AB36" s="68">
        <v>0</v>
      </c>
      <c r="AC36" s="69">
        <v>0</v>
      </c>
      <c r="AD36" s="69">
        <v>12.639403063721122</v>
      </c>
      <c r="AE36" s="68">
        <v>12.49922009130883</v>
      </c>
      <c r="AF36" s="68">
        <v>0</v>
      </c>
      <c r="AG36" s="68">
        <v>1</v>
      </c>
      <c r="AH36" s="69">
        <v>201.40032513141634</v>
      </c>
      <c r="AI36" s="69">
        <v>470.86343851089475</v>
      </c>
      <c r="AJ36" s="69">
        <v>1122.6878616968788</v>
      </c>
      <c r="AK36" s="69">
        <v>809.02200450897215</v>
      </c>
      <c r="AL36" s="69">
        <v>1729.7144216537472</v>
      </c>
      <c r="AM36" s="69">
        <v>2152.4566998799646</v>
      </c>
      <c r="AN36" s="69">
        <v>556.50951728820814</v>
      </c>
      <c r="AO36" s="69">
        <v>1920.6782184600829</v>
      </c>
      <c r="AP36" s="69">
        <v>331.1962690194448</v>
      </c>
      <c r="AQ36" s="69">
        <v>781.83716519673681</v>
      </c>
    </row>
    <row r="37" spans="1:43" x14ac:dyDescent="0.25">
      <c r="A37" s="11">
        <v>41363</v>
      </c>
      <c r="B37" s="59"/>
      <c r="C37" s="60">
        <v>0</v>
      </c>
      <c r="D37" s="60">
        <v>0</v>
      </c>
      <c r="E37" s="60">
        <v>0.52832302947839027</v>
      </c>
      <c r="F37" s="60">
        <v>0</v>
      </c>
      <c r="G37" s="60">
        <v>0</v>
      </c>
      <c r="H37" s="61">
        <v>0</v>
      </c>
      <c r="I37" s="59">
        <v>239.94809616406698</v>
      </c>
      <c r="J37" s="60">
        <v>765.59245249430376</v>
      </c>
      <c r="K37" s="60">
        <v>18.57943082253141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328.25644885169356</v>
      </c>
      <c r="V37" s="62">
        <v>0</v>
      </c>
      <c r="W37" s="62">
        <v>28.877632534503938</v>
      </c>
      <c r="X37" s="62">
        <v>0</v>
      </c>
      <c r="Y37" s="66">
        <v>216.42348885536239</v>
      </c>
      <c r="Z37" s="66">
        <v>0</v>
      </c>
      <c r="AA37" s="67">
        <v>0</v>
      </c>
      <c r="AB37" s="68">
        <v>0</v>
      </c>
      <c r="AC37" s="69">
        <v>0</v>
      </c>
      <c r="AD37" s="69">
        <v>12.245234193404503</v>
      </c>
      <c r="AE37" s="68">
        <v>12.108429438079144</v>
      </c>
      <c r="AF37" s="68">
        <v>0</v>
      </c>
      <c r="AG37" s="68">
        <v>1</v>
      </c>
      <c r="AH37" s="69">
        <v>225.58497523466747</v>
      </c>
      <c r="AI37" s="69">
        <v>490.16945829391477</v>
      </c>
      <c r="AJ37" s="69">
        <v>1143.5352487564087</v>
      </c>
      <c r="AK37" s="69">
        <v>815.07942714691171</v>
      </c>
      <c r="AL37" s="69">
        <v>1711.325503730774</v>
      </c>
      <c r="AM37" s="69">
        <v>2145.2848986307777</v>
      </c>
      <c r="AN37" s="69">
        <v>622.55112848281851</v>
      </c>
      <c r="AO37" s="69">
        <v>1899.9410071055097</v>
      </c>
      <c r="AP37" s="69">
        <v>345.01549107233689</v>
      </c>
      <c r="AQ37" s="69">
        <v>713.75022627512624</v>
      </c>
    </row>
    <row r="38" spans="1:43" ht="15.75" thickBot="1" x14ac:dyDescent="0.3">
      <c r="A38" s="11">
        <v>41364</v>
      </c>
      <c r="B38" s="73"/>
      <c r="C38" s="74">
        <v>0</v>
      </c>
      <c r="D38" s="74">
        <v>0</v>
      </c>
      <c r="E38" s="74">
        <v>0.52479520936807056</v>
      </c>
      <c r="F38" s="74">
        <v>0</v>
      </c>
      <c r="G38" s="74">
        <v>0</v>
      </c>
      <c r="H38" s="75">
        <v>0</v>
      </c>
      <c r="I38" s="76">
        <v>237.88792200088415</v>
      </c>
      <c r="J38" s="74">
        <v>758.94517609278307</v>
      </c>
      <c r="K38" s="74">
        <v>18.587492432196964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316.60049601660717</v>
      </c>
      <c r="V38" s="80">
        <v>0</v>
      </c>
      <c r="W38" s="81">
        <v>28.053881824016621</v>
      </c>
      <c r="X38" s="81">
        <v>0</v>
      </c>
      <c r="Y38" s="80">
        <v>210.30795400937399</v>
      </c>
      <c r="Z38" s="80">
        <v>0</v>
      </c>
      <c r="AA38" s="82">
        <v>0</v>
      </c>
      <c r="AB38" s="83">
        <v>0</v>
      </c>
      <c r="AC38" s="84">
        <v>0</v>
      </c>
      <c r="AD38" s="85">
        <v>11.89490512559812</v>
      </c>
      <c r="AE38" s="83">
        <v>11.876780780584895</v>
      </c>
      <c r="AF38" s="83">
        <v>0</v>
      </c>
      <c r="AG38" s="83">
        <v>1</v>
      </c>
      <c r="AH38" s="84">
        <v>229.43294239044189</v>
      </c>
      <c r="AI38" s="84">
        <v>496.4258176485697</v>
      </c>
      <c r="AJ38" s="84">
        <v>1154.9994124094646</v>
      </c>
      <c r="AK38" s="84">
        <v>812.07260363896683</v>
      </c>
      <c r="AL38" s="84">
        <v>1700.137381362915</v>
      </c>
      <c r="AM38" s="84">
        <v>2216.6103729248048</v>
      </c>
      <c r="AN38" s="84">
        <v>595.66212603251142</v>
      </c>
      <c r="AO38" s="84">
        <v>1877.2399865468344</v>
      </c>
      <c r="AP38" s="84">
        <v>353.25345943768821</v>
      </c>
      <c r="AQ38" s="84">
        <v>714.11547581354796</v>
      </c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15.93823724736769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6875.6073082923886</v>
      </c>
      <c r="J39" s="30">
        <f t="shared" si="0"/>
        <v>19276.822145366652</v>
      </c>
      <c r="K39" s="30">
        <f t="shared" si="0"/>
        <v>601.85292559365473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10195.261651908024</v>
      </c>
      <c r="V39" s="255">
        <f t="shared" si="0"/>
        <v>0</v>
      </c>
      <c r="W39" s="255">
        <f t="shared" si="0"/>
        <v>894.11310450633346</v>
      </c>
      <c r="X39" s="255">
        <f t="shared" si="0"/>
        <v>0</v>
      </c>
      <c r="Y39" s="255">
        <f t="shared" si="0"/>
        <v>5170.9563881238309</v>
      </c>
      <c r="Z39" s="255">
        <f t="shared" si="0"/>
        <v>0</v>
      </c>
      <c r="AA39" s="263">
        <f t="shared" si="0"/>
        <v>0</v>
      </c>
      <c r="AB39" s="266">
        <f t="shared" si="0"/>
        <v>0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Q39" si="1">SUM(AH8:AH38)</f>
        <v>8943.5087284564979</v>
      </c>
      <c r="AI39" s="266">
        <f t="shared" si="1"/>
        <v>19636.408880408606</v>
      </c>
      <c r="AJ39" s="266">
        <f t="shared" si="1"/>
        <v>35796.371586545312</v>
      </c>
      <c r="AK39" s="266">
        <f t="shared" si="1"/>
        <v>24950.342293643953</v>
      </c>
      <c r="AL39" s="266">
        <f t="shared" si="1"/>
        <v>56642.097029622419</v>
      </c>
      <c r="AM39" s="266">
        <f t="shared" si="1"/>
        <v>71093.753802490246</v>
      </c>
      <c r="AN39" s="266">
        <f t="shared" si="1"/>
        <v>16311.719879595439</v>
      </c>
      <c r="AO39" s="266">
        <f t="shared" si="1"/>
        <v>55514.620643870032</v>
      </c>
      <c r="AP39" s="266">
        <f t="shared" si="1"/>
        <v>8726.7920906722538</v>
      </c>
      <c r="AQ39" s="266">
        <f t="shared" si="1"/>
        <v>21774.31265039444</v>
      </c>
    </row>
    <row r="40" spans="1:43" ht="15.75" thickBot="1" x14ac:dyDescent="0.3">
      <c r="A40" s="47" t="s">
        <v>172</v>
      </c>
      <c r="B40" s="32">
        <f>Projection!$AA$30</f>
        <v>0.91139353199999984</v>
      </c>
      <c r="C40" s="33">
        <f>Projection!$AA$28</f>
        <v>1.4375491199999999</v>
      </c>
      <c r="D40" s="33">
        <f>Projection!$AA$31</f>
        <v>2.0999286000000001</v>
      </c>
      <c r="E40" s="33">
        <f>Projection!$AA$26</f>
        <v>3.8734129199999998</v>
      </c>
      <c r="F40" s="33">
        <f>Projection!$AA$23</f>
        <v>5.8379999999999994E-2</v>
      </c>
      <c r="G40" s="33">
        <f>Projection!$AA$24</f>
        <v>5.2999999999999999E-2</v>
      </c>
      <c r="H40" s="34">
        <f>Projection!$AA$29</f>
        <v>3.6371774160000006</v>
      </c>
      <c r="I40" s="32">
        <f>Projection!$AA$30</f>
        <v>0.91139353199999984</v>
      </c>
      <c r="J40" s="33">
        <f>Projection!$AA$28</f>
        <v>1.4375491199999999</v>
      </c>
      <c r="K40" s="33">
        <f>Projection!$AA$26</f>
        <v>3.8734129199999998</v>
      </c>
      <c r="L40" s="33">
        <f>Projection!$AA$25</f>
        <v>0.37613399999999997</v>
      </c>
      <c r="M40" s="33">
        <f>Projection!$AA$23</f>
        <v>5.8379999999999994E-2</v>
      </c>
      <c r="N40" s="34">
        <f>Projection!$AA$23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58">
        <f>Projection!$AA$28</f>
        <v>1.4375491199999999</v>
      </c>
      <c r="T40" s="259">
        <f>Projection!$AA$28</f>
        <v>1.4375491199999999</v>
      </c>
      <c r="U40" s="257">
        <f>Projection!$AA$27</f>
        <v>0.26250000000000001</v>
      </c>
      <c r="V40" s="258">
        <f>Projection!$AA$27</f>
        <v>0.26250000000000001</v>
      </c>
      <c r="W40" s="258">
        <f>Projection!$AA$22</f>
        <v>1.2186999999999999</v>
      </c>
      <c r="X40" s="258">
        <f>Projection!$AA$22</f>
        <v>1.2186999999999999</v>
      </c>
      <c r="Y40" s="258">
        <f>Projection!$AA$31</f>
        <v>2.0999286000000001</v>
      </c>
      <c r="Z40" s="258">
        <f>Projection!$AA$31</f>
        <v>2.0999286000000001</v>
      </c>
      <c r="AA40" s="264">
        <v>0</v>
      </c>
      <c r="AB40" s="267">
        <f>Projection!$AA$27</f>
        <v>0.26250000000000001</v>
      </c>
      <c r="AC40" s="267">
        <f>Projection!$AA$30</f>
        <v>0.91139353199999984</v>
      </c>
      <c r="AD40" s="270">
        <f>SUM(AD8:AD38)</f>
        <v>384.13766434474115</v>
      </c>
      <c r="AE40" s="270">
        <f>SUM(AE8:AE38)</f>
        <v>377.8822475871263</v>
      </c>
      <c r="AF40" s="270">
        <f>SUM(AF8:AF38)</f>
        <v>0</v>
      </c>
      <c r="AG40" s="270">
        <v>0.5</v>
      </c>
      <c r="AH40" s="306">
        <v>7.4999999999999997E-2</v>
      </c>
      <c r="AI40" s="306">
        <f t="shared" ref="AI40:AQ40" si="2">$AH$40</f>
        <v>7.4999999999999997E-2</v>
      </c>
      <c r="AJ40" s="306">
        <f t="shared" si="2"/>
        <v>7.4999999999999997E-2</v>
      </c>
      <c r="AK40" s="306">
        <f t="shared" si="2"/>
        <v>7.4999999999999997E-2</v>
      </c>
      <c r="AL40" s="306">
        <f t="shared" si="2"/>
        <v>7.4999999999999997E-2</v>
      </c>
      <c r="AM40" s="306">
        <f t="shared" si="2"/>
        <v>7.4999999999999997E-2</v>
      </c>
      <c r="AN40" s="306">
        <f t="shared" si="2"/>
        <v>7.4999999999999997E-2</v>
      </c>
      <c r="AO40" s="306">
        <f t="shared" si="2"/>
        <v>7.4999999999999997E-2</v>
      </c>
      <c r="AP40" s="306">
        <f t="shared" si="2"/>
        <v>7.4999999999999997E-2</v>
      </c>
      <c r="AQ40" s="306">
        <f t="shared" si="2"/>
        <v>7.4999999999999997E-2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61.735374075979244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6266.3840293496114</v>
      </c>
      <c r="J41" s="36">
        <f t="shared" si="3"/>
        <v>27711.37871146834</v>
      </c>
      <c r="K41" s="36">
        <f t="shared" si="3"/>
        <v>2331.2248979342608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0">
        <f t="shared" si="3"/>
        <v>0</v>
      </c>
      <c r="P41" s="261">
        <f t="shared" si="3"/>
        <v>0</v>
      </c>
      <c r="Q41" s="261">
        <f t="shared" si="3"/>
        <v>0</v>
      </c>
      <c r="R41" s="261">
        <f t="shared" si="3"/>
        <v>0</v>
      </c>
      <c r="S41" s="261">
        <f t="shared" si="3"/>
        <v>0</v>
      </c>
      <c r="T41" s="262">
        <f t="shared" si="3"/>
        <v>0</v>
      </c>
      <c r="U41" s="260">
        <f t="shared" si="3"/>
        <v>2676.2561836258565</v>
      </c>
      <c r="V41" s="261">
        <f t="shared" si="3"/>
        <v>0</v>
      </c>
      <c r="W41" s="261">
        <f t="shared" si="3"/>
        <v>1089.6556404618684</v>
      </c>
      <c r="X41" s="261">
        <f t="shared" si="3"/>
        <v>0</v>
      </c>
      <c r="Y41" s="261">
        <f t="shared" si="3"/>
        <v>10858.639208773933</v>
      </c>
      <c r="Z41" s="261">
        <f t="shared" si="3"/>
        <v>0</v>
      </c>
      <c r="AA41" s="265">
        <f t="shared" si="3"/>
        <v>0</v>
      </c>
      <c r="AB41" s="268">
        <f t="shared" si="3"/>
        <v>0</v>
      </c>
      <c r="AC41" s="268">
        <f t="shared" si="3"/>
        <v>0</v>
      </c>
      <c r="AH41" s="271">
        <f t="shared" ref="AH41:AQ41" si="4">AH40*AH39</f>
        <v>670.76315463423737</v>
      </c>
      <c r="AI41" s="271">
        <f t="shared" si="4"/>
        <v>1472.7306660306454</v>
      </c>
      <c r="AJ41" s="271">
        <f t="shared" si="4"/>
        <v>2684.7278689908985</v>
      </c>
      <c r="AK41" s="271">
        <f t="shared" si="4"/>
        <v>1871.2756720232965</v>
      </c>
      <c r="AL41" s="271">
        <f t="shared" si="4"/>
        <v>4248.1572772216814</v>
      </c>
      <c r="AM41" s="271">
        <f t="shared" si="4"/>
        <v>5332.0315351867685</v>
      </c>
      <c r="AN41" s="271">
        <f t="shared" si="4"/>
        <v>1223.3789909696579</v>
      </c>
      <c r="AO41" s="271">
        <f t="shared" si="4"/>
        <v>4163.596548290252</v>
      </c>
      <c r="AP41" s="271">
        <f t="shared" si="4"/>
        <v>654.50940680041901</v>
      </c>
      <c r="AQ41" s="271">
        <f t="shared" si="4"/>
        <v>1633.073448779583</v>
      </c>
    </row>
    <row r="42" spans="1:43" ht="49.5" customHeight="1" thickTop="1" thickBot="1" x14ac:dyDescent="0.3">
      <c r="A42" s="562" t="s">
        <v>231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1001.97</v>
      </c>
      <c r="AI42" s="271" t="s">
        <v>197</v>
      </c>
      <c r="AJ42" s="271">
        <v>2236.41</v>
      </c>
      <c r="AK42" s="271">
        <v>792.22</v>
      </c>
      <c r="AL42" s="271">
        <v>6239.4</v>
      </c>
      <c r="AM42" s="271">
        <v>792.22</v>
      </c>
      <c r="AN42" s="271">
        <v>1682.49</v>
      </c>
      <c r="AO42" s="271" t="s">
        <v>197</v>
      </c>
      <c r="AP42" s="271">
        <v>189.77</v>
      </c>
      <c r="AQ42" s="271">
        <v>594.64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24.75" thickTop="1" thickBot="1" x14ac:dyDescent="0.3">
      <c r="A44" s="275" t="s">
        <v>135</v>
      </c>
      <c r="B44" s="276">
        <f>SUM(B41:AC41)</f>
        <v>50995.274045689846</v>
      </c>
      <c r="C44" s="12"/>
      <c r="D44" s="275" t="s">
        <v>135</v>
      </c>
      <c r="E44" s="276">
        <f>SUM(B41:H41)+P41+R41+T41+V41+X41+Z41</f>
        <v>61.735374075979244</v>
      </c>
      <c r="F44" s="12"/>
      <c r="G44" s="275" t="s">
        <v>135</v>
      </c>
      <c r="H44" s="276">
        <f>SUM(I41:N41)+O41+Q41+S41+U41+W41+Y41</f>
        <v>50933.538671613875</v>
      </c>
      <c r="I44" s="12"/>
      <c r="J44" s="275" t="s">
        <v>198</v>
      </c>
      <c r="K44" s="276">
        <v>92465.93</v>
      </c>
      <c r="L44" s="12"/>
      <c r="M44" s="12"/>
      <c r="N44" s="12"/>
      <c r="O44" s="12"/>
      <c r="P44" s="12"/>
      <c r="Q44" s="12"/>
      <c r="R44" s="313" t="s">
        <v>135</v>
      </c>
      <c r="S44" s="314"/>
      <c r="T44" s="307" t="s">
        <v>167</v>
      </c>
      <c r="U44" s="248" t="s">
        <v>168</v>
      </c>
    </row>
    <row r="45" spans="1:43" ht="24" thickBot="1" x14ac:dyDescent="0.4">
      <c r="A45" s="277" t="s">
        <v>183</v>
      </c>
      <c r="B45" s="278">
        <f>SUM(AH41:AQ41)</f>
        <v>23954.244568927435</v>
      </c>
      <c r="C45" s="12"/>
      <c r="D45" s="277" t="s">
        <v>183</v>
      </c>
      <c r="E45" s="278">
        <f>AH41*(1-$AG$40)+AI41+AJ41*0.5+AL41+AM41*(1-$AG$40)+AN41*(1-$AG$40)+AO41*(1-$AG$40)+AP41*0.5+AQ41*0.5</f>
        <v>13901.928420078233</v>
      </c>
      <c r="F45" s="24"/>
      <c r="G45" s="277" t="s">
        <v>183</v>
      </c>
      <c r="H45" s="278">
        <f>AH41*AG40+AJ41*0.5+AK41+AM41*AG40+AN41*AG40+AO41*AG40+AP41*0.5+AQ41*0.5</f>
        <v>10052.316148849202</v>
      </c>
      <c r="I45" s="12"/>
      <c r="J45" s="12"/>
      <c r="K45" s="281"/>
      <c r="L45" s="12"/>
      <c r="M45" s="12"/>
      <c r="N45" s="12"/>
      <c r="O45" s="12"/>
      <c r="P45" s="12"/>
      <c r="Q45" s="12"/>
      <c r="R45" s="311" t="s">
        <v>141</v>
      </c>
      <c r="S45" s="312"/>
      <c r="T45" s="247">
        <f>$W$39+$X$39</f>
        <v>894.11310450633346</v>
      </c>
      <c r="U45" s="249">
        <f>(T45*8.34*0.895)/27000</f>
        <v>0.24718253503580093</v>
      </c>
    </row>
    <row r="46" spans="1:43" ht="32.25" thickBot="1" x14ac:dyDescent="0.3">
      <c r="A46" s="279" t="s">
        <v>184</v>
      </c>
      <c r="B46" s="280">
        <f>SUM(AH42:AQ42)</f>
        <v>13529.119999999999</v>
      </c>
      <c r="C46" s="12"/>
      <c r="D46" s="279" t="s">
        <v>184</v>
      </c>
      <c r="E46" s="280">
        <f>AH42*(1-$AG$40)+AJ42*0.5+AL42+AM42*(1-$AG$40)+AN42*(1-$AG$40)+AP42*0.5+AQ42*0.5</f>
        <v>9488.1500000000015</v>
      </c>
      <c r="F46" s="23"/>
      <c r="G46" s="279" t="s">
        <v>184</v>
      </c>
      <c r="H46" s="280">
        <f>AH42*AG40+AJ42*0.5+AK42+AM42*AG40+AN42*AG40+AP42*0.5+AQ42*0.5</f>
        <v>4040.9700000000003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311" t="s">
        <v>145</v>
      </c>
      <c r="S46" s="312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92465.93</v>
      </c>
      <c r="C47" s="12"/>
      <c r="D47" s="279" t="s">
        <v>187</v>
      </c>
      <c r="E47" s="280">
        <f>K44*0.5</f>
        <v>46232.964999999997</v>
      </c>
      <c r="F47" s="24"/>
      <c r="G47" s="279" t="s">
        <v>185</v>
      </c>
      <c r="H47" s="280">
        <f>K44*0.5</f>
        <v>46232.964999999997</v>
      </c>
      <c r="I47" s="12"/>
      <c r="J47" s="275" t="s">
        <v>198</v>
      </c>
      <c r="K47" s="276">
        <v>40192.14</v>
      </c>
      <c r="L47" s="12"/>
      <c r="M47" s="12"/>
      <c r="N47" s="12"/>
      <c r="O47" s="12"/>
      <c r="P47" s="12"/>
      <c r="Q47" s="12"/>
      <c r="R47" s="311" t="s">
        <v>148</v>
      </c>
      <c r="S47" s="312"/>
      <c r="T47" s="247">
        <f>$G$39</f>
        <v>0</v>
      </c>
      <c r="U47" s="249">
        <f>T47/40000</f>
        <v>0</v>
      </c>
    </row>
    <row r="48" spans="1:43" ht="24" thickBot="1" x14ac:dyDescent="0.3">
      <c r="A48" s="279" t="s">
        <v>186</v>
      </c>
      <c r="B48" s="280">
        <f>K47</f>
        <v>40192.14</v>
      </c>
      <c r="C48" s="12"/>
      <c r="D48" s="279" t="s">
        <v>186</v>
      </c>
      <c r="E48" s="280">
        <f>K47*0.5</f>
        <v>20096.07</v>
      </c>
      <c r="F48" s="23"/>
      <c r="G48" s="279" t="s">
        <v>186</v>
      </c>
      <c r="H48" s="280">
        <f>K47*0.5</f>
        <v>20096.07</v>
      </c>
      <c r="I48" s="12"/>
      <c r="J48" s="12"/>
      <c r="K48" s="86"/>
      <c r="L48" s="12"/>
      <c r="M48" s="12"/>
      <c r="N48" s="12"/>
      <c r="O48" s="12"/>
      <c r="P48" s="12"/>
      <c r="Q48" s="12"/>
      <c r="R48" s="311" t="s">
        <v>150</v>
      </c>
      <c r="S48" s="312"/>
      <c r="T48" s="247">
        <f>$L$39</f>
        <v>0</v>
      </c>
      <c r="U48" s="249">
        <f>T48*9.34*0.107</f>
        <v>0</v>
      </c>
    </row>
    <row r="49" spans="1:25" ht="48" thickTop="1" thickBot="1" x14ac:dyDescent="0.3">
      <c r="A49" s="284" t="s">
        <v>194</v>
      </c>
      <c r="B49" s="285">
        <f>AD40</f>
        <v>384.13766434474115</v>
      </c>
      <c r="C49" s="12"/>
      <c r="D49" s="284" t="s">
        <v>195</v>
      </c>
      <c r="E49" s="285">
        <f>AF40</f>
        <v>0</v>
      </c>
      <c r="F49" s="23"/>
      <c r="G49" s="284" t="s">
        <v>196</v>
      </c>
      <c r="H49" s="285">
        <f>AE40</f>
        <v>377.8822475871263</v>
      </c>
      <c r="I49" s="12"/>
      <c r="J49" s="12"/>
      <c r="K49" s="86"/>
      <c r="L49" s="12"/>
      <c r="M49" s="12"/>
      <c r="N49" s="12"/>
      <c r="O49" s="12"/>
      <c r="P49" s="12"/>
      <c r="Q49" s="12"/>
      <c r="R49" s="311" t="s">
        <v>152</v>
      </c>
      <c r="S49" s="312"/>
      <c r="T49" s="247">
        <f>$E$39+$K$39</f>
        <v>617.79116284102247</v>
      </c>
      <c r="U49" s="249">
        <f>(T49*8.34*1.04)/45000</f>
        <v>0.11907718733373095</v>
      </c>
    </row>
    <row r="50" spans="1:25" ht="48" thickTop="1" thickBot="1" x14ac:dyDescent="0.3">
      <c r="A50" s="284" t="s">
        <v>190</v>
      </c>
      <c r="B50" s="286">
        <f>(SUM(B44:B48)/AD40)</f>
        <v>575.67046697134072</v>
      </c>
      <c r="C50" s="12"/>
      <c r="D50" s="284" t="s">
        <v>188</v>
      </c>
      <c r="E50" s="286" t="e">
        <f>SUM(E44:E48)/AF40</f>
        <v>#DIV/0!</v>
      </c>
      <c r="F50" s="23"/>
      <c r="G50" s="284" t="s">
        <v>189</v>
      </c>
      <c r="H50" s="286">
        <f>SUM(H44:H48)/AE40</f>
        <v>347.61056032455468</v>
      </c>
      <c r="I50" s="12"/>
      <c r="J50" s="12"/>
      <c r="K50" s="86"/>
      <c r="L50" s="12"/>
      <c r="M50" s="12"/>
      <c r="N50" s="12"/>
      <c r="O50" s="12"/>
      <c r="P50" s="12"/>
      <c r="Q50" s="12"/>
      <c r="R50" s="311" t="s">
        <v>153</v>
      </c>
      <c r="S50" s="312"/>
      <c r="T50" s="247">
        <f>$U$39+$V$39+$AB$39</f>
        <v>10195.261651908024</v>
      </c>
      <c r="U50" s="249">
        <f>T50/2000/8</f>
        <v>0.63720385324425144</v>
      </c>
    </row>
    <row r="51" spans="1:25" ht="47.25" customHeight="1" thickTop="1" thickBot="1" x14ac:dyDescent="0.3">
      <c r="A51" s="274" t="s">
        <v>191</v>
      </c>
      <c r="B51" s="287">
        <f>B50/1000</f>
        <v>0.57567046697134072</v>
      </c>
      <c r="C51" s="12"/>
      <c r="D51" s="274" t="s">
        <v>192</v>
      </c>
      <c r="E51" s="287" t="e">
        <f>E50/1000</f>
        <v>#DIV/0!</v>
      </c>
      <c r="F51" s="12"/>
      <c r="G51" s="274" t="s">
        <v>193</v>
      </c>
      <c r="H51" s="287">
        <f>H50/1000</f>
        <v>0.34761056032455467</v>
      </c>
      <c r="I51" s="12"/>
      <c r="J51" s="12"/>
      <c r="K51" s="86"/>
      <c r="L51" s="12"/>
      <c r="M51" s="12"/>
      <c r="N51" s="12"/>
      <c r="O51" s="12"/>
      <c r="P51" s="12"/>
      <c r="Q51" s="12"/>
      <c r="R51" s="311" t="s">
        <v>154</v>
      </c>
      <c r="S51" s="312"/>
      <c r="T51" s="247">
        <f>$C$39+$J$39+$S$39+$T$39</f>
        <v>19276.822145366652</v>
      </c>
      <c r="U51" s="249">
        <f>(T51*8.34*1.4)/45000</f>
        <v>5.0016927859844671</v>
      </c>
    </row>
    <row r="52" spans="1:25" ht="16.5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1" t="s">
        <v>155</v>
      </c>
      <c r="S52" s="312"/>
      <c r="T52" s="247">
        <f>$H$39</f>
        <v>0</v>
      </c>
      <c r="U52" s="249">
        <f>(T52*8.34*1.135)/45000</f>
        <v>0</v>
      </c>
    </row>
    <row r="53" spans="1:25" ht="48" customHeight="1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1" t="s">
        <v>156</v>
      </c>
      <c r="S53" s="312"/>
      <c r="T53" s="247">
        <f>$B$39+$I$39+$AC$39</f>
        <v>6875.6073082923886</v>
      </c>
      <c r="U53" s="249">
        <f>(T53*8.34*1.029*0.03)/3300</f>
        <v>0.53641363031583733</v>
      </c>
    </row>
    <row r="54" spans="1:25" ht="45.75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54"/>
      <c r="T54" s="251">
        <f>$D$39+$Y$39+$Z$39</f>
        <v>5170.9563881238309</v>
      </c>
      <c r="U54" s="252">
        <f>(T54*1.54*8.34)/45000</f>
        <v>1.4758598992557164</v>
      </c>
    </row>
    <row r="55" spans="1:25" ht="24" thickTop="1" x14ac:dyDescent="0.25">
      <c r="A55" s="589"/>
      <c r="B55" s="58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5.75" customHeight="1" x14ac:dyDescent="0.25">
      <c r="A56" s="591"/>
      <c r="B56" s="59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7"/>
      <c r="B57" s="58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8"/>
      <c r="B58" s="58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7"/>
      <c r="B59" s="58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8"/>
      <c r="B60" s="588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topLeftCell="A34" zoomScale="75" zoomScaleNormal="75" workbookViewId="0">
      <selection activeCell="M45" sqref="M45"/>
    </sheetView>
  </sheetViews>
  <sheetFormatPr defaultRowHeight="15" x14ac:dyDescent="0.2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425781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  <c r="AT4" t="s">
        <v>169</v>
      </c>
      <c r="AU4" s="331" t="s">
        <v>207</v>
      </c>
    </row>
    <row r="5" spans="1:47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0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47" x14ac:dyDescent="0.25">
      <c r="A8" s="11">
        <v>41365</v>
      </c>
      <c r="B8" s="49"/>
      <c r="C8" s="50">
        <v>37.206905706723525</v>
      </c>
      <c r="D8" s="50">
        <v>657.22143226861931</v>
      </c>
      <c r="E8" s="50">
        <v>11.002809059619924</v>
      </c>
      <c r="F8" s="50">
        <v>0</v>
      </c>
      <c r="G8" s="50">
        <v>2174.3481817881284</v>
      </c>
      <c r="H8" s="51">
        <v>30.371624837319011</v>
      </c>
      <c r="I8" s="49">
        <v>218.13375159104663</v>
      </c>
      <c r="J8" s="50">
        <v>657.94999470710559</v>
      </c>
      <c r="K8" s="50">
        <v>16.669772746662307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302.35069714462776</v>
      </c>
      <c r="V8" s="54">
        <v>30.382760388891672</v>
      </c>
      <c r="W8" s="54">
        <v>24.984581741746435</v>
      </c>
      <c r="X8" s="54">
        <v>2.5106625109352674</v>
      </c>
      <c r="Y8" s="54">
        <v>180.15599910776467</v>
      </c>
      <c r="Z8" s="54">
        <v>18.103601563367036</v>
      </c>
      <c r="AA8" s="55">
        <v>0</v>
      </c>
      <c r="AB8" s="56">
        <v>0</v>
      </c>
      <c r="AC8" s="57">
        <v>0</v>
      </c>
      <c r="AD8" s="57">
        <v>11.916881797048781</v>
      </c>
      <c r="AE8" s="58">
        <v>10.634625146159051</v>
      </c>
      <c r="AF8" s="58">
        <v>1.0686572602373559</v>
      </c>
      <c r="AG8" s="58">
        <v>0.90868739015874012</v>
      </c>
      <c r="AH8" s="57">
        <v>243.35734097162882</v>
      </c>
      <c r="AI8" s="57">
        <v>668.39566580454516</v>
      </c>
      <c r="AJ8" s="57">
        <v>2206.2009470621742</v>
      </c>
      <c r="AK8" s="57">
        <v>816.1637394905091</v>
      </c>
      <c r="AL8" s="57">
        <v>2784.6650096893304</v>
      </c>
      <c r="AM8" s="57">
        <v>2556.1839661916097</v>
      </c>
      <c r="AN8" s="57">
        <v>602.32696577707918</v>
      </c>
      <c r="AO8" s="57">
        <v>2014.7230699539186</v>
      </c>
      <c r="AP8" s="57">
        <v>376.88263361056647</v>
      </c>
      <c r="AQ8" s="57">
        <v>664.28993933995571</v>
      </c>
    </row>
    <row r="9" spans="1:47" x14ac:dyDescent="0.25">
      <c r="A9" s="11">
        <v>41366</v>
      </c>
      <c r="B9" s="59"/>
      <c r="C9" s="60">
        <v>56.39497814178479</v>
      </c>
      <c r="D9" s="60">
        <v>991.40290082295553</v>
      </c>
      <c r="E9" s="60">
        <v>11.670496690769966</v>
      </c>
      <c r="F9" s="60">
        <v>0</v>
      </c>
      <c r="G9" s="60">
        <v>3398.6972096761115</v>
      </c>
      <c r="H9" s="61">
        <v>49.146882637341896</v>
      </c>
      <c r="I9" s="59">
        <v>165.67056384881334</v>
      </c>
      <c r="J9" s="60">
        <v>423.52392396926814</v>
      </c>
      <c r="K9" s="60">
        <v>12.213041157523808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225.62733399693687</v>
      </c>
      <c r="V9" s="62">
        <v>112.49968448654644</v>
      </c>
      <c r="W9" s="62">
        <v>19.541837065475057</v>
      </c>
      <c r="X9" s="62">
        <v>9.7437241543761228</v>
      </c>
      <c r="Y9" s="66">
        <v>87.755339940407097</v>
      </c>
      <c r="Z9" s="66">
        <v>43.755549828193487</v>
      </c>
      <c r="AA9" s="67">
        <v>0</v>
      </c>
      <c r="AB9" s="68">
        <v>0</v>
      </c>
      <c r="AC9" s="69">
        <v>0</v>
      </c>
      <c r="AD9" s="69">
        <v>12.035179212689391</v>
      </c>
      <c r="AE9" s="68">
        <v>7.9224540318773133</v>
      </c>
      <c r="AF9" s="68">
        <v>3.9502021459752119</v>
      </c>
      <c r="AG9" s="68">
        <v>0.66728572892189097</v>
      </c>
      <c r="AH9" s="69">
        <v>283.48642946879062</v>
      </c>
      <c r="AI9" s="69">
        <v>871.59070460001624</v>
      </c>
      <c r="AJ9" s="69">
        <v>2998.6608291625976</v>
      </c>
      <c r="AK9" s="69">
        <v>797.29774077733373</v>
      </c>
      <c r="AL9" s="69">
        <v>3922.9584294637034</v>
      </c>
      <c r="AM9" s="69">
        <v>3075.7917182922365</v>
      </c>
      <c r="AN9" s="69">
        <v>599.19267066319787</v>
      </c>
      <c r="AO9" s="69">
        <v>1809.6677680969237</v>
      </c>
      <c r="AP9" s="69">
        <v>383.35641605059305</v>
      </c>
      <c r="AQ9" s="69">
        <v>677.55556186040246</v>
      </c>
    </row>
    <row r="10" spans="1:47" x14ac:dyDescent="0.25">
      <c r="A10" s="11">
        <v>41367</v>
      </c>
      <c r="B10" s="59"/>
      <c r="C10" s="60">
        <v>57.155307805538158</v>
      </c>
      <c r="D10" s="60">
        <v>1004.9022930781041</v>
      </c>
      <c r="E10" s="60">
        <v>12.198482113083223</v>
      </c>
      <c r="F10" s="60">
        <v>0</v>
      </c>
      <c r="G10" s="60">
        <v>3418.0616757710745</v>
      </c>
      <c r="H10" s="61">
        <v>50.72762469450636</v>
      </c>
      <c r="I10" s="59">
        <v>159.8403136173884</v>
      </c>
      <c r="J10" s="60">
        <v>408.29825477600116</v>
      </c>
      <c r="K10" s="60">
        <v>11.710817625125246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220.71250070567365</v>
      </c>
      <c r="V10" s="62">
        <v>110.3750295258009</v>
      </c>
      <c r="W10" s="62">
        <v>19.142839835104741</v>
      </c>
      <c r="X10" s="62">
        <v>9.5730486730561939</v>
      </c>
      <c r="Y10" s="66">
        <v>76.112812602538099</v>
      </c>
      <c r="Z10" s="66">
        <v>38.062882308147117</v>
      </c>
      <c r="AA10" s="67">
        <v>0</v>
      </c>
      <c r="AB10" s="68">
        <v>0</v>
      </c>
      <c r="AC10" s="69">
        <v>0</v>
      </c>
      <c r="AD10" s="69">
        <v>12.007733707957811</v>
      </c>
      <c r="AE10" s="68">
        <v>7.8961599928665596</v>
      </c>
      <c r="AF10" s="68">
        <v>3.9487518358342388</v>
      </c>
      <c r="AG10" s="68">
        <v>0.66662885355835066</v>
      </c>
      <c r="AH10" s="69">
        <v>278.51007965405779</v>
      </c>
      <c r="AI10" s="69">
        <v>831.68592599233</v>
      </c>
      <c r="AJ10" s="69">
        <v>3024.5520503997795</v>
      </c>
      <c r="AK10" s="69">
        <v>792.57959782282501</v>
      </c>
      <c r="AL10" s="69">
        <v>3892.1925855000813</v>
      </c>
      <c r="AM10" s="69">
        <v>2865.742317199707</v>
      </c>
      <c r="AN10" s="69">
        <v>587.68130544026701</v>
      </c>
      <c r="AO10" s="69">
        <v>2078.5534067789713</v>
      </c>
      <c r="AP10" s="69">
        <v>393.65283339818319</v>
      </c>
      <c r="AQ10" s="69">
        <v>686.15944541295369</v>
      </c>
    </row>
    <row r="11" spans="1:47" x14ac:dyDescent="0.25">
      <c r="A11" s="11">
        <v>41368</v>
      </c>
      <c r="B11" s="59"/>
      <c r="C11" s="60">
        <v>56.746586434046463</v>
      </c>
      <c r="D11" s="60">
        <v>1004.9034942626949</v>
      </c>
      <c r="E11" s="60">
        <v>11.686589803795021</v>
      </c>
      <c r="F11" s="60">
        <v>0</v>
      </c>
      <c r="G11" s="60">
        <v>3186.9496231079024</v>
      </c>
      <c r="H11" s="61">
        <v>50.715638931592494</v>
      </c>
      <c r="I11" s="59">
        <v>159.70020974477143</v>
      </c>
      <c r="J11" s="60">
        <v>408.2018564860021</v>
      </c>
      <c r="K11" s="60">
        <v>11.738385876019777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223.88574798340639</v>
      </c>
      <c r="V11" s="62">
        <v>111.96445444986337</v>
      </c>
      <c r="W11" s="62">
        <v>19.27811702039714</v>
      </c>
      <c r="X11" s="62">
        <v>9.6409167374484639</v>
      </c>
      <c r="Y11" s="66">
        <v>67.584375584254772</v>
      </c>
      <c r="Z11" s="66">
        <v>33.798702283570968</v>
      </c>
      <c r="AA11" s="67">
        <v>0</v>
      </c>
      <c r="AB11" s="68">
        <v>0</v>
      </c>
      <c r="AC11" s="69">
        <v>0</v>
      </c>
      <c r="AD11" s="69">
        <v>12.161200791597379</v>
      </c>
      <c r="AE11" s="68">
        <v>7.9991659095911896</v>
      </c>
      <c r="AF11" s="68">
        <v>4.0003539983603735</v>
      </c>
      <c r="AG11" s="68">
        <v>0.66662382919924057</v>
      </c>
      <c r="AH11" s="69">
        <v>260.73659256299339</v>
      </c>
      <c r="AI11" s="69">
        <v>768.47973362604773</v>
      </c>
      <c r="AJ11" s="69">
        <v>3072.9878323872881</v>
      </c>
      <c r="AK11" s="69">
        <v>788.77831077575684</v>
      </c>
      <c r="AL11" s="69">
        <v>3779.5601847330727</v>
      </c>
      <c r="AM11" s="69">
        <v>2913.2901086171469</v>
      </c>
      <c r="AN11" s="69">
        <v>659.07945928573611</v>
      </c>
      <c r="AO11" s="69">
        <v>1781.2654085795082</v>
      </c>
      <c r="AP11" s="69">
        <v>411.36883772214259</v>
      </c>
      <c r="AQ11" s="69">
        <v>778.83714685440066</v>
      </c>
    </row>
    <row r="12" spans="1:47" x14ac:dyDescent="0.25">
      <c r="A12" s="11">
        <v>41369</v>
      </c>
      <c r="B12" s="59"/>
      <c r="C12" s="60">
        <v>56.632583483060309</v>
      </c>
      <c r="D12" s="60">
        <v>1000.3024158477788</v>
      </c>
      <c r="E12" s="60">
        <v>11.55498852084084</v>
      </c>
      <c r="F12" s="60">
        <v>0</v>
      </c>
      <c r="G12" s="60">
        <v>3170.4997996012357</v>
      </c>
      <c r="H12" s="61">
        <v>50.464532824357427</v>
      </c>
      <c r="I12" s="59">
        <v>141.30026983420038</v>
      </c>
      <c r="J12" s="60">
        <v>361.83598125775706</v>
      </c>
      <c r="K12" s="60">
        <v>10.318259795010089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189.28868258104706</v>
      </c>
      <c r="V12" s="62">
        <v>113.33724376520479</v>
      </c>
      <c r="W12" s="62">
        <v>15.824854930901726</v>
      </c>
      <c r="X12" s="62">
        <v>9.4751858188070806</v>
      </c>
      <c r="Y12" s="66">
        <v>45.287702803778885</v>
      </c>
      <c r="Z12" s="66">
        <v>27.116166388026659</v>
      </c>
      <c r="AA12" s="67">
        <v>0</v>
      </c>
      <c r="AB12" s="68">
        <v>0</v>
      </c>
      <c r="AC12" s="69">
        <v>0</v>
      </c>
      <c r="AD12" s="69">
        <v>10.742480604516127</v>
      </c>
      <c r="AE12" s="68">
        <v>6.5866230482023305</v>
      </c>
      <c r="AF12" s="68">
        <v>3.9437629964168268</v>
      </c>
      <c r="AG12" s="68">
        <v>0.62548732974210186</v>
      </c>
      <c r="AH12" s="69">
        <v>243.38223336537675</v>
      </c>
      <c r="AI12" s="69">
        <v>745.58683169682831</v>
      </c>
      <c r="AJ12" s="69">
        <v>3073.5423820495598</v>
      </c>
      <c r="AK12" s="69">
        <v>789.28730618158977</v>
      </c>
      <c r="AL12" s="69">
        <v>3773.0203486124674</v>
      </c>
      <c r="AM12" s="69">
        <v>2978.3856491088873</v>
      </c>
      <c r="AN12" s="69">
        <v>640.77798083623247</v>
      </c>
      <c r="AO12" s="69">
        <v>1718.1876529693604</v>
      </c>
      <c r="AP12" s="69">
        <v>405.85599457422904</v>
      </c>
      <c r="AQ12" s="69">
        <v>855.66919412612913</v>
      </c>
    </row>
    <row r="13" spans="1:47" x14ac:dyDescent="0.25">
      <c r="A13" s="11">
        <v>41370</v>
      </c>
      <c r="B13" s="59"/>
      <c r="C13" s="60">
        <v>56.622702976067984</v>
      </c>
      <c r="D13" s="60">
        <v>996.88925107320176</v>
      </c>
      <c r="E13" s="60">
        <v>11.571893004079683</v>
      </c>
      <c r="F13" s="60">
        <v>0</v>
      </c>
      <c r="G13" s="60">
        <v>3169.5011250813704</v>
      </c>
      <c r="H13" s="61">
        <v>50.276278253396342</v>
      </c>
      <c r="I13" s="59">
        <v>123.01779019037883</v>
      </c>
      <c r="J13" s="60">
        <v>314.18783100446086</v>
      </c>
      <c r="K13" s="60">
        <v>8.6512258226672767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181.31549812069488</v>
      </c>
      <c r="V13" s="62">
        <v>120.87047017238932</v>
      </c>
      <c r="W13" s="62">
        <v>15.294798026231131</v>
      </c>
      <c r="X13" s="62">
        <v>10.19598130211509</v>
      </c>
      <c r="Y13" s="66">
        <v>40.55602580496052</v>
      </c>
      <c r="Z13" s="66">
        <v>27.035890247539889</v>
      </c>
      <c r="AA13" s="67">
        <v>0</v>
      </c>
      <c r="AB13" s="68">
        <v>0</v>
      </c>
      <c r="AC13" s="69">
        <v>0</v>
      </c>
      <c r="AD13" s="69">
        <v>10.263326497541525</v>
      </c>
      <c r="AE13" s="68">
        <v>5.9995407939010601</v>
      </c>
      <c r="AF13" s="68">
        <v>3.9994778388692094</v>
      </c>
      <c r="AG13" s="68">
        <v>0.60001296269600635</v>
      </c>
      <c r="AH13" s="69">
        <v>248.85371929804478</v>
      </c>
      <c r="AI13" s="69">
        <v>751.28722915649416</v>
      </c>
      <c r="AJ13" s="69">
        <v>3069.5520366668702</v>
      </c>
      <c r="AK13" s="69">
        <v>784.16081740061429</v>
      </c>
      <c r="AL13" s="69">
        <v>3824.3028048197434</v>
      </c>
      <c r="AM13" s="69">
        <v>2943.9007027943926</v>
      </c>
      <c r="AN13" s="69">
        <v>653.19457947413127</v>
      </c>
      <c r="AO13" s="69">
        <v>1683.9263865152998</v>
      </c>
      <c r="AP13" s="69">
        <v>417.19628543853759</v>
      </c>
      <c r="AQ13" s="69">
        <v>665.5375197410583</v>
      </c>
    </row>
    <row r="14" spans="1:47" x14ac:dyDescent="0.25">
      <c r="A14" s="11">
        <v>41371</v>
      </c>
      <c r="B14" s="59"/>
      <c r="C14" s="60">
        <v>57.362484947840485</v>
      </c>
      <c r="D14" s="60">
        <v>1020.6232012430847</v>
      </c>
      <c r="E14" s="60">
        <v>11.577026079098392</v>
      </c>
      <c r="F14" s="60">
        <v>0</v>
      </c>
      <c r="G14" s="60">
        <v>3184.0380249023433</v>
      </c>
      <c r="H14" s="61">
        <v>50.401359645525737</v>
      </c>
      <c r="I14" s="59">
        <v>126.088812557856</v>
      </c>
      <c r="J14" s="60">
        <v>318.14894762039177</v>
      </c>
      <c r="K14" s="60">
        <v>8.8163383528590327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181.92793495929504</v>
      </c>
      <c r="V14" s="62">
        <v>119.67302767956016</v>
      </c>
      <c r="W14" s="62">
        <v>15.365922171334283</v>
      </c>
      <c r="X14" s="62">
        <v>10.10777388169382</v>
      </c>
      <c r="Y14" s="66">
        <v>40.911546799280508</v>
      </c>
      <c r="Z14" s="66">
        <v>26.911802597107261</v>
      </c>
      <c r="AA14" s="67">
        <v>0</v>
      </c>
      <c r="AB14" s="68">
        <v>0</v>
      </c>
      <c r="AC14" s="69">
        <v>0</v>
      </c>
      <c r="AD14" s="69">
        <v>10.336906605296678</v>
      </c>
      <c r="AE14" s="68">
        <v>6.0805740365876169</v>
      </c>
      <c r="AF14" s="68">
        <v>3.9998294113049639</v>
      </c>
      <c r="AG14" s="68">
        <v>0.60320740811805784</v>
      </c>
      <c r="AH14" s="69">
        <v>251.97464623451231</v>
      </c>
      <c r="AI14" s="69">
        <v>749.79260152180984</v>
      </c>
      <c r="AJ14" s="69">
        <v>3077.102709452311</v>
      </c>
      <c r="AK14" s="69">
        <v>787.13108587265026</v>
      </c>
      <c r="AL14" s="69">
        <v>3837.4413144429527</v>
      </c>
      <c r="AM14" s="69">
        <v>2961.8976557413739</v>
      </c>
      <c r="AN14" s="69">
        <v>660.31700286865248</v>
      </c>
      <c r="AO14" s="69">
        <v>1661.7097785313922</v>
      </c>
      <c r="AP14" s="69">
        <v>413.59860728581748</v>
      </c>
      <c r="AQ14" s="69">
        <v>665.02256832122794</v>
      </c>
    </row>
    <row r="15" spans="1:47" x14ac:dyDescent="0.25">
      <c r="A15" s="11">
        <v>41372</v>
      </c>
      <c r="B15" s="59"/>
      <c r="C15" s="60">
        <v>57.246911195914038</v>
      </c>
      <c r="D15" s="60">
        <v>1058.1834523518876</v>
      </c>
      <c r="E15" s="60">
        <v>11.730235074957216</v>
      </c>
      <c r="F15" s="60">
        <v>0</v>
      </c>
      <c r="G15" s="60">
        <v>3309.7405784606831</v>
      </c>
      <c r="H15" s="61">
        <v>50.73192272186288</v>
      </c>
      <c r="I15" s="59">
        <v>159.64016960064549</v>
      </c>
      <c r="J15" s="60">
        <v>378.0377845128379</v>
      </c>
      <c r="K15" s="60">
        <v>11.085763964553689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208.43548154190324</v>
      </c>
      <c r="V15" s="62">
        <v>118.59443354717168</v>
      </c>
      <c r="W15" s="62">
        <v>17.437763650539964</v>
      </c>
      <c r="X15" s="62">
        <v>9.9216394788787365</v>
      </c>
      <c r="Y15" s="66">
        <v>46.776237433603889</v>
      </c>
      <c r="Z15" s="66">
        <v>26.61447725151837</v>
      </c>
      <c r="AA15" s="67">
        <v>0</v>
      </c>
      <c r="AB15" s="68">
        <v>0</v>
      </c>
      <c r="AC15" s="69">
        <v>0</v>
      </c>
      <c r="AD15" s="69">
        <v>11.134302424722225</v>
      </c>
      <c r="AE15" s="68">
        <v>6.9344801754658594</v>
      </c>
      <c r="AF15" s="68">
        <v>3.9455410483369846</v>
      </c>
      <c r="AG15" s="68">
        <v>0.63735906693774647</v>
      </c>
      <c r="AH15" s="69">
        <v>259.88721666336056</v>
      </c>
      <c r="AI15" s="69">
        <v>764.04875348409018</v>
      </c>
      <c r="AJ15" s="69">
        <v>3068.8223948160808</v>
      </c>
      <c r="AK15" s="69">
        <v>785.76434275309248</v>
      </c>
      <c r="AL15" s="69">
        <v>3986.2472979227714</v>
      </c>
      <c r="AM15" s="69">
        <v>2789.2740239461259</v>
      </c>
      <c r="AN15" s="69">
        <v>657.24410355885811</v>
      </c>
      <c r="AO15" s="69">
        <v>1711.9183577855431</v>
      </c>
      <c r="AP15" s="69">
        <v>410.75066011746719</v>
      </c>
      <c r="AQ15" s="69">
        <v>772.57636947631852</v>
      </c>
    </row>
    <row r="16" spans="1:47" x14ac:dyDescent="0.25">
      <c r="A16" s="11">
        <v>41373</v>
      </c>
      <c r="B16" s="59"/>
      <c r="C16" s="60">
        <v>57.015726383527195</v>
      </c>
      <c r="D16" s="60">
        <v>1053.2583206812542</v>
      </c>
      <c r="E16" s="60">
        <v>11.676628599564248</v>
      </c>
      <c r="F16" s="60">
        <v>0</v>
      </c>
      <c r="G16" s="60">
        <v>3313.7452135721887</v>
      </c>
      <c r="H16" s="61">
        <v>50.46770800550793</v>
      </c>
      <c r="I16" s="59">
        <v>182.82469296058042</v>
      </c>
      <c r="J16" s="60">
        <v>358.20566487312323</v>
      </c>
      <c r="K16" s="60">
        <v>10.229369285205996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198.68307279354681</v>
      </c>
      <c r="V16" s="62">
        <v>113.5358713745442</v>
      </c>
      <c r="W16" s="62">
        <v>17.471975205027221</v>
      </c>
      <c r="X16" s="62">
        <v>9.9842221163876932</v>
      </c>
      <c r="Y16" s="66">
        <v>46.730339298727316</v>
      </c>
      <c r="Z16" s="66">
        <v>26.703682992773992</v>
      </c>
      <c r="AA16" s="67">
        <v>0</v>
      </c>
      <c r="AB16" s="68">
        <v>0</v>
      </c>
      <c r="AC16" s="69">
        <v>0</v>
      </c>
      <c r="AD16" s="69">
        <v>11.142396147383597</v>
      </c>
      <c r="AE16" s="68">
        <v>7.0002498013563565</v>
      </c>
      <c r="AF16" s="68">
        <v>4.000237412586908</v>
      </c>
      <c r="AG16" s="68">
        <v>0.63635815988981348</v>
      </c>
      <c r="AH16" s="69">
        <v>345.203663333257</v>
      </c>
      <c r="AI16" s="69">
        <v>1008.1704202651978</v>
      </c>
      <c r="AJ16" s="69">
        <v>3138.2371180216469</v>
      </c>
      <c r="AK16" s="69">
        <v>822.23135814666762</v>
      </c>
      <c r="AL16" s="69">
        <v>4304.6618464152016</v>
      </c>
      <c r="AM16" s="69">
        <v>2934.3979527791339</v>
      </c>
      <c r="AN16" s="69">
        <v>684.97686945597331</v>
      </c>
      <c r="AO16" s="69">
        <v>1647.1625090281168</v>
      </c>
      <c r="AP16" s="69">
        <v>489.42231017748503</v>
      </c>
      <c r="AQ16" s="69">
        <v>678.43495025634752</v>
      </c>
    </row>
    <row r="17" spans="1:43" x14ac:dyDescent="0.25">
      <c r="A17" s="11">
        <v>41374</v>
      </c>
      <c r="B17" s="49"/>
      <c r="C17" s="50">
        <v>57.436716290315154</v>
      </c>
      <c r="D17" s="50">
        <v>1059.9803733189929</v>
      </c>
      <c r="E17" s="50">
        <v>11.438640152414647</v>
      </c>
      <c r="F17" s="50">
        <v>0</v>
      </c>
      <c r="G17" s="50">
        <v>3379.0782162984178</v>
      </c>
      <c r="H17" s="51">
        <v>50.782184167703051</v>
      </c>
      <c r="I17" s="49">
        <v>185.31437779267603</v>
      </c>
      <c r="J17" s="50">
        <v>357.98740057945258</v>
      </c>
      <c r="K17" s="50">
        <v>10.076445639133448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196.14059011604871</v>
      </c>
      <c r="V17" s="66">
        <v>112.09845865104154</v>
      </c>
      <c r="W17" s="62">
        <v>17.33737365365668</v>
      </c>
      <c r="X17" s="62">
        <v>9.9086724603112586</v>
      </c>
      <c r="Y17" s="66">
        <v>45.290104337494114</v>
      </c>
      <c r="Z17" s="66">
        <v>25.884243977109012</v>
      </c>
      <c r="AA17" s="67">
        <v>0</v>
      </c>
      <c r="AB17" s="68">
        <v>0</v>
      </c>
      <c r="AC17" s="69">
        <v>0</v>
      </c>
      <c r="AD17" s="69">
        <v>11.130941049257894</v>
      </c>
      <c r="AE17" s="68">
        <v>6.9983144330455387</v>
      </c>
      <c r="AF17" s="68">
        <v>3.9996833936085556</v>
      </c>
      <c r="AG17" s="68">
        <v>0.63632622440466746</v>
      </c>
      <c r="AH17" s="69">
        <v>347.7727149486542</v>
      </c>
      <c r="AI17" s="69">
        <v>1005.0954284985861</v>
      </c>
      <c r="AJ17" s="69">
        <v>3142.1743465423583</v>
      </c>
      <c r="AK17" s="69">
        <v>735.15294402440395</v>
      </c>
      <c r="AL17" s="69">
        <v>4358.3618278503418</v>
      </c>
      <c r="AM17" s="69">
        <v>2993.7738507588701</v>
      </c>
      <c r="AN17" s="69">
        <v>719.77681357065842</v>
      </c>
      <c r="AO17" s="69">
        <v>1655.7654352823893</v>
      </c>
      <c r="AP17" s="69">
        <v>490.81388430595399</v>
      </c>
      <c r="AQ17" s="69">
        <v>704.42822573979674</v>
      </c>
    </row>
    <row r="18" spans="1:43" x14ac:dyDescent="0.25">
      <c r="A18" s="11">
        <v>41375</v>
      </c>
      <c r="B18" s="59"/>
      <c r="C18" s="60">
        <v>57.069410057862804</v>
      </c>
      <c r="D18" s="60">
        <v>1059.575264930726</v>
      </c>
      <c r="E18" s="60">
        <v>11.424052361150554</v>
      </c>
      <c r="F18" s="60">
        <v>0</v>
      </c>
      <c r="G18" s="60">
        <v>3350.9609476725313</v>
      </c>
      <c r="H18" s="61">
        <v>50.773373444875112</v>
      </c>
      <c r="I18" s="59">
        <v>156.24098465442694</v>
      </c>
      <c r="J18" s="60">
        <v>357.64170643488552</v>
      </c>
      <c r="K18" s="60">
        <v>10.114920526742926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194.51239179420065</v>
      </c>
      <c r="V18" s="62">
        <v>108.88826510726193</v>
      </c>
      <c r="W18" s="62">
        <v>16.503361423518754</v>
      </c>
      <c r="X18" s="62">
        <v>9.2386010848417701</v>
      </c>
      <c r="Y18" s="66">
        <v>44.412230954916495</v>
      </c>
      <c r="Z18" s="66">
        <v>24.862018988180864</v>
      </c>
      <c r="AA18" s="67">
        <v>0</v>
      </c>
      <c r="AB18" s="68">
        <v>0</v>
      </c>
      <c r="AC18" s="69">
        <v>0</v>
      </c>
      <c r="AD18" s="69">
        <v>10.902807015180592</v>
      </c>
      <c r="AE18" s="68">
        <v>6.9016401890113173</v>
      </c>
      <c r="AF18" s="68">
        <v>3.8635462740652171</v>
      </c>
      <c r="AG18" s="68">
        <v>0.64110735217482973</v>
      </c>
      <c r="AH18" s="69">
        <v>312.52339337666831</v>
      </c>
      <c r="AI18" s="69">
        <v>891.86044801076252</v>
      </c>
      <c r="AJ18" s="69">
        <v>3093.008765920003</v>
      </c>
      <c r="AK18" s="69">
        <v>692.12843468983976</v>
      </c>
      <c r="AL18" s="69">
        <v>4299.6287780761722</v>
      </c>
      <c r="AM18" s="69">
        <v>2957.2294520060218</v>
      </c>
      <c r="AN18" s="69">
        <v>654.27469456990548</v>
      </c>
      <c r="AO18" s="69">
        <v>1656.0052327473959</v>
      </c>
      <c r="AP18" s="69">
        <v>453.10067900021863</v>
      </c>
      <c r="AQ18" s="69">
        <v>659.76318918863922</v>
      </c>
    </row>
    <row r="19" spans="1:43" x14ac:dyDescent="0.25">
      <c r="A19" s="11">
        <v>41376</v>
      </c>
      <c r="B19" s="59"/>
      <c r="C19" s="60">
        <v>57.303485409418833</v>
      </c>
      <c r="D19" s="60">
        <v>1055.426639493307</v>
      </c>
      <c r="E19" s="60">
        <v>12.103565011918519</v>
      </c>
      <c r="F19" s="60">
        <v>0</v>
      </c>
      <c r="G19" s="60">
        <v>3344.2173113504973</v>
      </c>
      <c r="H19" s="61">
        <v>50.593572636445508</v>
      </c>
      <c r="I19" s="59">
        <v>160.25868637561791</v>
      </c>
      <c r="J19" s="60">
        <v>378.24560273488351</v>
      </c>
      <c r="K19" s="60">
        <v>10.854776132106776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199.86510205520599</v>
      </c>
      <c r="V19" s="62">
        <v>113.58285726189455</v>
      </c>
      <c r="W19" s="62">
        <v>17.046859435133875</v>
      </c>
      <c r="X19" s="62">
        <v>9.6876892567746662</v>
      </c>
      <c r="Y19" s="66">
        <v>44.650761803378579</v>
      </c>
      <c r="Z19" s="66">
        <v>25.37492064596227</v>
      </c>
      <c r="AA19" s="67">
        <v>0</v>
      </c>
      <c r="AB19" s="68">
        <v>0</v>
      </c>
      <c r="AC19" s="69">
        <v>0</v>
      </c>
      <c r="AD19" s="69">
        <v>11.029315014017962</v>
      </c>
      <c r="AE19" s="68">
        <v>6.9424933503713566</v>
      </c>
      <c r="AF19" s="68">
        <v>3.9454022895856622</v>
      </c>
      <c r="AG19" s="68">
        <v>0.63763408283354583</v>
      </c>
      <c r="AH19" s="69">
        <v>290.68291045824679</v>
      </c>
      <c r="AI19" s="69">
        <v>833.28452494939165</v>
      </c>
      <c r="AJ19" s="69">
        <v>3079.1310618082675</v>
      </c>
      <c r="AK19" s="69">
        <v>694.23677310943594</v>
      </c>
      <c r="AL19" s="69">
        <v>4209.5478347778326</v>
      </c>
      <c r="AM19" s="69">
        <v>2916.7451662699382</v>
      </c>
      <c r="AN19" s="69">
        <v>602.79627672831214</v>
      </c>
      <c r="AO19" s="69">
        <v>1627.579695892334</v>
      </c>
      <c r="AP19" s="69">
        <v>429.99346855481463</v>
      </c>
      <c r="AQ19" s="69">
        <v>678.04104849497469</v>
      </c>
    </row>
    <row r="20" spans="1:43" x14ac:dyDescent="0.25">
      <c r="A20" s="11">
        <v>41377</v>
      </c>
      <c r="B20" s="59"/>
      <c r="C20" s="60">
        <v>56.883671625455328</v>
      </c>
      <c r="D20" s="60">
        <v>1057.2493282953913</v>
      </c>
      <c r="E20" s="60">
        <v>12.138280075788478</v>
      </c>
      <c r="F20" s="60">
        <v>0</v>
      </c>
      <c r="G20" s="60">
        <v>3284.6553319295354</v>
      </c>
      <c r="H20" s="61">
        <v>50.670390347639888</v>
      </c>
      <c r="I20" s="59">
        <v>151.52820684909815</v>
      </c>
      <c r="J20" s="60">
        <v>357.47189728418982</v>
      </c>
      <c r="K20" s="60">
        <v>10.273444694777309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201.62493603767527</v>
      </c>
      <c r="V20" s="62">
        <v>115.18147960495972</v>
      </c>
      <c r="W20" s="62">
        <v>16.981149680395777</v>
      </c>
      <c r="X20" s="62">
        <v>9.7007542024256157</v>
      </c>
      <c r="Y20" s="66">
        <v>45.026014317021584</v>
      </c>
      <c r="Z20" s="66">
        <v>25.721833081100488</v>
      </c>
      <c r="AA20" s="67">
        <v>0</v>
      </c>
      <c r="AB20" s="68">
        <v>0</v>
      </c>
      <c r="AC20" s="69">
        <v>0</v>
      </c>
      <c r="AD20" s="69">
        <v>11.13511422342725</v>
      </c>
      <c r="AE20" s="68">
        <v>7.001075128676101</v>
      </c>
      <c r="AF20" s="68">
        <v>3.9994764933029696</v>
      </c>
      <c r="AG20" s="68">
        <v>0.63642946001798428</v>
      </c>
      <c r="AH20" s="69">
        <v>276.34077766736357</v>
      </c>
      <c r="AI20" s="69">
        <v>818.22883733113622</v>
      </c>
      <c r="AJ20" s="69">
        <v>3068.0088569641116</v>
      </c>
      <c r="AK20" s="69">
        <v>689.29700857798252</v>
      </c>
      <c r="AL20" s="69">
        <v>4110.3467386881512</v>
      </c>
      <c r="AM20" s="69">
        <v>2811.3390864054368</v>
      </c>
      <c r="AN20" s="69">
        <v>609.00945577621462</v>
      </c>
      <c r="AO20" s="69">
        <v>1690.5025723775227</v>
      </c>
      <c r="AP20" s="69">
        <v>430.17948099772133</v>
      </c>
      <c r="AQ20" s="69">
        <v>727.99727312723769</v>
      </c>
    </row>
    <row r="21" spans="1:43" x14ac:dyDescent="0.25">
      <c r="A21" s="11">
        <v>41378</v>
      </c>
      <c r="B21" s="59"/>
      <c r="C21" s="60">
        <v>57.330917525291632</v>
      </c>
      <c r="D21" s="60">
        <v>1058.5669825871778</v>
      </c>
      <c r="E21" s="60">
        <v>12.154196547468477</v>
      </c>
      <c r="F21" s="60">
        <v>0</v>
      </c>
      <c r="G21" s="60">
        <v>3284.7658149719355</v>
      </c>
      <c r="H21" s="61">
        <v>50.749794928232895</v>
      </c>
      <c r="I21" s="59">
        <v>151.59832283655783</v>
      </c>
      <c r="J21" s="60">
        <v>357.14007120132425</v>
      </c>
      <c r="K21" s="60">
        <v>10.307506804664941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197.84773944555593</v>
      </c>
      <c r="V21" s="62">
        <v>113.02591543920568</v>
      </c>
      <c r="W21" s="62">
        <v>16.613418278810617</v>
      </c>
      <c r="X21" s="62">
        <v>9.4908681534555726</v>
      </c>
      <c r="Y21" s="66">
        <v>44.323072560047358</v>
      </c>
      <c r="Z21" s="66">
        <v>25.320763660058169</v>
      </c>
      <c r="AA21" s="67">
        <v>0</v>
      </c>
      <c r="AB21" s="68">
        <v>0</v>
      </c>
      <c r="AC21" s="69">
        <v>0</v>
      </c>
      <c r="AD21" s="69">
        <v>10.908807214763442</v>
      </c>
      <c r="AE21" s="68">
        <v>6.8566352850869094</v>
      </c>
      <c r="AF21" s="68">
        <v>3.9170398514609595</v>
      </c>
      <c r="AG21" s="68">
        <v>0.63642491519230382</v>
      </c>
      <c r="AH21" s="69">
        <v>290.22916518847148</v>
      </c>
      <c r="AI21" s="69">
        <v>824.48523565928133</v>
      </c>
      <c r="AJ21" s="69">
        <v>3067.2247857411703</v>
      </c>
      <c r="AK21" s="69">
        <v>697.17702439626066</v>
      </c>
      <c r="AL21" s="69">
        <v>4131.055386861166</v>
      </c>
      <c r="AM21" s="69">
        <v>2804.7320083618165</v>
      </c>
      <c r="AN21" s="69">
        <v>601.09447580973301</v>
      </c>
      <c r="AO21" s="69">
        <v>1662.8009801228841</v>
      </c>
      <c r="AP21" s="69">
        <v>429.83211598396309</v>
      </c>
      <c r="AQ21" s="69">
        <v>637.30305213928227</v>
      </c>
    </row>
    <row r="22" spans="1:43" x14ac:dyDescent="0.25">
      <c r="A22" s="11">
        <v>41379</v>
      </c>
      <c r="B22" s="59"/>
      <c r="C22" s="60">
        <v>56.974241864681282</v>
      </c>
      <c r="D22" s="60">
        <v>1058.2913190841703</v>
      </c>
      <c r="E22" s="60">
        <v>11.884606949985015</v>
      </c>
      <c r="F22" s="60">
        <v>0</v>
      </c>
      <c r="G22" s="60">
        <v>3269.0490150451669</v>
      </c>
      <c r="H22" s="61">
        <v>50.696965614954685</v>
      </c>
      <c r="I22" s="59">
        <v>158.16092960834536</v>
      </c>
      <c r="J22" s="60">
        <v>371.14193631807979</v>
      </c>
      <c r="K22" s="60">
        <v>10.743319991230956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200.63041918479601</v>
      </c>
      <c r="V22" s="62">
        <v>104.74045660823637</v>
      </c>
      <c r="W22" s="62">
        <v>16.833594455256712</v>
      </c>
      <c r="X22" s="62">
        <v>8.7880909423683153</v>
      </c>
      <c r="Y22" s="66">
        <v>44.792846835368913</v>
      </c>
      <c r="Z22" s="66">
        <v>23.384406259940029</v>
      </c>
      <c r="AA22" s="67">
        <v>0</v>
      </c>
      <c r="AB22" s="68">
        <v>0</v>
      </c>
      <c r="AC22" s="69">
        <v>0</v>
      </c>
      <c r="AD22" s="69">
        <v>10.662012933360204</v>
      </c>
      <c r="AE22" s="68">
        <v>6.9082472941975244</v>
      </c>
      <c r="AF22" s="68">
        <v>3.6064968557454682</v>
      </c>
      <c r="AG22" s="68">
        <v>0.65700574314354365</v>
      </c>
      <c r="AH22" s="69">
        <v>347.52444440523783</v>
      </c>
      <c r="AI22" s="69">
        <v>943.56544704437238</v>
      </c>
      <c r="AJ22" s="69">
        <v>3087.9495862325025</v>
      </c>
      <c r="AK22" s="69">
        <v>712.72785094579046</v>
      </c>
      <c r="AL22" s="69">
        <v>4238.4020462036133</v>
      </c>
      <c r="AM22" s="69">
        <v>2931.4226427714038</v>
      </c>
      <c r="AN22" s="69">
        <v>618.50234638849884</v>
      </c>
      <c r="AO22" s="69">
        <v>1604.3073351542155</v>
      </c>
      <c r="AP22" s="69">
        <v>445.2680117448171</v>
      </c>
      <c r="AQ22" s="69">
        <v>730.49625167846682</v>
      </c>
    </row>
    <row r="23" spans="1:43" x14ac:dyDescent="0.25">
      <c r="A23" s="11">
        <v>41380</v>
      </c>
      <c r="B23" s="59"/>
      <c r="C23" s="60">
        <v>56.766494178772106</v>
      </c>
      <c r="D23" s="60">
        <v>1058.237985229493</v>
      </c>
      <c r="E23" s="60">
        <v>11.81322019994257</v>
      </c>
      <c r="F23" s="60">
        <v>0</v>
      </c>
      <c r="G23" s="60">
        <v>3308.5644025166857</v>
      </c>
      <c r="H23" s="61">
        <v>50.702191259463682</v>
      </c>
      <c r="I23" s="59">
        <v>145.28963713645936</v>
      </c>
      <c r="J23" s="60">
        <v>312.41954679489129</v>
      </c>
      <c r="K23" s="60">
        <v>10.183965384960171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197.34999084972375</v>
      </c>
      <c r="V23" s="62">
        <v>112.77203298704362</v>
      </c>
      <c r="W23" s="62">
        <v>17.198514106714562</v>
      </c>
      <c r="X23" s="62">
        <v>9.8277754755379281</v>
      </c>
      <c r="Y23" s="66">
        <v>45.022914068225319</v>
      </c>
      <c r="Z23" s="66">
        <v>25.727518550233786</v>
      </c>
      <c r="AA23" s="67">
        <v>0</v>
      </c>
      <c r="AB23" s="68">
        <v>0</v>
      </c>
      <c r="AC23" s="69">
        <v>0</v>
      </c>
      <c r="AD23" s="69">
        <v>11.146079617738714</v>
      </c>
      <c r="AE23" s="68">
        <v>7.0001684322651574</v>
      </c>
      <c r="AF23" s="68">
        <v>4.0001178716009678</v>
      </c>
      <c r="AG23" s="68">
        <v>0.63636238538672396</v>
      </c>
      <c r="AH23" s="69">
        <v>403.69303301175432</v>
      </c>
      <c r="AI23" s="69">
        <v>1060.6835827191671</v>
      </c>
      <c r="AJ23" s="69">
        <v>3109.4527937571206</v>
      </c>
      <c r="AK23" s="69">
        <v>709.88039868672695</v>
      </c>
      <c r="AL23" s="69">
        <v>4323.1548688252778</v>
      </c>
      <c r="AM23" s="69">
        <v>2976.8256664276123</v>
      </c>
      <c r="AN23" s="69">
        <v>661.98177165985101</v>
      </c>
      <c r="AO23" s="69">
        <v>1592.4353668212891</v>
      </c>
      <c r="AP23" s="69">
        <v>465.98070085843403</v>
      </c>
      <c r="AQ23" s="69">
        <v>708.84036661783853</v>
      </c>
    </row>
    <row r="24" spans="1:43" ht="15.75" thickBot="1" x14ac:dyDescent="0.3">
      <c r="A24" s="11">
        <v>41381</v>
      </c>
      <c r="B24" s="59"/>
      <c r="C24" s="60">
        <v>58.082755931218486</v>
      </c>
      <c r="D24" s="60">
        <v>1069.4590936660775</v>
      </c>
      <c r="E24" s="60">
        <v>11.799535066882749</v>
      </c>
      <c r="F24" s="60">
        <v>0</v>
      </c>
      <c r="G24" s="60">
        <v>3409.6210962931273</v>
      </c>
      <c r="H24" s="61">
        <v>51.256395043929508</v>
      </c>
      <c r="I24" s="59">
        <v>146.3705118020373</v>
      </c>
      <c r="J24" s="60">
        <v>339.09361880620321</v>
      </c>
      <c r="K24" s="60">
        <v>10.184512900809439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204.62852573831728</v>
      </c>
      <c r="V24" s="62">
        <v>118.08311315734996</v>
      </c>
      <c r="W24" s="62">
        <v>17.053897456083813</v>
      </c>
      <c r="X24" s="62">
        <v>9.8411367418824245</v>
      </c>
      <c r="Y24" s="66">
        <v>45.01297901878403</v>
      </c>
      <c r="Z24" s="66">
        <v>25.975228408876692</v>
      </c>
      <c r="AA24" s="67">
        <v>0</v>
      </c>
      <c r="AB24" s="68">
        <v>0</v>
      </c>
      <c r="AC24" s="69">
        <v>0</v>
      </c>
      <c r="AD24" s="69">
        <v>11.185123264789569</v>
      </c>
      <c r="AE24" s="68">
        <v>7.0005568030485481</v>
      </c>
      <c r="AF24" s="68">
        <v>4.0397473331551526</v>
      </c>
      <c r="AG24" s="68">
        <v>0.634090937775175</v>
      </c>
      <c r="AH24" s="69">
        <v>393.3143510182698</v>
      </c>
      <c r="AI24" s="69">
        <v>1019.9891110420227</v>
      </c>
      <c r="AJ24" s="69">
        <v>3119.5575127919519</v>
      </c>
      <c r="AK24" s="69">
        <v>719.54118471145637</v>
      </c>
      <c r="AL24" s="69">
        <v>4451.6673929850258</v>
      </c>
      <c r="AM24" s="69">
        <v>2956.9810025533047</v>
      </c>
      <c r="AN24" s="69">
        <v>646.98984597523997</v>
      </c>
      <c r="AO24" s="69">
        <v>1603.132979075114</v>
      </c>
      <c r="AP24" s="69">
        <v>483.32903396288549</v>
      </c>
      <c r="AQ24" s="69">
        <v>711.33369960784921</v>
      </c>
    </row>
    <row r="25" spans="1:43" s="369" customFormat="1" ht="15" customHeight="1" x14ac:dyDescent="0.25">
      <c r="A25" s="370">
        <v>41382</v>
      </c>
      <c r="B25" s="367"/>
      <c r="C25" s="365">
        <v>58.357208442688155</v>
      </c>
      <c r="D25" s="365">
        <v>1084.7852300643935</v>
      </c>
      <c r="E25" s="365">
        <v>11.794489336510505</v>
      </c>
      <c r="F25" s="365">
        <v>0</v>
      </c>
      <c r="G25" s="365">
        <v>3563.9498789469371</v>
      </c>
      <c r="H25" s="368">
        <v>51.995322259267297</v>
      </c>
      <c r="I25" s="367">
        <v>158.83040390809367</v>
      </c>
      <c r="J25" s="365">
        <v>378.84620467821708</v>
      </c>
      <c r="K25" s="365">
        <v>10.741757546365276</v>
      </c>
      <c r="L25" s="365">
        <v>0</v>
      </c>
      <c r="M25" s="365">
        <v>0</v>
      </c>
      <c r="N25" s="368">
        <v>0</v>
      </c>
      <c r="O25" s="367">
        <v>0</v>
      </c>
      <c r="P25" s="365">
        <v>0</v>
      </c>
      <c r="Q25" s="365">
        <v>0</v>
      </c>
      <c r="R25" s="365">
        <v>0</v>
      </c>
      <c r="S25" s="365">
        <v>0</v>
      </c>
      <c r="T25" s="368">
        <v>0</v>
      </c>
      <c r="U25" s="367">
        <v>198.21410778069793</v>
      </c>
      <c r="V25" s="365">
        <v>115.86969361599277</v>
      </c>
      <c r="W25" s="365">
        <v>17.188155529896218</v>
      </c>
      <c r="X25" s="365">
        <v>10.04765169024486</v>
      </c>
      <c r="Y25" s="365">
        <v>44.873605643350274</v>
      </c>
      <c r="Z25" s="365">
        <v>26.23168953792403</v>
      </c>
      <c r="AA25" s="368">
        <v>0</v>
      </c>
      <c r="AB25" s="366">
        <v>0</v>
      </c>
      <c r="AC25" s="366">
        <v>0</v>
      </c>
      <c r="AD25" s="366">
        <v>11.150751452644684</v>
      </c>
      <c r="AE25" s="366">
        <v>6.9200163278501305</v>
      </c>
      <c r="AF25" s="366">
        <v>4.0452225157090629</v>
      </c>
      <c r="AG25" s="366">
        <v>0.63108669373990323</v>
      </c>
      <c r="AH25" s="366">
        <v>396.4463747342428</v>
      </c>
      <c r="AI25" s="366">
        <v>1029.0992143948872</v>
      </c>
      <c r="AJ25" s="366">
        <v>3136.5261381785076</v>
      </c>
      <c r="AK25" s="366">
        <v>709.30772453943882</v>
      </c>
      <c r="AL25" s="366">
        <v>4619.7833936055504</v>
      </c>
      <c r="AM25" s="366">
        <v>2981.0764209747313</v>
      </c>
      <c r="AN25" s="366">
        <v>678.47639884948728</v>
      </c>
      <c r="AO25" s="366">
        <v>1631.097926712036</v>
      </c>
      <c r="AP25" s="366">
        <v>464.1244147777557</v>
      </c>
      <c r="AQ25" s="366">
        <v>717.03563483556115</v>
      </c>
    </row>
    <row r="26" spans="1:43" x14ac:dyDescent="0.25">
      <c r="A26" s="11">
        <v>41383</v>
      </c>
      <c r="B26" s="59"/>
      <c r="C26" s="60">
        <v>58.274596782525485</v>
      </c>
      <c r="D26" s="60">
        <v>1084.5578056335457</v>
      </c>
      <c r="E26" s="60">
        <v>11.828153866529439</v>
      </c>
      <c r="F26" s="60">
        <v>0</v>
      </c>
      <c r="G26" s="60">
        <v>3582.8147168477421</v>
      </c>
      <c r="H26" s="61">
        <v>52.015654365221657</v>
      </c>
      <c r="I26" s="59">
        <v>156.71295502980584</v>
      </c>
      <c r="J26" s="60">
        <v>364.0000453472133</v>
      </c>
      <c r="K26" s="60">
        <v>10.357194773852827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197.97161147055604</v>
      </c>
      <c r="V26" s="62">
        <v>115.9460927089968</v>
      </c>
      <c r="W26" s="62">
        <v>16.777027324213211</v>
      </c>
      <c r="X26" s="62">
        <v>9.8258065945172568</v>
      </c>
      <c r="Y26" s="66">
        <v>45.006798873333473</v>
      </c>
      <c r="Z26" s="66">
        <v>26.359145313512858</v>
      </c>
      <c r="AA26" s="67">
        <v>0</v>
      </c>
      <c r="AB26" s="68">
        <v>0</v>
      </c>
      <c r="AC26" s="69">
        <v>0</v>
      </c>
      <c r="AD26" s="69">
        <v>11.250012542472959</v>
      </c>
      <c r="AE26" s="68">
        <v>6.9276887018597257</v>
      </c>
      <c r="AF26" s="68">
        <v>4.0573415072916221</v>
      </c>
      <c r="AG26" s="68">
        <v>0.63064812476241028</v>
      </c>
      <c r="AH26" s="69">
        <v>371.03730460802717</v>
      </c>
      <c r="AI26" s="69">
        <v>922.60028619766229</v>
      </c>
      <c r="AJ26" s="69">
        <v>3110.9333897908518</v>
      </c>
      <c r="AK26" s="69">
        <v>689.13946113586439</v>
      </c>
      <c r="AL26" s="69">
        <v>4500.824566141765</v>
      </c>
      <c r="AM26" s="69">
        <v>2933.7875500996915</v>
      </c>
      <c r="AN26" s="69">
        <v>624.885460948944</v>
      </c>
      <c r="AO26" s="69">
        <v>1604.0529281616211</v>
      </c>
      <c r="AP26" s="69">
        <v>417.78600735664378</v>
      </c>
      <c r="AQ26" s="69">
        <v>664.19687477747595</v>
      </c>
    </row>
    <row r="27" spans="1:43" x14ac:dyDescent="0.25">
      <c r="A27" s="11">
        <v>41384</v>
      </c>
      <c r="B27" s="59"/>
      <c r="C27" s="60">
        <v>58.678961730003401</v>
      </c>
      <c r="D27" s="60">
        <v>1086.1088782628372</v>
      </c>
      <c r="E27" s="60">
        <v>11.812619175016865</v>
      </c>
      <c r="F27" s="60">
        <v>0</v>
      </c>
      <c r="G27" s="60">
        <v>3594.6044904073065</v>
      </c>
      <c r="H27" s="61">
        <v>52.060528322060982</v>
      </c>
      <c r="I27" s="59">
        <v>167.74533592065148</v>
      </c>
      <c r="J27" s="60">
        <v>389.40326968828913</v>
      </c>
      <c r="K27" s="60">
        <v>10.438510353366528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215.9830876179912</v>
      </c>
      <c r="V27" s="62">
        <v>118.17143972830296</v>
      </c>
      <c r="W27" s="62">
        <v>18.446154660437351</v>
      </c>
      <c r="X27" s="62">
        <v>10.092496952957028</v>
      </c>
      <c r="Y27" s="62">
        <v>48.68075478502827</v>
      </c>
      <c r="Z27" s="62">
        <v>26.634839530500681</v>
      </c>
      <c r="AA27" s="72">
        <v>0</v>
      </c>
      <c r="AB27" s="69">
        <v>0</v>
      </c>
      <c r="AC27" s="69">
        <v>0</v>
      </c>
      <c r="AD27" s="69">
        <v>11.874059112204446</v>
      </c>
      <c r="AE27" s="69">
        <v>7.4944167696223571</v>
      </c>
      <c r="AF27" s="69">
        <v>4.1004415177016842</v>
      </c>
      <c r="AG27" s="69">
        <v>0.6463569095808227</v>
      </c>
      <c r="AH27" s="69">
        <v>313.22684679031374</v>
      </c>
      <c r="AI27" s="69">
        <v>816.75346399943044</v>
      </c>
      <c r="AJ27" s="69">
        <v>3092.7147806803387</v>
      </c>
      <c r="AK27" s="69">
        <v>668.50711962382002</v>
      </c>
      <c r="AL27" s="69">
        <v>4343.975548553467</v>
      </c>
      <c r="AM27" s="69">
        <v>2852.5792589823404</v>
      </c>
      <c r="AN27" s="69">
        <v>599.72780523300162</v>
      </c>
      <c r="AO27" s="69">
        <v>1610.717077255249</v>
      </c>
      <c r="AP27" s="69">
        <v>396.19602057139082</v>
      </c>
      <c r="AQ27" s="69">
        <v>630.06060167948397</v>
      </c>
    </row>
    <row r="28" spans="1:43" x14ac:dyDescent="0.25">
      <c r="A28" s="11">
        <v>41385</v>
      </c>
      <c r="B28" s="59"/>
      <c r="C28" s="60">
        <v>58.393807140986169</v>
      </c>
      <c r="D28" s="60">
        <v>1088.278398831686</v>
      </c>
      <c r="E28" s="60">
        <v>11.799399470289533</v>
      </c>
      <c r="F28" s="60">
        <v>0</v>
      </c>
      <c r="G28" s="60">
        <v>3585.0485506693508</v>
      </c>
      <c r="H28" s="61">
        <v>52.139628589153418</v>
      </c>
      <c r="I28" s="59">
        <v>167.74229516983007</v>
      </c>
      <c r="J28" s="60">
        <v>389.80940481821762</v>
      </c>
      <c r="K28" s="60">
        <v>10.86687904347979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212.22772580948626</v>
      </c>
      <c r="V28" s="62">
        <v>113.3727246002973</v>
      </c>
      <c r="W28" s="62">
        <v>17.932968585386341</v>
      </c>
      <c r="X28" s="62">
        <v>9.5798487259006002</v>
      </c>
      <c r="Y28" s="66">
        <v>47.671602268542301</v>
      </c>
      <c r="Z28" s="66">
        <v>25.466321210537959</v>
      </c>
      <c r="AA28" s="67">
        <v>0</v>
      </c>
      <c r="AB28" s="68">
        <v>0</v>
      </c>
      <c r="AC28" s="69">
        <v>0</v>
      </c>
      <c r="AD28" s="69">
        <v>11.520998031563222</v>
      </c>
      <c r="AE28" s="68">
        <v>7.3263033093931291</v>
      </c>
      <c r="AF28" s="68">
        <v>3.9137344768029689</v>
      </c>
      <c r="AG28" s="68">
        <v>0.65180415304213379</v>
      </c>
      <c r="AH28" s="69">
        <v>232.02208564281463</v>
      </c>
      <c r="AI28" s="69">
        <v>718.42207587560017</v>
      </c>
      <c r="AJ28" s="69">
        <v>3069.7541210174559</v>
      </c>
      <c r="AK28" s="69">
        <v>665.85487918853767</v>
      </c>
      <c r="AL28" s="69">
        <v>4359.7078842163082</v>
      </c>
      <c r="AM28" s="69">
        <v>2821.7367183685305</v>
      </c>
      <c r="AN28" s="69">
        <v>618.76552715301523</v>
      </c>
      <c r="AO28" s="69">
        <v>1642.9990221659343</v>
      </c>
      <c r="AP28" s="69">
        <v>395.53072803815206</v>
      </c>
      <c r="AQ28" s="69">
        <v>631.00936403274522</v>
      </c>
    </row>
    <row r="29" spans="1:43" x14ac:dyDescent="0.25">
      <c r="A29" s="11">
        <v>41386</v>
      </c>
      <c r="B29" s="59"/>
      <c r="C29" s="60">
        <v>58.185204048951526</v>
      </c>
      <c r="D29" s="60">
        <v>1082.0435520172116</v>
      </c>
      <c r="E29" s="60">
        <v>11.790269479155546</v>
      </c>
      <c r="F29" s="60">
        <v>0</v>
      </c>
      <c r="G29" s="60">
        <v>3560.7993250528916</v>
      </c>
      <c r="H29" s="61">
        <v>51.85014105240505</v>
      </c>
      <c r="I29" s="59">
        <v>172.18899129231775</v>
      </c>
      <c r="J29" s="60">
        <v>399.7808579444885</v>
      </c>
      <c r="K29" s="60">
        <v>11.529922407865525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627.16692543916065</v>
      </c>
      <c r="V29" s="62">
        <v>341.58954751929559</v>
      </c>
      <c r="W29" s="62">
        <v>18.280839103961149</v>
      </c>
      <c r="X29" s="62">
        <v>9.9567488407054014</v>
      </c>
      <c r="Y29" s="66">
        <v>47.889673867539713</v>
      </c>
      <c r="Z29" s="66">
        <v>26.083346177422772</v>
      </c>
      <c r="AA29" s="67">
        <v>0</v>
      </c>
      <c r="AB29" s="68">
        <v>0</v>
      </c>
      <c r="AC29" s="69">
        <v>0</v>
      </c>
      <c r="AD29" s="69">
        <v>11.645697772834032</v>
      </c>
      <c r="AE29" s="68">
        <v>7.4317816527836227</v>
      </c>
      <c r="AF29" s="68">
        <v>4.0477563931786493</v>
      </c>
      <c r="AG29" s="68">
        <v>0.64739379085011373</v>
      </c>
      <c r="AH29" s="69">
        <v>268.14793295860289</v>
      </c>
      <c r="AI29" s="69">
        <v>807.93517541885365</v>
      </c>
      <c r="AJ29" s="69">
        <v>3113.9909694671633</v>
      </c>
      <c r="AK29" s="69">
        <v>678.94866005579627</v>
      </c>
      <c r="AL29" s="69">
        <v>4448.0031046549466</v>
      </c>
      <c r="AM29" s="69">
        <v>2933.9992697397865</v>
      </c>
      <c r="AN29" s="69">
        <v>647.88133913675938</v>
      </c>
      <c r="AO29" s="69">
        <v>1727.8431303660075</v>
      </c>
      <c r="AP29" s="69">
        <v>362.76729660034187</v>
      </c>
      <c r="AQ29" s="69">
        <v>668.57389132181811</v>
      </c>
    </row>
    <row r="30" spans="1:43" x14ac:dyDescent="0.25">
      <c r="A30" s="11">
        <v>41387</v>
      </c>
      <c r="B30" s="59"/>
      <c r="C30" s="60">
        <v>58.168081347147726</v>
      </c>
      <c r="D30" s="60">
        <v>1084.4757011413587</v>
      </c>
      <c r="E30" s="60">
        <v>11.714493493239093</v>
      </c>
      <c r="F30" s="60">
        <v>0</v>
      </c>
      <c r="G30" s="60">
        <v>3492.7930389404273</v>
      </c>
      <c r="H30" s="61">
        <v>51.94987637201956</v>
      </c>
      <c r="I30" s="59">
        <v>164.58030847708375</v>
      </c>
      <c r="J30" s="60">
        <v>382.37010747591586</v>
      </c>
      <c r="K30" s="60">
        <v>10.882731566826509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655.86868771921866</v>
      </c>
      <c r="V30" s="62">
        <v>358.45330511584694</v>
      </c>
      <c r="W30" s="62">
        <v>18.286606350800575</v>
      </c>
      <c r="X30" s="62">
        <v>9.994217758117907</v>
      </c>
      <c r="Y30" s="66">
        <v>48.19471989765205</v>
      </c>
      <c r="Z30" s="66">
        <v>26.339962495421982</v>
      </c>
      <c r="AA30" s="67">
        <v>0</v>
      </c>
      <c r="AB30" s="68">
        <v>0</v>
      </c>
      <c r="AC30" s="69">
        <v>0</v>
      </c>
      <c r="AD30" s="69">
        <v>11.739212986495758</v>
      </c>
      <c r="AE30" s="68">
        <v>7.5001932035525352</v>
      </c>
      <c r="AF30" s="68">
        <v>4.0990965008101865</v>
      </c>
      <c r="AG30" s="68">
        <v>0.64660797296334138</v>
      </c>
      <c r="AH30" s="69">
        <v>304.50996626218165</v>
      </c>
      <c r="AI30" s="69">
        <v>890.97777166366575</v>
      </c>
      <c r="AJ30" s="69">
        <v>3137.8797659556067</v>
      </c>
      <c r="AK30" s="69">
        <v>636.06731990178434</v>
      </c>
      <c r="AL30" s="69">
        <v>4565.9349566141764</v>
      </c>
      <c r="AM30" s="69">
        <v>2961.2348822275803</v>
      </c>
      <c r="AN30" s="69">
        <v>665.66938536961857</v>
      </c>
      <c r="AO30" s="69">
        <v>1735.8026582082111</v>
      </c>
      <c r="AP30" s="69">
        <v>384.38024613062538</v>
      </c>
      <c r="AQ30" s="69">
        <v>724.36806338628139</v>
      </c>
    </row>
    <row r="31" spans="1:43" x14ac:dyDescent="0.25">
      <c r="A31" s="11">
        <v>41388</v>
      </c>
      <c r="B31" s="59"/>
      <c r="C31" s="60">
        <v>59.018872729937314</v>
      </c>
      <c r="D31" s="60">
        <v>1087.2458534240734</v>
      </c>
      <c r="E31" s="60">
        <v>11.761789733171433</v>
      </c>
      <c r="F31" s="60">
        <v>0</v>
      </c>
      <c r="G31" s="60">
        <v>3521.7687217712423</v>
      </c>
      <c r="H31" s="61">
        <v>52.108916640281791</v>
      </c>
      <c r="I31" s="59">
        <v>164.62709385553956</v>
      </c>
      <c r="J31" s="60">
        <v>382.59051248232475</v>
      </c>
      <c r="K31" s="60">
        <v>10.870704961319749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635.7329496721519</v>
      </c>
      <c r="V31" s="62">
        <v>347.62366603016477</v>
      </c>
      <c r="W31" s="62">
        <v>18.475915969260452</v>
      </c>
      <c r="X31" s="62">
        <v>10.102772942336493</v>
      </c>
      <c r="Y31" s="66">
        <v>48.402321698204254</v>
      </c>
      <c r="Z31" s="66">
        <v>26.466761746073143</v>
      </c>
      <c r="AA31" s="67">
        <v>0</v>
      </c>
      <c r="AB31" s="68">
        <v>9.0777700636121956</v>
      </c>
      <c r="AC31" s="69">
        <v>0</v>
      </c>
      <c r="AD31" s="69">
        <v>11.735340666770929</v>
      </c>
      <c r="AE31" s="68">
        <v>7.4977849870048052</v>
      </c>
      <c r="AF31" s="68">
        <v>4.099846493142552</v>
      </c>
      <c r="AG31" s="68">
        <v>0.64649277741230149</v>
      </c>
      <c r="AH31" s="69">
        <v>284.69532485008239</v>
      </c>
      <c r="AI31" s="69">
        <v>841.34432614644368</v>
      </c>
      <c r="AJ31" s="69">
        <v>3123.2166562398274</v>
      </c>
      <c r="AK31" s="69">
        <v>614.07774375279746</v>
      </c>
      <c r="AL31" s="69">
        <v>4457.0988176981609</v>
      </c>
      <c r="AM31" s="69">
        <v>2887.6611629486088</v>
      </c>
      <c r="AN31" s="69">
        <v>640.58385423024504</v>
      </c>
      <c r="AO31" s="69">
        <v>1766.9173544565836</v>
      </c>
      <c r="AP31" s="69">
        <v>381.90375556945799</v>
      </c>
      <c r="AQ31" s="69">
        <v>684.31002556482952</v>
      </c>
    </row>
    <row r="32" spans="1:43" x14ac:dyDescent="0.25">
      <c r="A32" s="11">
        <v>41389</v>
      </c>
      <c r="B32" s="59"/>
      <c r="C32" s="60">
        <v>58.819078727563181</v>
      </c>
      <c r="D32" s="60">
        <v>1087.4783688227342</v>
      </c>
      <c r="E32" s="60">
        <v>12.023765202363325</v>
      </c>
      <c r="F32" s="60">
        <v>0</v>
      </c>
      <c r="G32" s="60">
        <v>3563.0101860046307</v>
      </c>
      <c r="H32" s="61">
        <v>52.130693523089064</v>
      </c>
      <c r="I32" s="59">
        <v>175.68010648091621</v>
      </c>
      <c r="J32" s="60">
        <v>408.46258266766819</v>
      </c>
      <c r="K32" s="60">
        <v>11.717575426399694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528.98092341056599</v>
      </c>
      <c r="V32" s="62">
        <v>283.9689073016504</v>
      </c>
      <c r="W32" s="62">
        <v>18.501753715551114</v>
      </c>
      <c r="X32" s="62">
        <v>9.9321592769263116</v>
      </c>
      <c r="Y32" s="66">
        <v>52.286231319811847</v>
      </c>
      <c r="Z32" s="66">
        <v>28.068429914408004</v>
      </c>
      <c r="AA32" s="67">
        <v>0</v>
      </c>
      <c r="AB32" s="68">
        <v>100.46330350240119</v>
      </c>
      <c r="AC32" s="69">
        <v>0</v>
      </c>
      <c r="AD32" s="69">
        <v>11.728862249851225</v>
      </c>
      <c r="AE32" s="68">
        <v>7.5420266904624516</v>
      </c>
      <c r="AF32" s="68">
        <v>4.0487302723925156</v>
      </c>
      <c r="AG32" s="68">
        <v>0.65069319584842233</v>
      </c>
      <c r="AH32" s="69">
        <v>257.44500911235809</v>
      </c>
      <c r="AI32" s="69">
        <v>761.00596577326439</v>
      </c>
      <c r="AJ32" s="69">
        <v>3123.4542315165204</v>
      </c>
      <c r="AK32" s="69">
        <v>669.60037609736116</v>
      </c>
      <c r="AL32" s="69">
        <v>4302.2620549519861</v>
      </c>
      <c r="AM32" s="69">
        <v>2898.3684521993</v>
      </c>
      <c r="AN32" s="69">
        <v>633.10596377054867</v>
      </c>
      <c r="AO32" s="69">
        <v>1824.2479970296224</v>
      </c>
      <c r="AP32" s="69">
        <v>350.55627772013349</v>
      </c>
      <c r="AQ32" s="69">
        <v>688.67166404724139</v>
      </c>
    </row>
    <row r="33" spans="1:43" x14ac:dyDescent="0.25">
      <c r="A33" s="11">
        <v>41390</v>
      </c>
      <c r="B33" s="59"/>
      <c r="C33" s="60">
        <v>60.479816265900958</v>
      </c>
      <c r="D33" s="60">
        <v>1117.0573308944709</v>
      </c>
      <c r="E33" s="60">
        <v>12.422594549258486</v>
      </c>
      <c r="F33" s="60">
        <v>0</v>
      </c>
      <c r="G33" s="60">
        <v>3562.3690422058121</v>
      </c>
      <c r="H33" s="61">
        <v>53.541787075996595</v>
      </c>
      <c r="I33" s="59">
        <v>175.31878997484819</v>
      </c>
      <c r="J33" s="60">
        <v>407.03113129933638</v>
      </c>
      <c r="K33" s="60">
        <v>12.056200873355046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235.33136749568422</v>
      </c>
      <c r="V33" s="62">
        <v>120.62298999061812</v>
      </c>
      <c r="W33" s="62">
        <v>22.114294878797651</v>
      </c>
      <c r="X33" s="62">
        <v>11.335048099202952</v>
      </c>
      <c r="Y33" s="66">
        <v>51.582112018603915</v>
      </c>
      <c r="Z33" s="66">
        <v>26.439265823027647</v>
      </c>
      <c r="AA33" s="67">
        <v>0</v>
      </c>
      <c r="AB33" s="68">
        <v>197.56094113455705</v>
      </c>
      <c r="AC33" s="69">
        <v>0</v>
      </c>
      <c r="AD33" s="69">
        <v>12.234497679604413</v>
      </c>
      <c r="AE33" s="68">
        <v>7.9995828079684124</v>
      </c>
      <c r="AF33" s="68">
        <v>4.100318658082803</v>
      </c>
      <c r="AG33" s="68">
        <v>0.66112792987718971</v>
      </c>
      <c r="AH33" s="69">
        <v>239.63925598462419</v>
      </c>
      <c r="AI33" s="69">
        <v>722.16835056940727</v>
      </c>
      <c r="AJ33" s="69">
        <v>3088.9629816691081</v>
      </c>
      <c r="AK33" s="69">
        <v>661.76098197301212</v>
      </c>
      <c r="AL33" s="69">
        <v>4258.2948857625333</v>
      </c>
      <c r="AM33" s="69">
        <v>2798.7780086517328</v>
      </c>
      <c r="AN33" s="69">
        <v>628.51355756123849</v>
      </c>
      <c r="AO33" s="69">
        <v>1730.9137639363605</v>
      </c>
      <c r="AP33" s="69">
        <v>333.23941040039062</v>
      </c>
      <c r="AQ33" s="69">
        <v>654.46826737721756</v>
      </c>
    </row>
    <row r="34" spans="1:43" x14ac:dyDescent="0.25">
      <c r="A34" s="11">
        <v>41391</v>
      </c>
      <c r="B34" s="59"/>
      <c r="C34" s="60">
        <v>59.044163366158941</v>
      </c>
      <c r="D34" s="60">
        <v>1091.8367382685351</v>
      </c>
      <c r="E34" s="60">
        <v>12.011444413661952</v>
      </c>
      <c r="F34" s="60">
        <v>0</v>
      </c>
      <c r="G34" s="60">
        <v>3521.3273969014522</v>
      </c>
      <c r="H34" s="61">
        <v>52.321712509791197</v>
      </c>
      <c r="I34" s="59">
        <v>187.89943253994016</v>
      </c>
      <c r="J34" s="60">
        <v>436.09254217147821</v>
      </c>
      <c r="K34" s="60">
        <v>12.930035193761224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252.11768566691356</v>
      </c>
      <c r="V34" s="62">
        <v>120.60282759212649</v>
      </c>
      <c r="W34" s="62">
        <v>20.620018642062291</v>
      </c>
      <c r="X34" s="62">
        <v>9.8637766987936057</v>
      </c>
      <c r="Y34" s="66">
        <v>55.020365715847483</v>
      </c>
      <c r="Z34" s="66">
        <v>26.319501001809012</v>
      </c>
      <c r="AA34" s="67">
        <v>0</v>
      </c>
      <c r="AB34" s="68">
        <v>170.09843467076686</v>
      </c>
      <c r="AC34" s="69">
        <v>0</v>
      </c>
      <c r="AD34" s="69">
        <v>12.808596442805392</v>
      </c>
      <c r="AE34" s="68">
        <v>8.5729916439139959</v>
      </c>
      <c r="AF34" s="68">
        <v>4.1009698722432271</v>
      </c>
      <c r="AG34" s="68">
        <v>0.67642557009383664</v>
      </c>
      <c r="AH34" s="69">
        <v>222.44813049634297</v>
      </c>
      <c r="AI34" s="69">
        <v>716.7934993108114</v>
      </c>
      <c r="AJ34" s="69">
        <v>3065.9692392985035</v>
      </c>
      <c r="AK34" s="69">
        <v>659.0260745048522</v>
      </c>
      <c r="AL34" s="69">
        <v>3968.870491027832</v>
      </c>
      <c r="AM34" s="69">
        <v>2686.9890694936121</v>
      </c>
      <c r="AN34" s="69">
        <v>608.54303989410414</v>
      </c>
      <c r="AO34" s="69">
        <v>1806.7021746317544</v>
      </c>
      <c r="AP34" s="69">
        <v>346.70853726069129</v>
      </c>
      <c r="AQ34" s="69">
        <v>706.40971326827992</v>
      </c>
    </row>
    <row r="35" spans="1:43" x14ac:dyDescent="0.25">
      <c r="A35" s="11">
        <v>41392</v>
      </c>
      <c r="B35" s="59"/>
      <c r="C35" s="60">
        <v>59.024722834428161</v>
      </c>
      <c r="D35" s="60">
        <v>1092.5536179860462</v>
      </c>
      <c r="E35" s="60">
        <v>12.044727278749148</v>
      </c>
      <c r="F35" s="60">
        <v>0</v>
      </c>
      <c r="G35" s="60">
        <v>3484.8328631083095</v>
      </c>
      <c r="H35" s="61">
        <v>52.316718431313951</v>
      </c>
      <c r="I35" s="59">
        <v>203.43047602176679</v>
      </c>
      <c r="J35" s="60">
        <v>476.25832805633502</v>
      </c>
      <c r="K35" s="60">
        <v>14.045095166564021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269.04975017843708</v>
      </c>
      <c r="V35" s="62">
        <v>121.98173279360176</v>
      </c>
      <c r="W35" s="62">
        <v>21.810696010546863</v>
      </c>
      <c r="X35" s="62">
        <v>9.8885298761159355</v>
      </c>
      <c r="Y35" s="66">
        <v>61.264273431341444</v>
      </c>
      <c r="Z35" s="66">
        <v>27.775986510077718</v>
      </c>
      <c r="AA35" s="67">
        <v>0</v>
      </c>
      <c r="AB35" s="68">
        <v>169.91558794445586</v>
      </c>
      <c r="AC35" s="69">
        <v>0</v>
      </c>
      <c r="AD35" s="69">
        <v>13.291061769591435</v>
      </c>
      <c r="AE35" s="68">
        <v>9.0427190267576911</v>
      </c>
      <c r="AF35" s="68">
        <v>4.0997865090676413</v>
      </c>
      <c r="AG35" s="68">
        <v>0.68805137666543281</v>
      </c>
      <c r="AH35" s="69">
        <v>213.16032036145529</v>
      </c>
      <c r="AI35" s="69">
        <v>702.17646344502759</v>
      </c>
      <c r="AJ35" s="69">
        <v>3071.935915247599</v>
      </c>
      <c r="AK35" s="69">
        <v>673.21646156311022</v>
      </c>
      <c r="AL35" s="69">
        <v>3927.3184692382815</v>
      </c>
      <c r="AM35" s="69">
        <v>2678.58852742513</v>
      </c>
      <c r="AN35" s="69">
        <v>624.79837525685627</v>
      </c>
      <c r="AO35" s="69">
        <v>1795.2993288675943</v>
      </c>
      <c r="AP35" s="69">
        <v>348.79566281636551</v>
      </c>
      <c r="AQ35" s="69">
        <v>832.20692291259775</v>
      </c>
    </row>
    <row r="36" spans="1:43" x14ac:dyDescent="0.25">
      <c r="A36" s="11">
        <v>41393</v>
      </c>
      <c r="B36" s="59"/>
      <c r="C36" s="60">
        <v>58.816652659575219</v>
      </c>
      <c r="D36" s="60">
        <v>1088.2193674087539</v>
      </c>
      <c r="E36" s="60">
        <v>12.186596521238489</v>
      </c>
      <c r="F36" s="60">
        <v>0</v>
      </c>
      <c r="G36" s="60">
        <v>3437.9760925293085</v>
      </c>
      <c r="H36" s="61">
        <v>52.130319428443954</v>
      </c>
      <c r="I36" s="59">
        <v>204.8113744258882</v>
      </c>
      <c r="J36" s="60">
        <v>480.52725582122764</v>
      </c>
      <c r="K36" s="60">
        <v>13.904288896918306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254.22147536347867</v>
      </c>
      <c r="V36" s="62">
        <v>105.40562798906913</v>
      </c>
      <c r="W36" s="62">
        <v>21.253734270815837</v>
      </c>
      <c r="X36" s="62">
        <v>8.8122500458510764</v>
      </c>
      <c r="Y36" s="66">
        <v>72.266625222722382</v>
      </c>
      <c r="Z36" s="66">
        <v>29.963279079238848</v>
      </c>
      <c r="AA36" s="67">
        <v>0</v>
      </c>
      <c r="AB36" s="68">
        <v>180.59754261705717</v>
      </c>
      <c r="AC36" s="69">
        <v>0</v>
      </c>
      <c r="AD36" s="69">
        <v>12.600083929300284</v>
      </c>
      <c r="AE36" s="68">
        <v>8.7488168180902335</v>
      </c>
      <c r="AF36" s="68">
        <v>3.6274454373047424</v>
      </c>
      <c r="AG36" s="68">
        <v>0.70690299199796847</v>
      </c>
      <c r="AH36" s="69">
        <v>203.96184569994608</v>
      </c>
      <c r="AI36" s="69">
        <v>702.5004003524781</v>
      </c>
      <c r="AJ36" s="69">
        <v>3088.5618825276697</v>
      </c>
      <c r="AK36" s="69">
        <v>689.56476287841781</v>
      </c>
      <c r="AL36" s="69">
        <v>3907.0942690531415</v>
      </c>
      <c r="AM36" s="69">
        <v>2760.6350535074871</v>
      </c>
      <c r="AN36" s="69">
        <v>626.84368667602541</v>
      </c>
      <c r="AO36" s="69">
        <v>1787.3067358016967</v>
      </c>
      <c r="AP36" s="69">
        <v>337.98647278149917</v>
      </c>
      <c r="AQ36" s="69">
        <v>854.18216543197639</v>
      </c>
    </row>
    <row r="37" spans="1:43" x14ac:dyDescent="0.25">
      <c r="A37" s="11">
        <v>41394</v>
      </c>
      <c r="B37" s="59"/>
      <c r="C37" s="60">
        <v>58.702256361643649</v>
      </c>
      <c r="D37" s="60">
        <v>1088.4851538976056</v>
      </c>
      <c r="E37" s="60">
        <v>11.976645503441473</v>
      </c>
      <c r="F37" s="60">
        <v>0</v>
      </c>
      <c r="G37" s="60">
        <v>3424.5638938903799</v>
      </c>
      <c r="H37" s="61">
        <v>52.140342609087796</v>
      </c>
      <c r="I37" s="59">
        <v>187.46543091138173</v>
      </c>
      <c r="J37" s="60">
        <v>435.46154816945386</v>
      </c>
      <c r="K37" s="60">
        <v>12.819638579587094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242.96412300008939</v>
      </c>
      <c r="V37" s="62">
        <v>118.62510620218268</v>
      </c>
      <c r="W37" s="62">
        <v>20.593298835076222</v>
      </c>
      <c r="X37" s="62">
        <v>10.054497887176959</v>
      </c>
      <c r="Y37" s="66">
        <v>94.929717179056794</v>
      </c>
      <c r="Z37" s="66">
        <v>46.348603419545341</v>
      </c>
      <c r="AA37" s="67">
        <v>0</v>
      </c>
      <c r="AB37" s="68">
        <v>200.75098359849687</v>
      </c>
      <c r="AC37" s="69">
        <v>0</v>
      </c>
      <c r="AD37" s="69">
        <v>12.81057063010002</v>
      </c>
      <c r="AE37" s="68">
        <v>8.3990151283582772</v>
      </c>
      <c r="AF37" s="68">
        <v>4.1007456133549116</v>
      </c>
      <c r="AG37" s="68">
        <v>0.6719340715322466</v>
      </c>
      <c r="AH37" s="69">
        <v>211.85466173489888</v>
      </c>
      <c r="AI37" s="69">
        <v>712.38355099360149</v>
      </c>
      <c r="AJ37" s="69">
        <v>3080.6414697011314</v>
      </c>
      <c r="AK37" s="69">
        <v>686.06766026814773</v>
      </c>
      <c r="AL37" s="69">
        <v>3968.0531420389812</v>
      </c>
      <c r="AM37" s="69">
        <v>2694.4783547719321</v>
      </c>
      <c r="AN37" s="69">
        <v>630.43717676798508</v>
      </c>
      <c r="AO37" s="69">
        <v>1662.2179246902465</v>
      </c>
      <c r="AP37" s="69">
        <v>560.03036988576264</v>
      </c>
      <c r="AQ37" s="69">
        <v>714.50077075958257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1714.1953023950286</v>
      </c>
      <c r="D39" s="30">
        <f t="shared" si="0"/>
        <v>31427.599744888172</v>
      </c>
      <c r="E39" s="30">
        <f t="shared" si="0"/>
        <v>354.59223333398484</v>
      </c>
      <c r="F39" s="30">
        <f t="shared" si="0"/>
        <v>0</v>
      </c>
      <c r="G39" s="30">
        <f t="shared" si="0"/>
        <v>100852.35176531473</v>
      </c>
      <c r="H39" s="31">
        <f t="shared" si="0"/>
        <v>1518.2300811727869</v>
      </c>
      <c r="I39" s="29">
        <f t="shared" si="0"/>
        <v>4978.0112250089624</v>
      </c>
      <c r="J39" s="30">
        <f t="shared" si="0"/>
        <v>11790.165809981021</v>
      </c>
      <c r="K39" s="30">
        <f t="shared" si="0"/>
        <v>337.33240148971481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8050.6570656730873</v>
      </c>
      <c r="V39" s="255">
        <f t="shared" si="0"/>
        <v>4231.8392153951118</v>
      </c>
      <c r="W39" s="255">
        <f t="shared" si="0"/>
        <v>550.19232201313378</v>
      </c>
      <c r="X39" s="255">
        <f t="shared" si="0"/>
        <v>287.1225483801424</v>
      </c>
      <c r="Y39" s="255">
        <f t="shared" si="0"/>
        <v>1708.4701051915863</v>
      </c>
      <c r="Z39" s="255">
        <f t="shared" si="0"/>
        <v>838.85082079120639</v>
      </c>
      <c r="AA39" s="263">
        <f t="shared" si="0"/>
        <v>0</v>
      </c>
      <c r="AB39" s="266">
        <f t="shared" si="0"/>
        <v>1028.4645635313473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Q39" si="1">SUM(AH8:AH38)</f>
        <v>8596.067770862579</v>
      </c>
      <c r="AI39" s="266">
        <f t="shared" si="1"/>
        <v>24900.39102554322</v>
      </c>
      <c r="AJ39" s="266">
        <f t="shared" si="1"/>
        <v>91800.707551066065</v>
      </c>
      <c r="AK39" s="266">
        <f t="shared" si="1"/>
        <v>21514.675143845878</v>
      </c>
      <c r="AL39" s="266">
        <f t="shared" si="1"/>
        <v>123854.43627942403</v>
      </c>
      <c r="AM39" s="266">
        <f t="shared" si="1"/>
        <v>86257.825699615481</v>
      </c>
      <c r="AN39" s="266">
        <f t="shared" si="1"/>
        <v>19087.448188686369</v>
      </c>
      <c r="AO39" s="266">
        <f t="shared" si="1"/>
        <v>51525.761957995099</v>
      </c>
      <c r="AP39" s="266">
        <f t="shared" si="1"/>
        <v>12410.587153693039</v>
      </c>
      <c r="AQ39" s="266">
        <f t="shared" si="1"/>
        <v>21172.279761377969</v>
      </c>
    </row>
    <row r="40" spans="1:43" ht="15.75" thickBot="1" x14ac:dyDescent="0.3">
      <c r="A40" s="47" t="s">
        <v>172</v>
      </c>
      <c r="B40" s="32">
        <f>Projection!$AB$30</f>
        <v>0.91139353199999984</v>
      </c>
      <c r="C40" s="33">
        <f>Projection!$AB$28</f>
        <v>1.4375491199999999</v>
      </c>
      <c r="D40" s="33">
        <f>Projection!$AB$31</f>
        <v>2.0999286000000001</v>
      </c>
      <c r="E40" s="33">
        <f>Projection!$AB$26</f>
        <v>3.8734129199999998</v>
      </c>
      <c r="F40" s="33">
        <f>Projection!$AB$23</f>
        <v>5.8379999999999994E-2</v>
      </c>
      <c r="G40" s="33">
        <f>Projection!$AB$24</f>
        <v>5.2999999999999999E-2</v>
      </c>
      <c r="H40" s="34">
        <f>Projection!$AB$29</f>
        <v>3.6371774160000006</v>
      </c>
      <c r="I40" s="32">
        <f>Projection!$AB$30</f>
        <v>0.91139353199999984</v>
      </c>
      <c r="J40" s="33">
        <f>Projection!$AB$28</f>
        <v>1.4375491199999999</v>
      </c>
      <c r="K40" s="33">
        <f>Projection!$AB$26</f>
        <v>3.8734129199999998</v>
      </c>
      <c r="L40" s="33">
        <f>Projection!$AB$25</f>
        <v>0.37613399999999997</v>
      </c>
      <c r="M40" s="33">
        <f>Projection!$AB$23</f>
        <v>5.8379999999999994E-2</v>
      </c>
      <c r="N40" s="34">
        <f>Projection!$AB$23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1.4375491199999999</v>
      </c>
      <c r="T40" s="38">
        <f>Projection!$AB$28</f>
        <v>1.4375491199999999</v>
      </c>
      <c r="U40" s="26">
        <f>Projection!$AB$27</f>
        <v>0.26250000000000001</v>
      </c>
      <c r="V40" s="27">
        <f>Projection!$AB$27</f>
        <v>0.26250000000000001</v>
      </c>
      <c r="W40" s="27">
        <f>Projection!$AB$22</f>
        <v>1.2186999999999999</v>
      </c>
      <c r="X40" s="27">
        <f>Projection!$AB$22</f>
        <v>1.2186999999999999</v>
      </c>
      <c r="Y40" s="27">
        <f>Projection!$AB$31</f>
        <v>2.0999286000000001</v>
      </c>
      <c r="Z40" s="27">
        <f>Projection!$AB$31</f>
        <v>2.0999286000000001</v>
      </c>
      <c r="AA40" s="28">
        <v>0</v>
      </c>
      <c r="AB40" s="41">
        <f>Projection!$AB$27</f>
        <v>0.26250000000000001</v>
      </c>
      <c r="AC40" s="41">
        <f>Projection!$AB$30</f>
        <v>0.91139353199999984</v>
      </c>
      <c r="AD40" s="270">
        <f>SUM(AD8:AD38)</f>
        <v>346.23035338752788</v>
      </c>
      <c r="AE40" s="270">
        <f>SUM(AE8:AE38)</f>
        <v>224.06634091932713</v>
      </c>
      <c r="AF40" s="270">
        <f>SUM(AF8:AF38)</f>
        <v>116.66976007752959</v>
      </c>
      <c r="AG40" s="270">
        <v>0.5</v>
      </c>
      <c r="AH40" s="306">
        <v>6.7000000000000004E-2</v>
      </c>
      <c r="AI40" s="306">
        <f t="shared" ref="AI40:AQ40" si="2">$AH$40</f>
        <v>6.7000000000000004E-2</v>
      </c>
      <c r="AJ40" s="306">
        <f t="shared" si="2"/>
        <v>6.7000000000000004E-2</v>
      </c>
      <c r="AK40" s="306">
        <f t="shared" si="2"/>
        <v>6.7000000000000004E-2</v>
      </c>
      <c r="AL40" s="306">
        <f t="shared" si="2"/>
        <v>6.7000000000000004E-2</v>
      </c>
      <c r="AM40" s="306">
        <f t="shared" si="2"/>
        <v>6.7000000000000004E-2</v>
      </c>
      <c r="AN40" s="306">
        <f t="shared" si="2"/>
        <v>6.7000000000000004E-2</v>
      </c>
      <c r="AO40" s="306">
        <f t="shared" si="2"/>
        <v>6.7000000000000004E-2</v>
      </c>
      <c r="AP40" s="306">
        <f t="shared" si="2"/>
        <v>6.7000000000000004E-2</v>
      </c>
      <c r="AQ40" s="306">
        <f t="shared" si="2"/>
        <v>6.7000000000000004E-2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2464.2399484661073</v>
      </c>
      <c r="D41" s="36">
        <f t="shared" si="3"/>
        <v>65995.715533643379</v>
      </c>
      <c r="E41" s="36">
        <f t="shared" si="3"/>
        <v>1373.4821379275115</v>
      </c>
      <c r="F41" s="36">
        <f t="shared" si="3"/>
        <v>0</v>
      </c>
      <c r="G41" s="36">
        <f t="shared" si="3"/>
        <v>5345.1746435616806</v>
      </c>
      <c r="H41" s="37">
        <f t="shared" si="3"/>
        <v>5522.0721635335076</v>
      </c>
      <c r="I41" s="35">
        <f t="shared" si="3"/>
        <v>4536.9272326965638</v>
      </c>
      <c r="J41" s="36">
        <f t="shared" si="3"/>
        <v>16948.942484792304</v>
      </c>
      <c r="K41" s="36">
        <f t="shared" si="3"/>
        <v>1306.6276822648886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0">
        <f t="shared" si="3"/>
        <v>0</v>
      </c>
      <c r="P41" s="261">
        <f t="shared" si="3"/>
        <v>0</v>
      </c>
      <c r="Q41" s="261">
        <f t="shared" si="3"/>
        <v>0</v>
      </c>
      <c r="R41" s="261">
        <f t="shared" si="3"/>
        <v>0</v>
      </c>
      <c r="S41" s="261">
        <f t="shared" si="3"/>
        <v>0</v>
      </c>
      <c r="T41" s="262">
        <f t="shared" si="3"/>
        <v>0</v>
      </c>
      <c r="U41" s="260">
        <f t="shared" si="3"/>
        <v>2113.2974797391853</v>
      </c>
      <c r="V41" s="261">
        <f t="shared" si="3"/>
        <v>1110.8577940412169</v>
      </c>
      <c r="W41" s="261">
        <f t="shared" si="3"/>
        <v>670.51938283740606</v>
      </c>
      <c r="X41" s="261">
        <f t="shared" si="3"/>
        <v>349.91624971087953</v>
      </c>
      <c r="Y41" s="261">
        <f t="shared" si="3"/>
        <v>3587.665236136821</v>
      </c>
      <c r="Z41" s="261">
        <f t="shared" si="3"/>
        <v>1761.5268297129292</v>
      </c>
      <c r="AA41" s="265">
        <f t="shared" si="3"/>
        <v>0</v>
      </c>
      <c r="AB41" s="268">
        <f t="shared" si="3"/>
        <v>269.97194792697866</v>
      </c>
      <c r="AC41" s="268">
        <f t="shared" si="3"/>
        <v>0</v>
      </c>
      <c r="AH41" s="271">
        <f t="shared" ref="AH41:AQ41" si="4">AH40*AH39</f>
        <v>575.93654064779287</v>
      </c>
      <c r="AI41" s="271">
        <f t="shared" si="4"/>
        <v>1668.3261987113958</v>
      </c>
      <c r="AJ41" s="271">
        <f t="shared" si="4"/>
        <v>6150.647405921427</v>
      </c>
      <c r="AK41" s="271">
        <f t="shared" si="4"/>
        <v>1441.4832346376738</v>
      </c>
      <c r="AL41" s="271">
        <f t="shared" si="4"/>
        <v>8298.2472307214102</v>
      </c>
      <c r="AM41" s="271">
        <f t="shared" si="4"/>
        <v>5779.274321874238</v>
      </c>
      <c r="AN41" s="271">
        <f t="shared" si="4"/>
        <v>1278.8590286419867</v>
      </c>
      <c r="AO41" s="271">
        <f t="shared" si="4"/>
        <v>3452.2260511856716</v>
      </c>
      <c r="AP41" s="271">
        <f t="shared" si="4"/>
        <v>831.50933929743371</v>
      </c>
      <c r="AQ41" s="271">
        <f t="shared" si="4"/>
        <v>1418.542744012324</v>
      </c>
    </row>
    <row r="42" spans="1:43" ht="49.5" customHeight="1" thickTop="1" thickBot="1" x14ac:dyDescent="0.3">
      <c r="A42" s="562" t="s">
        <v>232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874.22</v>
      </c>
      <c r="AI42" s="271" t="s">
        <v>197</v>
      </c>
      <c r="AJ42" s="271">
        <v>1956.07</v>
      </c>
      <c r="AK42" s="271">
        <v>741.96</v>
      </c>
      <c r="AL42" s="271">
        <v>1956.07</v>
      </c>
      <c r="AM42" s="271">
        <v>5790.88</v>
      </c>
      <c r="AN42" s="271">
        <v>1570.6</v>
      </c>
      <c r="AO42" s="271" t="s">
        <v>197</v>
      </c>
      <c r="AP42" s="271">
        <v>147.83000000000001</v>
      </c>
      <c r="AQ42" s="271">
        <v>526.54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24.75" thickTop="1" thickBot="1" x14ac:dyDescent="0.3">
      <c r="A44" s="275" t="s">
        <v>135</v>
      </c>
      <c r="B44" s="276">
        <f>SUM(B41:AC41)</f>
        <v>113356.93674699134</v>
      </c>
      <c r="C44" s="12"/>
      <c r="D44" s="275" t="s">
        <v>135</v>
      </c>
      <c r="E44" s="276">
        <f>SUM(B41:H41)+P41+R41+T41+V41+X41+Z41</f>
        <v>83922.985300597196</v>
      </c>
      <c r="F44" s="12"/>
      <c r="G44" s="275" t="s">
        <v>135</v>
      </c>
      <c r="H44" s="276">
        <f>SUM(I41:N41)+O41+Q41+S41+U41+W41+Y41</f>
        <v>29163.979498467168</v>
      </c>
      <c r="I44" s="12"/>
      <c r="J44" s="275" t="s">
        <v>198</v>
      </c>
      <c r="K44" s="276">
        <v>96515.33</v>
      </c>
      <c r="L44" s="12"/>
      <c r="M44" s="12"/>
      <c r="N44" s="12"/>
      <c r="O44" s="12"/>
      <c r="P44" s="12"/>
      <c r="Q44" s="12"/>
      <c r="R44" s="313" t="s">
        <v>135</v>
      </c>
      <c r="S44" s="314"/>
      <c r="T44" s="307" t="s">
        <v>167</v>
      </c>
      <c r="U44" s="248" t="s">
        <v>168</v>
      </c>
    </row>
    <row r="45" spans="1:43" ht="24" thickBot="1" x14ac:dyDescent="0.4">
      <c r="A45" s="277" t="s">
        <v>183</v>
      </c>
      <c r="B45" s="278">
        <f>SUM(AH41:AQ41)</f>
        <v>30895.052095651354</v>
      </c>
      <c r="C45" s="12"/>
      <c r="D45" s="277" t="s">
        <v>183</v>
      </c>
      <c r="E45" s="278">
        <f>AH41*(1-$AG$40)+AI41+AJ41*0.5+AL41+AM41*(1-$AG$40)+AN41*(1-$AG$40)+AO41*(1-$AG$40)+AP41*0.5+AQ41*0.5</f>
        <v>19710.071145223243</v>
      </c>
      <c r="F45" s="24"/>
      <c r="G45" s="277" t="s">
        <v>183</v>
      </c>
      <c r="H45" s="278">
        <f>AH41*AG40+AJ41*0.5+AK41+AM41*AG40+AN41*AG40+AO41*AG40+AP41*0.5+AQ41*0.5</f>
        <v>11184.980950428111</v>
      </c>
      <c r="I45" s="12"/>
      <c r="J45" s="12"/>
      <c r="K45" s="281"/>
      <c r="L45" s="12"/>
      <c r="M45" s="12"/>
      <c r="N45" s="12"/>
      <c r="O45" s="12"/>
      <c r="P45" s="12"/>
      <c r="Q45" s="12"/>
      <c r="R45" s="311" t="s">
        <v>141</v>
      </c>
      <c r="S45" s="312"/>
      <c r="T45" s="247">
        <f>$W$39+$X$39</f>
        <v>837.31487039327612</v>
      </c>
      <c r="U45" s="249">
        <f>(T45*8.34*0.895)/27000</f>
        <v>0.23148034766950115</v>
      </c>
    </row>
    <row r="46" spans="1:43" ht="32.25" thickBot="1" x14ac:dyDescent="0.3">
      <c r="A46" s="279" t="s">
        <v>184</v>
      </c>
      <c r="B46" s="280">
        <f>SUM(AH42:AQ42)</f>
        <v>13564.170000000002</v>
      </c>
      <c r="C46" s="12"/>
      <c r="D46" s="279" t="s">
        <v>184</v>
      </c>
      <c r="E46" s="280">
        <f>AH42*(1-$AG$40)+AJ42*0.5+AL42+AM42*(1-$AG$40)+AN42*(1-$AG$40)+AP42*0.5+AQ42*0.5</f>
        <v>7389.1400000000012</v>
      </c>
      <c r="F46" s="23"/>
      <c r="G46" s="279" t="s">
        <v>184</v>
      </c>
      <c r="H46" s="280">
        <f>AH42*AG40+AJ42*0.5+AK42+AM42*AG40+AN42*AG40+AP42*0.5+AQ42*0.5</f>
        <v>6175.0300000000007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311" t="s">
        <v>145</v>
      </c>
      <c r="S46" s="312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96515.33</v>
      </c>
      <c r="C47" s="12"/>
      <c r="D47" s="279" t="s">
        <v>187</v>
      </c>
      <c r="E47" s="280">
        <f>K44*0.5</f>
        <v>48257.665000000001</v>
      </c>
      <c r="F47" s="24"/>
      <c r="G47" s="279" t="s">
        <v>185</v>
      </c>
      <c r="H47" s="280">
        <f>K44*0.5</f>
        <v>48257.665000000001</v>
      </c>
      <c r="I47" s="12"/>
      <c r="J47" s="275" t="s">
        <v>198</v>
      </c>
      <c r="K47" s="276">
        <v>26355.31</v>
      </c>
      <c r="L47" s="12"/>
      <c r="M47" s="12"/>
      <c r="N47" s="12"/>
      <c r="O47" s="12"/>
      <c r="P47" s="12"/>
      <c r="Q47" s="12"/>
      <c r="R47" s="311" t="s">
        <v>148</v>
      </c>
      <c r="S47" s="312"/>
      <c r="T47" s="247">
        <f>$G$39</f>
        <v>100852.35176531473</v>
      </c>
      <c r="U47" s="249">
        <f>T47/40000</f>
        <v>2.5213087941328682</v>
      </c>
    </row>
    <row r="48" spans="1:43" ht="24" thickBot="1" x14ac:dyDescent="0.3">
      <c r="A48" s="279" t="s">
        <v>186</v>
      </c>
      <c r="B48" s="280">
        <f>K47</f>
        <v>26355.31</v>
      </c>
      <c r="C48" s="12"/>
      <c r="D48" s="279" t="s">
        <v>186</v>
      </c>
      <c r="E48" s="280">
        <f>K47*0.5</f>
        <v>13177.655000000001</v>
      </c>
      <c r="F48" s="23"/>
      <c r="G48" s="279" t="s">
        <v>186</v>
      </c>
      <c r="H48" s="280">
        <f>K47*0.5</f>
        <v>13177.655000000001</v>
      </c>
      <c r="I48" s="12"/>
      <c r="J48" s="12"/>
      <c r="K48" s="86"/>
      <c r="L48" s="12"/>
      <c r="M48" s="12"/>
      <c r="N48" s="12"/>
      <c r="O48" s="12"/>
      <c r="P48" s="12"/>
      <c r="Q48" s="12"/>
      <c r="R48" s="311" t="s">
        <v>150</v>
      </c>
      <c r="S48" s="312"/>
      <c r="T48" s="247">
        <f>$L$39</f>
        <v>0</v>
      </c>
      <c r="U48" s="249">
        <f>T48*9.34*0.107</f>
        <v>0</v>
      </c>
    </row>
    <row r="49" spans="1:25" ht="48" thickTop="1" thickBot="1" x14ac:dyDescent="0.3">
      <c r="A49" s="284" t="s">
        <v>194</v>
      </c>
      <c r="B49" s="285">
        <f>AD40</f>
        <v>346.23035338752788</v>
      </c>
      <c r="C49" s="12"/>
      <c r="D49" s="284" t="s">
        <v>195</v>
      </c>
      <c r="E49" s="285" t="b">
        <f>B44=AF40</f>
        <v>0</v>
      </c>
      <c r="F49" s="23"/>
      <c r="G49" s="284" t="s">
        <v>196</v>
      </c>
      <c r="H49" s="285">
        <f>AE40</f>
        <v>224.06634091932713</v>
      </c>
      <c r="I49" s="12"/>
      <c r="J49" s="12"/>
      <c r="K49" s="86"/>
      <c r="L49" s="12"/>
      <c r="M49" s="12"/>
      <c r="N49" s="12"/>
      <c r="O49" s="12"/>
      <c r="P49" s="12"/>
      <c r="Q49" s="12"/>
      <c r="R49" s="311" t="s">
        <v>152</v>
      </c>
      <c r="S49" s="312"/>
      <c r="T49" s="247">
        <f>$E$39+$K$39</f>
        <v>691.92463482369965</v>
      </c>
      <c r="U49" s="249">
        <f>(T49*8.34*1.04)/45000</f>
        <v>0.13336616694681871</v>
      </c>
    </row>
    <row r="50" spans="1:25" ht="48" thickTop="1" thickBot="1" x14ac:dyDescent="0.3">
      <c r="A50" s="284" t="s">
        <v>190</v>
      </c>
      <c r="B50" s="286">
        <f>(SUM(B44:B48)/AD40)</f>
        <v>810.69379416447703</v>
      </c>
      <c r="C50" s="12"/>
      <c r="D50" s="284" t="s">
        <v>188</v>
      </c>
      <c r="E50" s="286">
        <f>SUM(E44:E48)/AF40</f>
        <v>1478.1680902679379</v>
      </c>
      <c r="F50" s="23"/>
      <c r="G50" s="284" t="s">
        <v>189</v>
      </c>
      <c r="H50" s="286">
        <f>SUM(H44:H48)/AE40</f>
        <v>481.81850966970961</v>
      </c>
      <c r="I50" s="12"/>
      <c r="J50" s="12"/>
      <c r="K50" s="86"/>
      <c r="L50" s="12"/>
      <c r="M50" s="12"/>
      <c r="N50" s="12"/>
      <c r="O50" s="12"/>
      <c r="P50" s="12"/>
      <c r="Q50" s="12"/>
      <c r="R50" s="311" t="s">
        <v>153</v>
      </c>
      <c r="S50" s="312"/>
      <c r="T50" s="247">
        <f>$U$39+$V$39+$AB$39</f>
        <v>13310.960844599547</v>
      </c>
      <c r="U50" s="249">
        <f>T50/2000/8</f>
        <v>0.83193505278747171</v>
      </c>
    </row>
    <row r="51" spans="1:25" ht="47.25" customHeight="1" thickTop="1" thickBot="1" x14ac:dyDescent="0.3">
      <c r="A51" s="274" t="s">
        <v>191</v>
      </c>
      <c r="B51" s="287">
        <f>B50/1000</f>
        <v>0.81069379416447707</v>
      </c>
      <c r="C51" s="12"/>
      <c r="D51" s="274" t="s">
        <v>192</v>
      </c>
      <c r="E51" s="287">
        <f>E50/1000</f>
        <v>1.4781680902679379</v>
      </c>
      <c r="F51" s="12"/>
      <c r="G51" s="274" t="s">
        <v>193</v>
      </c>
      <c r="H51" s="287">
        <f>H50/1000</f>
        <v>0.48181850966970963</v>
      </c>
      <c r="I51" s="12"/>
      <c r="J51" s="12"/>
      <c r="K51" s="86"/>
      <c r="L51" s="12"/>
      <c r="M51" s="12"/>
      <c r="N51" s="12"/>
      <c r="O51" s="12"/>
      <c r="P51" s="12"/>
      <c r="Q51" s="12"/>
      <c r="R51" s="311" t="s">
        <v>154</v>
      </c>
      <c r="S51" s="312"/>
      <c r="T51" s="247">
        <f>$C$39+$J$39+$S$39+$T$39</f>
        <v>13504.361112376049</v>
      </c>
      <c r="U51" s="249">
        <f>(T51*8.34*1.4)/45000</f>
        <v>3.5039315632911716</v>
      </c>
    </row>
    <row r="52" spans="1:25" ht="16.5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1" t="s">
        <v>155</v>
      </c>
      <c r="S52" s="312"/>
      <c r="T52" s="247">
        <f>$H$39</f>
        <v>1518.2300811727869</v>
      </c>
      <c r="U52" s="249">
        <f>(T52*8.34*1.135)/45000</f>
        <v>0.31936475834163291</v>
      </c>
    </row>
    <row r="53" spans="1:25" ht="48" customHeight="1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1" t="s">
        <v>156</v>
      </c>
      <c r="S53" s="312"/>
      <c r="T53" s="247">
        <f>$B$39+$I$39+$AC$39</f>
        <v>4978.0112250089624</v>
      </c>
      <c r="U53" s="249">
        <f>(T53*8.34*1.029*0.03)/3300</f>
        <v>0.38836904919504922</v>
      </c>
    </row>
    <row r="54" spans="1:25" ht="45.75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54"/>
      <c r="T54" s="251">
        <f>$D$39+$Y$39+$Z$39</f>
        <v>33974.920670870968</v>
      </c>
      <c r="U54" s="252">
        <f>(T54*1.54*8.34)/45000</f>
        <v>9.6968953584088524</v>
      </c>
    </row>
    <row r="55" spans="1:25" ht="24" thickTop="1" x14ac:dyDescent="0.25">
      <c r="A55" s="589"/>
      <c r="B55" s="59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1"/>
      <c r="B56" s="59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7"/>
      <c r="B57" s="58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8"/>
      <c r="B58" s="58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7"/>
      <c r="B59" s="58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8"/>
      <c r="B60" s="588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4"/>
  <sheetViews>
    <sheetView topLeftCell="A37" zoomScale="75" zoomScaleNormal="75" workbookViewId="0">
      <selection activeCell="I53" sqref="I53"/>
    </sheetView>
  </sheetViews>
  <sheetFormatPr defaultRowHeight="15" x14ac:dyDescent="0.2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3.140625" bestFit="1" customWidth="1"/>
    <col min="10" max="10" width="25.42578125" bestFit="1" customWidth="1"/>
    <col min="11" max="11" width="19.1406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6" t="s">
        <v>3</v>
      </c>
      <c r="C4" s="567"/>
      <c r="D4" s="567"/>
      <c r="E4" s="567"/>
      <c r="F4" s="567"/>
      <c r="G4" s="567"/>
      <c r="H4" s="568"/>
      <c r="I4" s="566" t="s">
        <v>4</v>
      </c>
      <c r="J4" s="567"/>
      <c r="K4" s="567"/>
      <c r="L4" s="567"/>
      <c r="M4" s="567"/>
      <c r="N4" s="568"/>
      <c r="O4" s="572" t="s">
        <v>5</v>
      </c>
      <c r="P4" s="573"/>
      <c r="Q4" s="574"/>
      <c r="R4" s="574"/>
      <c r="S4" s="574"/>
      <c r="T4" s="575"/>
      <c r="U4" s="566" t="s">
        <v>6</v>
      </c>
      <c r="V4" s="579"/>
      <c r="W4" s="579"/>
      <c r="X4" s="579"/>
      <c r="Y4" s="579"/>
      <c r="Z4" s="579"/>
      <c r="AA4" s="580"/>
      <c r="AB4" s="551" t="s">
        <v>7</v>
      </c>
      <c r="AC4" s="585" t="s">
        <v>8</v>
      </c>
      <c r="AD4" s="564" t="s">
        <v>27</v>
      </c>
      <c r="AE4" s="564" t="s">
        <v>31</v>
      </c>
      <c r="AF4" s="564" t="s">
        <v>32</v>
      </c>
      <c r="AG4" s="564" t="s">
        <v>33</v>
      </c>
      <c r="AH4" s="551" t="s">
        <v>173</v>
      </c>
      <c r="AI4" s="551" t="s">
        <v>174</v>
      </c>
      <c r="AJ4" s="551" t="s">
        <v>175</v>
      </c>
      <c r="AK4" s="551" t="s">
        <v>176</v>
      </c>
      <c r="AL4" s="551" t="s">
        <v>177</v>
      </c>
      <c r="AM4" s="551" t="s">
        <v>178</v>
      </c>
      <c r="AN4" s="551" t="s">
        <v>179</v>
      </c>
      <c r="AO4" s="551" t="s">
        <v>182</v>
      </c>
      <c r="AP4" s="551" t="s">
        <v>180</v>
      </c>
      <c r="AQ4" s="551" t="s">
        <v>181</v>
      </c>
      <c r="AT4" t="s">
        <v>169</v>
      </c>
      <c r="AU4" s="331" t="s">
        <v>207</v>
      </c>
    </row>
    <row r="5" spans="1:47" ht="30" customHeight="1" thickBot="1" x14ac:dyDescent="0.3">
      <c r="A5" s="13"/>
      <c r="B5" s="569"/>
      <c r="C5" s="570"/>
      <c r="D5" s="570"/>
      <c r="E5" s="570"/>
      <c r="F5" s="570"/>
      <c r="G5" s="570"/>
      <c r="H5" s="571"/>
      <c r="I5" s="569"/>
      <c r="J5" s="570"/>
      <c r="K5" s="570"/>
      <c r="L5" s="570"/>
      <c r="M5" s="570"/>
      <c r="N5" s="571"/>
      <c r="O5" s="576"/>
      <c r="P5" s="577"/>
      <c r="Q5" s="577"/>
      <c r="R5" s="577"/>
      <c r="S5" s="577"/>
      <c r="T5" s="578"/>
      <c r="U5" s="581"/>
      <c r="V5" s="582"/>
      <c r="W5" s="582"/>
      <c r="X5" s="582"/>
      <c r="Y5" s="582"/>
      <c r="Z5" s="582"/>
      <c r="AA5" s="583"/>
      <c r="AB5" s="584"/>
      <c r="AC5" s="586"/>
      <c r="AD5" s="565"/>
      <c r="AE5" s="565"/>
      <c r="AF5" s="565"/>
      <c r="AG5" s="565"/>
      <c r="AH5" s="552"/>
      <c r="AI5" s="552"/>
      <c r="AJ5" s="552"/>
      <c r="AK5" s="552"/>
      <c r="AL5" s="552"/>
      <c r="AM5" s="552"/>
      <c r="AN5" s="552"/>
      <c r="AO5" s="552"/>
      <c r="AP5" s="552"/>
      <c r="AQ5" s="552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0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170</v>
      </c>
      <c r="AI7" s="22" t="s">
        <v>170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</row>
    <row r="8" spans="1:47" x14ac:dyDescent="0.25">
      <c r="A8" s="11">
        <v>41395</v>
      </c>
      <c r="B8" s="49"/>
      <c r="C8" s="50">
        <v>58.439894938469081</v>
      </c>
      <c r="D8" s="50">
        <v>1079.5988138834673</v>
      </c>
      <c r="E8" s="50">
        <v>11.771058792869265</v>
      </c>
      <c r="F8" s="50">
        <v>0</v>
      </c>
      <c r="G8" s="50">
        <v>3370.1392456054627</v>
      </c>
      <c r="H8" s="51">
        <v>51.721403046449183</v>
      </c>
      <c r="I8" s="49">
        <v>178.74847760995209</v>
      </c>
      <c r="J8" s="50">
        <v>414.98170143763213</v>
      </c>
      <c r="K8" s="50">
        <v>12.134755750497174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220.41375161199642</v>
      </c>
      <c r="V8" s="54">
        <v>109.44291089452685</v>
      </c>
      <c r="W8" s="54">
        <v>18.926112179479329</v>
      </c>
      <c r="X8" s="54">
        <v>9.3974572534150358</v>
      </c>
      <c r="Y8" s="54">
        <v>76.756061130266446</v>
      </c>
      <c r="Z8" s="54">
        <v>38.111990279454957</v>
      </c>
      <c r="AA8" s="55">
        <v>0</v>
      </c>
      <c r="AB8" s="56">
        <v>219.27638754315183</v>
      </c>
      <c r="AC8" s="57">
        <v>0</v>
      </c>
      <c r="AD8" s="57">
        <v>11.86738774544661</v>
      </c>
      <c r="AE8" s="58">
        <v>7.7176971163213501</v>
      </c>
      <c r="AF8" s="58">
        <v>3.8320986401037813</v>
      </c>
      <c r="AG8" s="58">
        <v>0.66821070078473099</v>
      </c>
      <c r="AH8" s="57">
        <v>290.62939941883087</v>
      </c>
      <c r="AI8" s="57">
        <v>846.96981407801297</v>
      </c>
      <c r="AJ8" s="57">
        <v>3092.0852703094479</v>
      </c>
      <c r="AK8" s="57">
        <v>674.13939154942852</v>
      </c>
      <c r="AL8" s="57">
        <v>4087.0517550150557</v>
      </c>
      <c r="AM8" s="57">
        <v>2950.5640508015949</v>
      </c>
      <c r="AN8" s="57">
        <v>628.93943179448445</v>
      </c>
      <c r="AO8" s="57">
        <v>1686.5160963694257</v>
      </c>
      <c r="AP8" s="57">
        <v>496.60838063557952</v>
      </c>
      <c r="AQ8" s="57">
        <v>665.54883562723796</v>
      </c>
    </row>
    <row r="9" spans="1:47" x14ac:dyDescent="0.25">
      <c r="A9" s="11">
        <v>41396</v>
      </c>
      <c r="B9" s="59"/>
      <c r="C9" s="60">
        <v>58.593352957566758</v>
      </c>
      <c r="D9" s="60">
        <v>1079.3149018605573</v>
      </c>
      <c r="E9" s="60">
        <v>11.543206321199749</v>
      </c>
      <c r="F9" s="60">
        <v>0</v>
      </c>
      <c r="G9" s="60">
        <v>3280.4719800313364</v>
      </c>
      <c r="H9" s="61">
        <v>51.703657178084221</v>
      </c>
      <c r="I9" s="59">
        <v>182.45216186046596</v>
      </c>
      <c r="J9" s="60">
        <v>416.24826612472538</v>
      </c>
      <c r="K9" s="60">
        <v>12.115015298624829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290.69515124551788</v>
      </c>
      <c r="V9" s="62">
        <v>148.97538390564603</v>
      </c>
      <c r="W9" s="62">
        <v>19.757765180394422</v>
      </c>
      <c r="X9" s="62">
        <v>10.125454931929307</v>
      </c>
      <c r="Y9" s="66">
        <v>77.816481631068456</v>
      </c>
      <c r="Z9" s="66">
        <v>39.879372516206764</v>
      </c>
      <c r="AA9" s="67">
        <v>0</v>
      </c>
      <c r="AB9" s="68">
        <v>227.87941109339135</v>
      </c>
      <c r="AC9" s="69">
        <v>0</v>
      </c>
      <c r="AD9" s="69">
        <v>12.399079827467602</v>
      </c>
      <c r="AE9" s="68">
        <v>8.0007405687949724</v>
      </c>
      <c r="AF9" s="68">
        <v>4.1002176770366248</v>
      </c>
      <c r="AG9" s="68">
        <v>0.66116586854193782</v>
      </c>
      <c r="AH9" s="69">
        <v>362.10978554089866</v>
      </c>
      <c r="AI9" s="69">
        <v>927.28497333526616</v>
      </c>
      <c r="AJ9" s="69">
        <v>3106.4707735697439</v>
      </c>
      <c r="AK9" s="69">
        <v>666.53501284917195</v>
      </c>
      <c r="AL9" s="69">
        <v>3987.1854454040522</v>
      </c>
      <c r="AM9" s="69">
        <v>2938.6377339680985</v>
      </c>
      <c r="AN9" s="69">
        <v>702.50119867324827</v>
      </c>
      <c r="AO9" s="69">
        <v>1740.6392108917239</v>
      </c>
      <c r="AP9" s="69">
        <v>418.35506760279333</v>
      </c>
      <c r="AQ9" s="69">
        <v>667.44364411036179</v>
      </c>
    </row>
    <row r="10" spans="1:47" x14ac:dyDescent="0.25">
      <c r="A10" s="11">
        <v>41397</v>
      </c>
      <c r="B10" s="59"/>
      <c r="C10" s="60">
        <v>58.574481089910094</v>
      </c>
      <c r="D10" s="60">
        <v>1080.8156364440933</v>
      </c>
      <c r="E10" s="60">
        <v>11.675412231187009</v>
      </c>
      <c r="F10" s="60">
        <v>0</v>
      </c>
      <c r="G10" s="60">
        <v>3312.5299321492525</v>
      </c>
      <c r="H10" s="61">
        <v>51.812186404069308</v>
      </c>
      <c r="I10" s="59">
        <v>191.58993184566492</v>
      </c>
      <c r="J10" s="60">
        <v>426.00868517557785</v>
      </c>
      <c r="K10" s="60">
        <v>12.384588730335219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268.5161247070987</v>
      </c>
      <c r="V10" s="62">
        <v>137.40862552559989</v>
      </c>
      <c r="W10" s="62">
        <v>18.925156754075715</v>
      </c>
      <c r="X10" s="62">
        <v>9.6846317153977584</v>
      </c>
      <c r="Y10" s="66">
        <v>72.93143640511741</v>
      </c>
      <c r="Z10" s="66">
        <v>37.321439987882968</v>
      </c>
      <c r="AA10" s="67">
        <v>0</v>
      </c>
      <c r="AB10" s="68">
        <v>227.25762676662484</v>
      </c>
      <c r="AC10" s="69">
        <v>0</v>
      </c>
      <c r="AD10" s="69">
        <v>11.907181805372225</v>
      </c>
      <c r="AE10" s="68">
        <v>7.7495370792683449</v>
      </c>
      <c r="AF10" s="68">
        <v>3.9656956902811427</v>
      </c>
      <c r="AG10" s="68">
        <v>0.66149236909838671</v>
      </c>
      <c r="AH10" s="69">
        <v>326.98899281819661</v>
      </c>
      <c r="AI10" s="69">
        <v>847.75089629491174</v>
      </c>
      <c r="AJ10" s="69">
        <v>3088.6186450958248</v>
      </c>
      <c r="AK10" s="69">
        <v>668.14807297388711</v>
      </c>
      <c r="AL10" s="69">
        <v>3917.5320404052741</v>
      </c>
      <c r="AM10" s="69">
        <v>2841.1685958862299</v>
      </c>
      <c r="AN10" s="69">
        <v>611.06249602635705</v>
      </c>
      <c r="AO10" s="69">
        <v>1691.6747661590578</v>
      </c>
      <c r="AP10" s="69">
        <v>394.97510137557987</v>
      </c>
      <c r="AQ10" s="69">
        <v>651.54148915608721</v>
      </c>
    </row>
    <row r="11" spans="1:47" x14ac:dyDescent="0.25">
      <c r="A11" s="11">
        <v>41398</v>
      </c>
      <c r="B11" s="59"/>
      <c r="C11" s="60">
        <v>58.71952028274535</v>
      </c>
      <c r="D11" s="60">
        <v>1080.7064174016334</v>
      </c>
      <c r="E11" s="60">
        <v>11.794423321882871</v>
      </c>
      <c r="F11" s="60">
        <v>0</v>
      </c>
      <c r="G11" s="60">
        <v>3331.8615063985212</v>
      </c>
      <c r="H11" s="61">
        <v>51.788982335726537</v>
      </c>
      <c r="I11" s="59">
        <v>186.12733467419937</v>
      </c>
      <c r="J11" s="60">
        <v>413.68384596506758</v>
      </c>
      <c r="K11" s="60">
        <v>12.032604390879477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231.09999584370763</v>
      </c>
      <c r="V11" s="62">
        <v>116.91462165236017</v>
      </c>
      <c r="W11" s="62">
        <v>19.561266626867976</v>
      </c>
      <c r="X11" s="62">
        <v>9.8961407522824043</v>
      </c>
      <c r="Y11" s="66">
        <v>75.084536056491572</v>
      </c>
      <c r="Z11" s="66">
        <v>37.985635148711005</v>
      </c>
      <c r="AA11" s="67">
        <v>0</v>
      </c>
      <c r="AB11" s="68">
        <v>227.215196439951</v>
      </c>
      <c r="AC11" s="69">
        <v>0</v>
      </c>
      <c r="AD11" s="69">
        <v>12.354209352201911</v>
      </c>
      <c r="AE11" s="68">
        <v>8.1030345061722091</v>
      </c>
      <c r="AF11" s="68">
        <v>4.0993649094041631</v>
      </c>
      <c r="AG11" s="68">
        <v>0.66405255476465386</v>
      </c>
      <c r="AH11" s="69">
        <v>219.6313892920812</v>
      </c>
      <c r="AI11" s="69">
        <v>717.67732591629033</v>
      </c>
      <c r="AJ11" s="69">
        <v>3055.6856430053708</v>
      </c>
      <c r="AK11" s="69">
        <v>667.58870881398502</v>
      </c>
      <c r="AL11" s="69">
        <v>3829.7082735697422</v>
      </c>
      <c r="AM11" s="69">
        <v>2758.4066570281993</v>
      </c>
      <c r="AN11" s="69">
        <v>618.88676430384317</v>
      </c>
      <c r="AO11" s="69">
        <v>1626.3569257100426</v>
      </c>
      <c r="AP11" s="69">
        <v>381.99402790069581</v>
      </c>
      <c r="AQ11" s="69">
        <v>640.10026795069382</v>
      </c>
    </row>
    <row r="12" spans="1:47" x14ac:dyDescent="0.25">
      <c r="A12" s="11">
        <v>41399</v>
      </c>
      <c r="B12" s="59"/>
      <c r="C12" s="60">
        <v>58.195798540115391</v>
      </c>
      <c r="D12" s="60">
        <v>1077.7045051574719</v>
      </c>
      <c r="E12" s="60">
        <v>11.811408130824569</v>
      </c>
      <c r="F12" s="60">
        <v>0</v>
      </c>
      <c r="G12" s="60">
        <v>3331.9931004842165</v>
      </c>
      <c r="H12" s="61">
        <v>51.630549395084415</v>
      </c>
      <c r="I12" s="59">
        <v>211.69300915400194</v>
      </c>
      <c r="J12" s="60">
        <v>470.28232390085867</v>
      </c>
      <c r="K12" s="60">
        <v>13.669155865410977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263.42269226726489</v>
      </c>
      <c r="V12" s="62">
        <v>116.88609024667295</v>
      </c>
      <c r="W12" s="62">
        <v>22.43002226278076</v>
      </c>
      <c r="X12" s="62">
        <v>9.9526642290265475</v>
      </c>
      <c r="Y12" s="66">
        <v>85.594888315715878</v>
      </c>
      <c r="Z12" s="66">
        <v>37.980220132948453</v>
      </c>
      <c r="AA12" s="67">
        <v>0</v>
      </c>
      <c r="AB12" s="68">
        <v>227.20185019174878</v>
      </c>
      <c r="AC12" s="69">
        <v>0</v>
      </c>
      <c r="AD12" s="69">
        <v>13.499860398636931</v>
      </c>
      <c r="AE12" s="68">
        <v>9.2395207714303123</v>
      </c>
      <c r="AF12" s="68">
        <v>4.099766232856239</v>
      </c>
      <c r="AG12" s="68">
        <v>0.692654769963433</v>
      </c>
      <c r="AH12" s="69">
        <v>234.44972833792369</v>
      </c>
      <c r="AI12" s="69">
        <v>743.2684134165446</v>
      </c>
      <c r="AJ12" s="69">
        <v>3053.3639625549322</v>
      </c>
      <c r="AK12" s="69">
        <v>669.25845375061033</v>
      </c>
      <c r="AL12" s="69">
        <v>3898.3986829121918</v>
      </c>
      <c r="AM12" s="69">
        <v>2709.2170038859044</v>
      </c>
      <c r="AN12" s="69">
        <v>619.55123748779306</v>
      </c>
      <c r="AO12" s="69">
        <v>1829.8100593566894</v>
      </c>
      <c r="AP12" s="69">
        <v>576.07661148707075</v>
      </c>
      <c r="AQ12" s="69">
        <v>624.09165398279833</v>
      </c>
    </row>
    <row r="13" spans="1:47" x14ac:dyDescent="0.25">
      <c r="A13" s="11">
        <v>41400</v>
      </c>
      <c r="B13" s="59"/>
      <c r="C13" s="60">
        <v>65.155759624640353</v>
      </c>
      <c r="D13" s="60">
        <v>1208.4662538528439</v>
      </c>
      <c r="E13" s="60">
        <v>13.237227321167795</v>
      </c>
      <c r="F13" s="60">
        <v>0</v>
      </c>
      <c r="G13" s="60">
        <v>3688.7772936503084</v>
      </c>
      <c r="H13" s="61">
        <v>57.951587994893323</v>
      </c>
      <c r="I13" s="59">
        <v>225.37623271942181</v>
      </c>
      <c r="J13" s="60">
        <v>509.1475141843157</v>
      </c>
      <c r="K13" s="60">
        <v>14.586674744884229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271.65520563589985</v>
      </c>
      <c r="V13" s="62">
        <v>129.18324437206803</v>
      </c>
      <c r="W13" s="62">
        <v>22.968325702405892</v>
      </c>
      <c r="X13" s="62">
        <v>10.922385326964777</v>
      </c>
      <c r="Y13" s="66">
        <v>87.945108432031205</v>
      </c>
      <c r="Z13" s="66">
        <v>41.821523012264052</v>
      </c>
      <c r="AA13" s="67">
        <v>0</v>
      </c>
      <c r="AB13" s="68">
        <v>227.14783960978133</v>
      </c>
      <c r="AC13" s="69">
        <v>0</v>
      </c>
      <c r="AD13" s="69">
        <v>14.202390658193169</v>
      </c>
      <c r="AE13" s="68">
        <v>9.5109659574257552</v>
      </c>
      <c r="AF13" s="68">
        <v>4.5228562309949769</v>
      </c>
      <c r="AG13" s="68">
        <v>0.67771743362070147</v>
      </c>
      <c r="AH13" s="69">
        <v>230.43163616657262</v>
      </c>
      <c r="AI13" s="69">
        <v>751.13749008178695</v>
      </c>
      <c r="AJ13" s="69">
        <v>3080.5505299886067</v>
      </c>
      <c r="AK13" s="69">
        <v>672.47624365488684</v>
      </c>
      <c r="AL13" s="69">
        <v>4119.8216659545906</v>
      </c>
      <c r="AM13" s="69">
        <v>2777.201968383788</v>
      </c>
      <c r="AN13" s="69">
        <v>616.82753664652523</v>
      </c>
      <c r="AO13" s="69">
        <v>1832.1431615193683</v>
      </c>
      <c r="AP13" s="69">
        <v>744.26949640909834</v>
      </c>
      <c r="AQ13" s="69">
        <v>701.59998957316077</v>
      </c>
    </row>
    <row r="14" spans="1:47" x14ac:dyDescent="0.25">
      <c r="A14" s="11">
        <v>41401</v>
      </c>
      <c r="B14" s="59"/>
      <c r="C14" s="60">
        <v>73.490627344449393</v>
      </c>
      <c r="D14" s="60">
        <v>1353.6848738352435</v>
      </c>
      <c r="E14" s="60">
        <v>15.144645285606364</v>
      </c>
      <c r="F14" s="60">
        <v>0</v>
      </c>
      <c r="G14" s="60">
        <v>4192.212429300952</v>
      </c>
      <c r="H14" s="61">
        <v>64.921501898765456</v>
      </c>
      <c r="I14" s="59">
        <v>206.42444566090944</v>
      </c>
      <c r="J14" s="60">
        <v>458.14522651036543</v>
      </c>
      <c r="K14" s="60">
        <v>12.986156402031568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257.15605518506328</v>
      </c>
      <c r="V14" s="62">
        <v>145.72569549395249</v>
      </c>
      <c r="W14" s="62">
        <v>21.767872841486078</v>
      </c>
      <c r="X14" s="62">
        <v>12.33546068735048</v>
      </c>
      <c r="Y14" s="66">
        <v>62.216975893519802</v>
      </c>
      <c r="Z14" s="66">
        <v>35.257237388747583</v>
      </c>
      <c r="AA14" s="67">
        <v>0</v>
      </c>
      <c r="AB14" s="68">
        <v>227.44426477220486</v>
      </c>
      <c r="AC14" s="69">
        <v>0</v>
      </c>
      <c r="AD14" s="69">
        <v>14.255345124668549</v>
      </c>
      <c r="AE14" s="68">
        <v>8.9993039277409839</v>
      </c>
      <c r="AF14" s="68">
        <v>5.0997431224698877</v>
      </c>
      <c r="AG14" s="68">
        <v>0.63829164451269682</v>
      </c>
      <c r="AH14" s="69">
        <v>229.22635339101154</v>
      </c>
      <c r="AI14" s="69">
        <v>764.90519596735658</v>
      </c>
      <c r="AJ14" s="69">
        <v>3096.6048661549885</v>
      </c>
      <c r="AK14" s="69">
        <v>671.55132516225171</v>
      </c>
      <c r="AL14" s="69">
        <v>4425.0400922139479</v>
      </c>
      <c r="AM14" s="69">
        <v>2785.5981605529796</v>
      </c>
      <c r="AN14" s="69">
        <v>600.98758007685331</v>
      </c>
      <c r="AO14" s="69">
        <v>1812.8721702575683</v>
      </c>
      <c r="AP14" s="69">
        <v>595.99231955210371</v>
      </c>
      <c r="AQ14" s="69">
        <v>738.97684539159138</v>
      </c>
    </row>
    <row r="15" spans="1:47" x14ac:dyDescent="0.25">
      <c r="A15" s="11">
        <v>41402</v>
      </c>
      <c r="B15" s="59"/>
      <c r="C15" s="60">
        <v>73.185925042629307</v>
      </c>
      <c r="D15" s="60">
        <v>1353.5963303883861</v>
      </c>
      <c r="E15" s="60">
        <v>15.112404008706404</v>
      </c>
      <c r="F15" s="60">
        <v>0</v>
      </c>
      <c r="G15" s="60">
        <v>4212.1492271423185</v>
      </c>
      <c r="H15" s="61">
        <v>64.905182047684974</v>
      </c>
      <c r="I15" s="59">
        <v>182.46427409648857</v>
      </c>
      <c r="J15" s="60">
        <v>405.38094600041666</v>
      </c>
      <c r="K15" s="60">
        <v>11.950298805038157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222.46151740177487</v>
      </c>
      <c r="V15" s="62">
        <v>142.64073733862921</v>
      </c>
      <c r="W15" s="62">
        <v>19.44297442982803</v>
      </c>
      <c r="X15" s="62">
        <v>12.466696447628641</v>
      </c>
      <c r="Y15" s="66">
        <v>48.90856541474573</v>
      </c>
      <c r="Z15" s="66">
        <v>31.359823102951871</v>
      </c>
      <c r="AA15" s="67">
        <v>0</v>
      </c>
      <c r="AB15" s="68">
        <v>227.53521752886977</v>
      </c>
      <c r="AC15" s="69">
        <v>0</v>
      </c>
      <c r="AD15" s="69">
        <v>13.21128158701789</v>
      </c>
      <c r="AE15" s="68">
        <v>7.9530738119127271</v>
      </c>
      <c r="AF15" s="68">
        <v>5.09945417027315</v>
      </c>
      <c r="AG15" s="68">
        <v>0.60931291032412283</v>
      </c>
      <c r="AH15" s="69">
        <v>242.29914604028065</v>
      </c>
      <c r="AI15" s="69">
        <v>763.94201447168973</v>
      </c>
      <c r="AJ15" s="69">
        <v>3086.2093050638832</v>
      </c>
      <c r="AK15" s="69">
        <v>669.98711611429849</v>
      </c>
      <c r="AL15" s="69">
        <v>4558.0665351867674</v>
      </c>
      <c r="AM15" s="69">
        <v>2801.6107573191325</v>
      </c>
      <c r="AN15" s="69">
        <v>622.0658809979758</v>
      </c>
      <c r="AO15" s="69">
        <v>1808.1864117304483</v>
      </c>
      <c r="AP15" s="69">
        <v>704.29372577667232</v>
      </c>
      <c r="AQ15" s="69">
        <v>679.38832308451344</v>
      </c>
    </row>
    <row r="16" spans="1:47" x14ac:dyDescent="0.25">
      <c r="A16" s="11">
        <v>41403</v>
      </c>
      <c r="B16" s="59"/>
      <c r="C16" s="60">
        <v>73.438940773407424</v>
      </c>
      <c r="D16" s="60">
        <v>1357.7218837102241</v>
      </c>
      <c r="E16" s="60">
        <v>15.093266430497184</v>
      </c>
      <c r="F16" s="60">
        <v>0</v>
      </c>
      <c r="G16" s="60">
        <v>4146.8025283813458</v>
      </c>
      <c r="H16" s="61">
        <v>65.12366742293041</v>
      </c>
      <c r="I16" s="59">
        <v>180.83215123812334</v>
      </c>
      <c r="J16" s="60">
        <v>397.83608576456646</v>
      </c>
      <c r="K16" s="60">
        <v>11.658079527318472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214.00398964516253</v>
      </c>
      <c r="V16" s="62">
        <v>145.30150720644266</v>
      </c>
      <c r="W16" s="62">
        <v>17.927955557391108</v>
      </c>
      <c r="X16" s="62">
        <v>12.172478503500329</v>
      </c>
      <c r="Y16" s="66">
        <v>31.051089607034946</v>
      </c>
      <c r="Z16" s="66">
        <v>21.082644897346995</v>
      </c>
      <c r="AA16" s="67">
        <v>0</v>
      </c>
      <c r="AB16" s="68">
        <v>227.75167169571185</v>
      </c>
      <c r="AC16" s="69">
        <v>0</v>
      </c>
      <c r="AD16" s="69">
        <v>12.76341692010562</v>
      </c>
      <c r="AE16" s="68">
        <v>7.5109302334229779</v>
      </c>
      <c r="AF16" s="68">
        <v>5.0996688671475265</v>
      </c>
      <c r="AG16" s="68">
        <v>0.59560455245010391</v>
      </c>
      <c r="AH16" s="69">
        <v>256.06805152893065</v>
      </c>
      <c r="AI16" s="69">
        <v>793.25181770324696</v>
      </c>
      <c r="AJ16" s="69">
        <v>3130.8864166259764</v>
      </c>
      <c r="AK16" s="69">
        <v>637.48860718409219</v>
      </c>
      <c r="AL16" s="69">
        <v>4684.5286632537845</v>
      </c>
      <c r="AM16" s="69">
        <v>2825.7347935994462</v>
      </c>
      <c r="AN16" s="69">
        <v>620.4753061612447</v>
      </c>
      <c r="AO16" s="69">
        <v>1781.1544282277425</v>
      </c>
      <c r="AP16" s="69">
        <v>687.91800195376072</v>
      </c>
      <c r="AQ16" s="69">
        <v>654.12517016728702</v>
      </c>
    </row>
    <row r="17" spans="1:43" x14ac:dyDescent="0.25">
      <c r="A17" s="11">
        <v>41404</v>
      </c>
      <c r="B17" s="49"/>
      <c r="C17" s="50">
        <v>73.082336258888276</v>
      </c>
      <c r="D17" s="50">
        <v>1354.4306735356624</v>
      </c>
      <c r="E17" s="50">
        <v>14.974833155671762</v>
      </c>
      <c r="F17" s="50">
        <v>0</v>
      </c>
      <c r="G17" s="50">
        <v>4049.3606643676703</v>
      </c>
      <c r="H17" s="51">
        <v>64.970281855265284</v>
      </c>
      <c r="I17" s="49">
        <v>180.41522849400843</v>
      </c>
      <c r="J17" s="50">
        <v>385.07561527887964</v>
      </c>
      <c r="K17" s="50">
        <v>11.134585323433082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212.04545929953218</v>
      </c>
      <c r="V17" s="66">
        <v>144.16806560365961</v>
      </c>
      <c r="W17" s="62">
        <v>17.984289027838397</v>
      </c>
      <c r="X17" s="62">
        <v>12.22737883171593</v>
      </c>
      <c r="Y17" s="66">
        <v>30.101262797035105</v>
      </c>
      <c r="Z17" s="66">
        <v>20.465615458173261</v>
      </c>
      <c r="AA17" s="67">
        <v>0</v>
      </c>
      <c r="AB17" s="68">
        <v>227.75267081790423</v>
      </c>
      <c r="AC17" s="69">
        <v>0</v>
      </c>
      <c r="AD17" s="69">
        <v>12.616527154048294</v>
      </c>
      <c r="AE17" s="68">
        <v>7.412148982699108</v>
      </c>
      <c r="AF17" s="68">
        <v>5.0394626903676478</v>
      </c>
      <c r="AG17" s="68">
        <v>0.59527627244686965</v>
      </c>
      <c r="AH17" s="69">
        <v>249.86625083287555</v>
      </c>
      <c r="AI17" s="69">
        <v>785.55981839497883</v>
      </c>
      <c r="AJ17" s="69">
        <v>3110.5902454376223</v>
      </c>
      <c r="AK17" s="69">
        <v>634.04979457855222</v>
      </c>
      <c r="AL17" s="69">
        <v>4708.1684926350918</v>
      </c>
      <c r="AM17" s="69">
        <v>2794.7608455657964</v>
      </c>
      <c r="AN17" s="69">
        <v>620.09443769454958</v>
      </c>
      <c r="AO17" s="69">
        <v>1746.6758223851521</v>
      </c>
      <c r="AP17" s="69">
        <v>757.84588648478189</v>
      </c>
      <c r="AQ17" s="69">
        <v>693.54486153920493</v>
      </c>
    </row>
    <row r="18" spans="1:43" x14ac:dyDescent="0.25">
      <c r="A18" s="11">
        <v>41405</v>
      </c>
      <c r="B18" s="59"/>
      <c r="C18" s="60">
        <v>73.38229453166332</v>
      </c>
      <c r="D18" s="60">
        <v>1354.5196612675995</v>
      </c>
      <c r="E18" s="60">
        <v>15.09854399760564</v>
      </c>
      <c r="F18" s="60">
        <v>0</v>
      </c>
      <c r="G18" s="60">
        <v>4051.9600334167312</v>
      </c>
      <c r="H18" s="61">
        <v>64.972565611203606</v>
      </c>
      <c r="I18" s="59">
        <v>196.55860056877154</v>
      </c>
      <c r="J18" s="60">
        <v>412.75890857378641</v>
      </c>
      <c r="K18" s="60">
        <v>11.879967884222703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228.039906919679</v>
      </c>
      <c r="V18" s="62">
        <v>140.87181125811455</v>
      </c>
      <c r="W18" s="62">
        <v>19.826487761856562</v>
      </c>
      <c r="X18" s="62">
        <v>12.247826617835507</v>
      </c>
      <c r="Y18" s="66">
        <v>31.80818822812174</v>
      </c>
      <c r="Z18" s="66">
        <v>19.649530422378295</v>
      </c>
      <c r="AA18" s="67">
        <v>0</v>
      </c>
      <c r="AB18" s="68">
        <v>227.74013502332573</v>
      </c>
      <c r="AC18" s="69">
        <v>0</v>
      </c>
      <c r="AD18" s="69">
        <v>13.055907360712661</v>
      </c>
      <c r="AE18" s="68">
        <v>7.9687087043035616</v>
      </c>
      <c r="AF18" s="68">
        <v>4.922675349797176</v>
      </c>
      <c r="AG18" s="68">
        <v>0.61814221582892981</v>
      </c>
      <c r="AH18" s="69">
        <v>233.74840938250227</v>
      </c>
      <c r="AI18" s="69">
        <v>729.15580355326335</v>
      </c>
      <c r="AJ18" s="69">
        <v>3108.7279069264728</v>
      </c>
      <c r="AK18" s="69">
        <v>649.89061120351153</v>
      </c>
      <c r="AL18" s="69">
        <v>5420.1435195922859</v>
      </c>
      <c r="AM18" s="69">
        <v>2733.4659289042156</v>
      </c>
      <c r="AN18" s="69">
        <v>629.63641853332535</v>
      </c>
      <c r="AO18" s="69">
        <v>1681.4990254720055</v>
      </c>
      <c r="AP18" s="69">
        <v>759.48856986363717</v>
      </c>
      <c r="AQ18" s="69">
        <v>727.3005999247232</v>
      </c>
    </row>
    <row r="19" spans="1:43" x14ac:dyDescent="0.25">
      <c r="A19" s="11">
        <v>41406</v>
      </c>
      <c r="B19" s="59"/>
      <c r="C19" s="60">
        <v>73.567106076081828</v>
      </c>
      <c r="D19" s="60">
        <v>1352.966191927592</v>
      </c>
      <c r="E19" s="60">
        <v>14.81710643370948</v>
      </c>
      <c r="F19" s="60">
        <v>0</v>
      </c>
      <c r="G19" s="60">
        <v>4051.5094352722172</v>
      </c>
      <c r="H19" s="61">
        <v>64.893250664075168</v>
      </c>
      <c r="I19" s="59">
        <v>219.03471453984582</v>
      </c>
      <c r="J19" s="60">
        <v>460.24204422632806</v>
      </c>
      <c r="K19" s="60">
        <v>13.381154743830393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248.55123257072779</v>
      </c>
      <c r="V19" s="62">
        <v>140.899030049987</v>
      </c>
      <c r="W19" s="62">
        <v>21.89958187015198</v>
      </c>
      <c r="X19" s="62">
        <v>12.414462049093428</v>
      </c>
      <c r="Y19" s="66">
        <v>35.467693035080146</v>
      </c>
      <c r="Z19" s="66">
        <v>20.105969683056877</v>
      </c>
      <c r="AA19" s="67">
        <v>0</v>
      </c>
      <c r="AB19" s="68">
        <v>227.62997070948379</v>
      </c>
      <c r="AC19" s="69">
        <v>0</v>
      </c>
      <c r="AD19" s="69">
        <v>14.161543727583354</v>
      </c>
      <c r="AE19" s="68">
        <v>8.9252856929772477</v>
      </c>
      <c r="AF19" s="68">
        <v>5.0595769896319771</v>
      </c>
      <c r="AG19" s="68">
        <v>0.63821046338025345</v>
      </c>
      <c r="AH19" s="69">
        <v>215.33956439495086</v>
      </c>
      <c r="AI19" s="69">
        <v>680.58840306599927</v>
      </c>
      <c r="AJ19" s="69">
        <v>3095.840416590373</v>
      </c>
      <c r="AK19" s="69">
        <v>669.99998922348038</v>
      </c>
      <c r="AL19" s="69">
        <v>5313.8263654073071</v>
      </c>
      <c r="AM19" s="69">
        <v>2787.6905272165932</v>
      </c>
      <c r="AN19" s="69">
        <v>609.59166603088363</v>
      </c>
      <c r="AO19" s="69">
        <v>1807.5770647684733</v>
      </c>
      <c r="AP19" s="69">
        <v>560.38684447606408</v>
      </c>
      <c r="AQ19" s="69">
        <v>833.60145937601737</v>
      </c>
    </row>
    <row r="20" spans="1:43" x14ac:dyDescent="0.25">
      <c r="A20" s="11">
        <v>41407</v>
      </c>
      <c r="B20" s="59"/>
      <c r="C20" s="60">
        <v>73.160633357365896</v>
      </c>
      <c r="D20" s="60">
        <v>1356.3750212987259</v>
      </c>
      <c r="E20" s="60">
        <v>14.666347825527216</v>
      </c>
      <c r="F20" s="60">
        <v>0</v>
      </c>
      <c r="G20" s="60">
        <v>4051.5237241109335</v>
      </c>
      <c r="H20" s="61">
        <v>65.045030701160542</v>
      </c>
      <c r="I20" s="59">
        <v>258.87458254496227</v>
      </c>
      <c r="J20" s="60">
        <v>543.89222224553407</v>
      </c>
      <c r="K20" s="60">
        <v>15.901551432410837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290.35888887513534</v>
      </c>
      <c r="V20" s="62">
        <v>133.26528592107724</v>
      </c>
      <c r="W20" s="62">
        <v>24.739053220815894</v>
      </c>
      <c r="X20" s="62">
        <v>11.35442077788961</v>
      </c>
      <c r="Y20" s="66">
        <v>47.217378691156824</v>
      </c>
      <c r="Z20" s="66">
        <v>21.671241049647239</v>
      </c>
      <c r="AA20" s="67">
        <v>0</v>
      </c>
      <c r="AB20" s="68">
        <v>227.53717986212649</v>
      </c>
      <c r="AC20" s="69">
        <v>0</v>
      </c>
      <c r="AD20" s="69">
        <v>15.03774695330196</v>
      </c>
      <c r="AE20" s="68">
        <v>10.063599230873013</v>
      </c>
      <c r="AF20" s="68">
        <v>4.6188647232155464</v>
      </c>
      <c r="AG20" s="68">
        <v>0.68541623955907272</v>
      </c>
      <c r="AH20" s="69">
        <v>212.1199436823527</v>
      </c>
      <c r="AI20" s="69">
        <v>698.61052815119422</v>
      </c>
      <c r="AJ20" s="69">
        <v>3151.1048133850095</v>
      </c>
      <c r="AK20" s="69">
        <v>676.76201597849524</v>
      </c>
      <c r="AL20" s="69">
        <v>5354.4081377665207</v>
      </c>
      <c r="AM20" s="69">
        <v>2826.3543589274086</v>
      </c>
      <c r="AN20" s="69">
        <v>602.67070706685377</v>
      </c>
      <c r="AO20" s="69">
        <v>2002.8168249766031</v>
      </c>
      <c r="AP20" s="69">
        <v>542.79636500676463</v>
      </c>
      <c r="AQ20" s="69">
        <v>890.61050243377679</v>
      </c>
    </row>
    <row r="21" spans="1:43" x14ac:dyDescent="0.25">
      <c r="A21" s="11">
        <v>41408</v>
      </c>
      <c r="B21" s="59"/>
      <c r="C21" s="60">
        <v>73.25651663939162</v>
      </c>
      <c r="D21" s="60">
        <v>1352.2193520863852</v>
      </c>
      <c r="E21" s="60">
        <v>14.714029382665958</v>
      </c>
      <c r="F21" s="60">
        <v>0</v>
      </c>
      <c r="G21" s="60">
        <v>4051.9991874695111</v>
      </c>
      <c r="H21" s="61">
        <v>64.851033731301641</v>
      </c>
      <c r="I21" s="59">
        <v>296.49319624900858</v>
      </c>
      <c r="J21" s="60">
        <v>622.31078297297233</v>
      </c>
      <c r="K21" s="60">
        <v>17.832275100549079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329.20814829169609</v>
      </c>
      <c r="V21" s="62">
        <v>142.15530370839224</v>
      </c>
      <c r="W21" s="62">
        <v>29.567934230559974</v>
      </c>
      <c r="X21" s="62">
        <v>12.76772367994587</v>
      </c>
      <c r="Y21" s="66">
        <v>78.431484885630468</v>
      </c>
      <c r="Z21" s="66">
        <v>33.867483572544998</v>
      </c>
      <c r="AA21" s="67">
        <v>0</v>
      </c>
      <c r="AB21" s="68">
        <v>227.43705477184622</v>
      </c>
      <c r="AC21" s="69">
        <v>0</v>
      </c>
      <c r="AD21" s="69">
        <v>17.259196080764152</v>
      </c>
      <c r="AE21" s="68">
        <v>11.810008410725217</v>
      </c>
      <c r="AF21" s="68">
        <v>5.0996773352576739</v>
      </c>
      <c r="AG21" s="68">
        <v>0.69841678835047738</v>
      </c>
      <c r="AH21" s="69">
        <v>208.48245026270547</v>
      </c>
      <c r="AI21" s="69">
        <v>674.22184864679957</v>
      </c>
      <c r="AJ21" s="69">
        <v>3152.3169296264646</v>
      </c>
      <c r="AK21" s="69">
        <v>669.47107985814409</v>
      </c>
      <c r="AL21" s="69">
        <v>5304.8600565592451</v>
      </c>
      <c r="AM21" s="69">
        <v>2800.282316843668</v>
      </c>
      <c r="AN21" s="69">
        <v>622.7102214813234</v>
      </c>
      <c r="AO21" s="69">
        <v>2257.4897984822587</v>
      </c>
      <c r="AP21" s="69">
        <v>494.49286707242334</v>
      </c>
      <c r="AQ21" s="69">
        <v>921.3509973843893</v>
      </c>
    </row>
    <row r="22" spans="1:43" x14ac:dyDescent="0.25">
      <c r="A22" s="11">
        <v>41409</v>
      </c>
      <c r="B22" s="59"/>
      <c r="C22" s="60">
        <v>72.988877451419739</v>
      </c>
      <c r="D22" s="60">
        <v>1349.3656067530287</v>
      </c>
      <c r="E22" s="60">
        <v>14.816278700033834</v>
      </c>
      <c r="F22" s="60">
        <v>0</v>
      </c>
      <c r="G22" s="60">
        <v>4051.378481801371</v>
      </c>
      <c r="H22" s="61">
        <v>64.708277531464873</v>
      </c>
      <c r="I22" s="59">
        <v>297.18980611165324</v>
      </c>
      <c r="J22" s="60">
        <v>623.90908788045158</v>
      </c>
      <c r="K22" s="60">
        <v>18.305159472425771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334.33550234082969</v>
      </c>
      <c r="V22" s="62">
        <v>139.83267840037402</v>
      </c>
      <c r="W22" s="62">
        <v>29.646797252301059</v>
      </c>
      <c r="X22" s="62">
        <v>12.399494031465405</v>
      </c>
      <c r="Y22" s="66">
        <v>81.07572677613723</v>
      </c>
      <c r="Z22" s="66">
        <v>33.909159957553477</v>
      </c>
      <c r="AA22" s="67">
        <v>0</v>
      </c>
      <c r="AB22" s="68">
        <v>227.61392918692439</v>
      </c>
      <c r="AC22" s="69">
        <v>0</v>
      </c>
      <c r="AD22" s="69">
        <v>17.610127628511851</v>
      </c>
      <c r="AE22" s="68">
        <v>12.194350287643083</v>
      </c>
      <c r="AF22" s="68">
        <v>5.1001722824374589</v>
      </c>
      <c r="AG22" s="68">
        <v>0.70509898369436708</v>
      </c>
      <c r="AH22" s="69">
        <v>208.66294973691305</v>
      </c>
      <c r="AI22" s="69">
        <v>643.07805013656616</v>
      </c>
      <c r="AJ22" s="69">
        <v>3130.309170150756</v>
      </c>
      <c r="AK22" s="69">
        <v>674.93847459157337</v>
      </c>
      <c r="AL22" s="69">
        <v>5236.6160817464179</v>
      </c>
      <c r="AM22" s="69">
        <v>2787.0950139363613</v>
      </c>
      <c r="AN22" s="69">
        <v>618.90200888315837</v>
      </c>
      <c r="AO22" s="69">
        <v>2265.8289492289223</v>
      </c>
      <c r="AP22" s="69">
        <v>452.57659511566152</v>
      </c>
      <c r="AQ22" s="69">
        <v>841.57487497329714</v>
      </c>
    </row>
    <row r="23" spans="1:43" x14ac:dyDescent="0.25">
      <c r="A23" s="11">
        <v>41410</v>
      </c>
      <c r="B23" s="59"/>
      <c r="C23" s="60">
        <v>72.796145753065787</v>
      </c>
      <c r="D23" s="60">
        <v>1348.7041646957371</v>
      </c>
      <c r="E23" s="60">
        <v>14.889033443729089</v>
      </c>
      <c r="F23" s="60">
        <v>0</v>
      </c>
      <c r="G23" s="60">
        <v>4049.9050069173309</v>
      </c>
      <c r="H23" s="61">
        <v>64.712683705488942</v>
      </c>
      <c r="I23" s="59">
        <v>259.05637652079236</v>
      </c>
      <c r="J23" s="60">
        <v>563.59665416081748</v>
      </c>
      <c r="K23" s="60">
        <v>16.300832214951509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300.69739726750402</v>
      </c>
      <c r="V23" s="62">
        <v>139.40629472366632</v>
      </c>
      <c r="W23" s="62">
        <v>26.394353359284164</v>
      </c>
      <c r="X23" s="62">
        <v>12.236683911738677</v>
      </c>
      <c r="Y23" s="66">
        <v>73.470939353314719</v>
      </c>
      <c r="Z23" s="66">
        <v>34.061855932863701</v>
      </c>
      <c r="AA23" s="67">
        <v>0</v>
      </c>
      <c r="AB23" s="68">
        <v>227.69651634427839</v>
      </c>
      <c r="AC23" s="69">
        <v>0</v>
      </c>
      <c r="AD23" s="69">
        <v>16.386162062486015</v>
      </c>
      <c r="AE23" s="68">
        <v>11.000839500802336</v>
      </c>
      <c r="AF23" s="68">
        <v>5.1000982635453393</v>
      </c>
      <c r="AG23" s="68">
        <v>0.68324216028966378</v>
      </c>
      <c r="AH23" s="69">
        <v>216.05384400685628</v>
      </c>
      <c r="AI23" s="69">
        <v>662.38933401107795</v>
      </c>
      <c r="AJ23" s="69">
        <v>3146.4304472605386</v>
      </c>
      <c r="AK23" s="69">
        <v>668.01762069066365</v>
      </c>
      <c r="AL23" s="69">
        <v>5302.3550796508789</v>
      </c>
      <c r="AM23" s="69">
        <v>2776.4200614929205</v>
      </c>
      <c r="AN23" s="69">
        <v>615.33175061543795</v>
      </c>
      <c r="AO23" s="69">
        <v>2059.5925010681149</v>
      </c>
      <c r="AP23" s="69">
        <v>453.17353289922079</v>
      </c>
      <c r="AQ23" s="69">
        <v>855.88004690806076</v>
      </c>
    </row>
    <row r="24" spans="1:43" x14ac:dyDescent="0.25">
      <c r="A24" s="11">
        <v>41411</v>
      </c>
      <c r="B24" s="59"/>
      <c r="C24" s="60">
        <v>72.300327628850866</v>
      </c>
      <c r="D24" s="60">
        <v>1346.4017506917278</v>
      </c>
      <c r="E24" s="60">
        <v>14.903118187189101</v>
      </c>
      <c r="F24" s="60">
        <v>0</v>
      </c>
      <c r="G24" s="60">
        <v>4052.1456517537549</v>
      </c>
      <c r="H24" s="61">
        <v>64.585445106029368</v>
      </c>
      <c r="I24" s="59">
        <v>268.38810008366903</v>
      </c>
      <c r="J24" s="60">
        <v>587.64659086863094</v>
      </c>
      <c r="K24" s="60">
        <v>17.120556972424207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314.15413103288176</v>
      </c>
      <c r="V24" s="62">
        <v>139.56719598585119</v>
      </c>
      <c r="W24" s="62">
        <v>27.272382681937689</v>
      </c>
      <c r="X24" s="62">
        <v>12.116122637816698</v>
      </c>
      <c r="Y24" s="66">
        <v>76.395464812370733</v>
      </c>
      <c r="Z24" s="66">
        <v>33.939712251571024</v>
      </c>
      <c r="AA24" s="67">
        <v>0</v>
      </c>
      <c r="AB24" s="68">
        <v>227.64932111104008</v>
      </c>
      <c r="AC24" s="69">
        <v>0</v>
      </c>
      <c r="AD24" s="69">
        <v>16.873306503560823</v>
      </c>
      <c r="AE24" s="68">
        <v>11.480049868956407</v>
      </c>
      <c r="AF24" s="68">
        <v>5.1001664842671817</v>
      </c>
      <c r="AG24" s="68">
        <v>0.69239445519807175</v>
      </c>
      <c r="AH24" s="69">
        <v>215.2585896174113</v>
      </c>
      <c r="AI24" s="69">
        <v>663.40804704030347</v>
      </c>
      <c r="AJ24" s="69">
        <v>3136.0416126251225</v>
      </c>
      <c r="AK24" s="69">
        <v>655.8790519714355</v>
      </c>
      <c r="AL24" s="69">
        <v>5237.0141591389965</v>
      </c>
      <c r="AM24" s="69">
        <v>2809.2987611134845</v>
      </c>
      <c r="AN24" s="69">
        <v>617.04143597284951</v>
      </c>
      <c r="AO24" s="69">
        <v>2080.877903111776</v>
      </c>
      <c r="AP24" s="69">
        <v>430.45220429102579</v>
      </c>
      <c r="AQ24" s="69">
        <v>874.93761978149428</v>
      </c>
    </row>
    <row r="25" spans="1:43" x14ac:dyDescent="0.25">
      <c r="A25" s="11">
        <v>41412</v>
      </c>
      <c r="B25" s="59"/>
      <c r="C25" s="60">
        <v>72.566780591011209</v>
      </c>
      <c r="D25" s="60">
        <v>1343.5772205352778</v>
      </c>
      <c r="E25" s="60">
        <v>14.873190182447424</v>
      </c>
      <c r="F25" s="60">
        <v>0</v>
      </c>
      <c r="G25" s="60">
        <v>4023.5218943278123</v>
      </c>
      <c r="H25" s="61">
        <v>64.409568695227406</v>
      </c>
      <c r="I25" s="59">
        <v>301.87587437629708</v>
      </c>
      <c r="J25" s="60">
        <v>660.96143217086933</v>
      </c>
      <c r="K25" s="60">
        <v>19.214729146162686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354.73255318840114</v>
      </c>
      <c r="V25" s="62">
        <v>139.73196643948529</v>
      </c>
      <c r="W25" s="62">
        <v>30.678926922496665</v>
      </c>
      <c r="X25" s="62">
        <v>12.084672660016516</v>
      </c>
      <c r="Y25" s="66">
        <v>86.399311883718426</v>
      </c>
      <c r="Z25" s="66">
        <v>34.03337427032934</v>
      </c>
      <c r="AA25" s="67">
        <v>0</v>
      </c>
      <c r="AB25" s="68">
        <v>227.76283996369753</v>
      </c>
      <c r="AC25" s="69">
        <v>0</v>
      </c>
      <c r="AD25" s="69">
        <v>18.355032645331491</v>
      </c>
      <c r="AE25" s="68">
        <v>12.947587873140744</v>
      </c>
      <c r="AF25" s="68">
        <v>5.1001575634957703</v>
      </c>
      <c r="AG25" s="68">
        <v>0.71740749660937897</v>
      </c>
      <c r="AH25" s="69">
        <v>209.44556306203205</v>
      </c>
      <c r="AI25" s="69">
        <v>655.50358832677182</v>
      </c>
      <c r="AJ25" s="69">
        <v>2931.033273569743</v>
      </c>
      <c r="AK25" s="69">
        <v>656.07391052246101</v>
      </c>
      <c r="AL25" s="69">
        <v>5258.8628738403313</v>
      </c>
      <c r="AM25" s="69">
        <v>2744.5925708770746</v>
      </c>
      <c r="AN25" s="69">
        <v>589.42452716827381</v>
      </c>
      <c r="AO25" s="69">
        <v>2222.0044007619222</v>
      </c>
      <c r="AP25" s="69">
        <v>237.67598213752106</v>
      </c>
      <c r="AQ25" s="69">
        <v>798.89117946624765</v>
      </c>
    </row>
    <row r="26" spans="1:43" x14ac:dyDescent="0.25">
      <c r="A26" s="11">
        <v>41413</v>
      </c>
      <c r="B26" s="59"/>
      <c r="C26" s="60">
        <v>72.161735820770289</v>
      </c>
      <c r="D26" s="60">
        <v>1390.5634499867735</v>
      </c>
      <c r="E26" s="60">
        <v>14.786145574847865</v>
      </c>
      <c r="F26" s="60">
        <v>0</v>
      </c>
      <c r="G26" s="60">
        <v>4000.548766581222</v>
      </c>
      <c r="H26" s="61">
        <v>64.152076168855032</v>
      </c>
      <c r="I26" s="59">
        <v>308.21332583427414</v>
      </c>
      <c r="J26" s="60">
        <v>674.70830793380912</v>
      </c>
      <c r="K26" s="60">
        <v>19.834797546267474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356.31032345488188</v>
      </c>
      <c r="V26" s="62">
        <v>139.6512966428094</v>
      </c>
      <c r="W26" s="62">
        <v>31.189148421582146</v>
      </c>
      <c r="X26" s="62">
        <v>12.224189790589975</v>
      </c>
      <c r="Y26" s="66">
        <v>100.01363594123342</v>
      </c>
      <c r="Z26" s="66">
        <v>39.199071769032592</v>
      </c>
      <c r="AA26" s="67">
        <v>0</v>
      </c>
      <c r="AB26" s="68">
        <v>227.76947959263748</v>
      </c>
      <c r="AC26" s="69">
        <v>0</v>
      </c>
      <c r="AD26" s="69">
        <v>18.36156496604282</v>
      </c>
      <c r="AE26" s="68">
        <v>13.012716730112109</v>
      </c>
      <c r="AF26" s="68">
        <v>5.1001687141288947</v>
      </c>
      <c r="AG26" s="68">
        <v>0.7184231783594428</v>
      </c>
      <c r="AH26" s="69">
        <v>222.26289772987363</v>
      </c>
      <c r="AI26" s="69">
        <v>641.88551429112738</v>
      </c>
      <c r="AJ26" s="69">
        <v>2931.1327726999916</v>
      </c>
      <c r="AK26" s="69">
        <v>654.31000487009669</v>
      </c>
      <c r="AL26" s="69">
        <v>5096.2828801472979</v>
      </c>
      <c r="AM26" s="69">
        <v>2710.2911529541007</v>
      </c>
      <c r="AN26" s="69">
        <v>602.38528712590528</v>
      </c>
      <c r="AO26" s="69">
        <v>2224.5211410522456</v>
      </c>
      <c r="AP26" s="69">
        <v>67.097214484214788</v>
      </c>
      <c r="AQ26" s="69">
        <v>671.44237194061282</v>
      </c>
    </row>
    <row r="27" spans="1:43" x14ac:dyDescent="0.25">
      <c r="A27" s="11">
        <v>41414</v>
      </c>
      <c r="B27" s="59"/>
      <c r="C27" s="60">
        <v>60.353720108667837</v>
      </c>
      <c r="D27" s="60">
        <v>1400.5427125930798</v>
      </c>
      <c r="E27" s="60">
        <v>14.69201137423517</v>
      </c>
      <c r="F27" s="60">
        <v>0</v>
      </c>
      <c r="G27" s="60">
        <v>4232.9940350850484</v>
      </c>
      <c r="H27" s="61">
        <v>63.984173123041778</v>
      </c>
      <c r="I27" s="59">
        <v>293.21576601664225</v>
      </c>
      <c r="J27" s="60">
        <v>641.78881553014048</v>
      </c>
      <c r="K27" s="60">
        <v>18.903158378601081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337.09521511803365</v>
      </c>
      <c r="V27" s="62">
        <v>135.54756313022946</v>
      </c>
      <c r="W27" s="62">
        <v>30.592986466335645</v>
      </c>
      <c r="X27" s="62">
        <v>12.30158299024175</v>
      </c>
      <c r="Y27" s="62">
        <v>99.884214384019913</v>
      </c>
      <c r="Z27" s="62">
        <v>40.163909921387102</v>
      </c>
      <c r="AA27" s="72">
        <v>0</v>
      </c>
      <c r="AB27" s="69">
        <v>227.87422447204307</v>
      </c>
      <c r="AC27" s="69">
        <v>0</v>
      </c>
      <c r="AD27" s="69">
        <v>17.821341000662919</v>
      </c>
      <c r="AE27" s="69">
        <v>12.5763564108521</v>
      </c>
      <c r="AF27" s="69">
        <v>5.0570117524549962</v>
      </c>
      <c r="AG27" s="69">
        <v>0.71321351056583593</v>
      </c>
      <c r="AH27" s="69">
        <v>247.84615201950072</v>
      </c>
      <c r="AI27" s="69">
        <v>649.16290766398106</v>
      </c>
      <c r="AJ27" s="69">
        <v>3031.4800352732341</v>
      </c>
      <c r="AK27" s="69">
        <v>659.30103022257504</v>
      </c>
      <c r="AL27" s="69">
        <v>5098.0779205322269</v>
      </c>
      <c r="AM27" s="69">
        <v>2681.9231637318931</v>
      </c>
      <c r="AN27" s="69">
        <v>580.42272946039839</v>
      </c>
      <c r="AO27" s="69">
        <v>2202.4122692108153</v>
      </c>
      <c r="AP27" s="69">
        <v>76.24577522277832</v>
      </c>
      <c r="AQ27" s="69">
        <v>696.80765705108638</v>
      </c>
    </row>
    <row r="28" spans="1:43" x14ac:dyDescent="0.25">
      <c r="A28" s="11">
        <v>41415</v>
      </c>
      <c r="B28" s="59"/>
      <c r="C28" s="60">
        <v>48.711750394105998</v>
      </c>
      <c r="D28" s="60">
        <v>1416.3723896662427</v>
      </c>
      <c r="E28" s="60">
        <v>15.148046500980842</v>
      </c>
      <c r="F28" s="60">
        <v>0</v>
      </c>
      <c r="G28" s="60">
        <v>4423.1743263244562</v>
      </c>
      <c r="H28" s="61">
        <v>64.710097467899274</v>
      </c>
      <c r="I28" s="59">
        <v>254.82892605463636</v>
      </c>
      <c r="J28" s="60">
        <v>558.09856891632012</v>
      </c>
      <c r="K28" s="60">
        <v>16.453734626372626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291.86774126099039</v>
      </c>
      <c r="V28" s="62">
        <v>132.10154432250374</v>
      </c>
      <c r="W28" s="62">
        <v>25.878252967633561</v>
      </c>
      <c r="X28" s="62">
        <v>11.712692764959964</v>
      </c>
      <c r="Y28" s="66">
        <v>86.84977316611895</v>
      </c>
      <c r="Z28" s="66">
        <v>39.308863356174136</v>
      </c>
      <c r="AA28" s="67">
        <v>0</v>
      </c>
      <c r="AB28" s="68">
        <v>227.96949182086323</v>
      </c>
      <c r="AC28" s="69">
        <v>0</v>
      </c>
      <c r="AD28" s="69">
        <v>16.00255731973385</v>
      </c>
      <c r="AE28" s="68">
        <v>10.897099905573169</v>
      </c>
      <c r="AF28" s="68">
        <v>4.932109728685611</v>
      </c>
      <c r="AG28" s="68">
        <v>0.68841718300254462</v>
      </c>
      <c r="AH28" s="69">
        <v>241.17183584372202</v>
      </c>
      <c r="AI28" s="69">
        <v>645.14957729975367</v>
      </c>
      <c r="AJ28" s="69">
        <v>3053.024822235107</v>
      </c>
      <c r="AK28" s="69">
        <v>648.94678064982088</v>
      </c>
      <c r="AL28" s="69">
        <v>5373.9544700622573</v>
      </c>
      <c r="AM28" s="69">
        <v>2658.7149822235106</v>
      </c>
      <c r="AN28" s="69">
        <v>548.44360564549777</v>
      </c>
      <c r="AO28" s="69">
        <v>2013.4377793629963</v>
      </c>
      <c r="AP28" s="69">
        <v>184.08272999127706</v>
      </c>
      <c r="AQ28" s="69">
        <v>729.84589551289889</v>
      </c>
    </row>
    <row r="29" spans="1:43" x14ac:dyDescent="0.25">
      <c r="A29" s="11">
        <v>41416</v>
      </c>
      <c r="B29" s="59"/>
      <c r="C29" s="60">
        <v>72.486913534005637</v>
      </c>
      <c r="D29" s="60">
        <v>1342.2119231541949</v>
      </c>
      <c r="E29" s="60">
        <v>15.168694743514042</v>
      </c>
      <c r="F29" s="60">
        <v>0</v>
      </c>
      <c r="G29" s="60">
        <v>4180.9242421468125</v>
      </c>
      <c r="H29" s="61">
        <v>64.249744196732763</v>
      </c>
      <c r="I29" s="59">
        <v>315.89760306676243</v>
      </c>
      <c r="J29" s="60">
        <v>691.38837687174498</v>
      </c>
      <c r="K29" s="60">
        <v>20.333177716533289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364.09707364240876</v>
      </c>
      <c r="V29" s="62">
        <v>138.56625503699397</v>
      </c>
      <c r="W29" s="62">
        <v>32.340851937993719</v>
      </c>
      <c r="X29" s="62">
        <v>12.30812072429611</v>
      </c>
      <c r="Y29" s="66">
        <v>107.62338495779049</v>
      </c>
      <c r="Z29" s="66">
        <v>40.958773051420557</v>
      </c>
      <c r="AA29" s="67">
        <v>0</v>
      </c>
      <c r="AB29" s="68">
        <v>227.91059350967049</v>
      </c>
      <c r="AC29" s="69">
        <v>0</v>
      </c>
      <c r="AD29" s="69">
        <v>18.544645408127053</v>
      </c>
      <c r="AE29" s="68">
        <v>13.292046760262046</v>
      </c>
      <c r="AF29" s="68">
        <v>5.0586211059609845</v>
      </c>
      <c r="AG29" s="68">
        <v>0.72433585835466596</v>
      </c>
      <c r="AH29" s="69">
        <v>209.59782127539316</v>
      </c>
      <c r="AI29" s="69">
        <v>620.20096146265689</v>
      </c>
      <c r="AJ29" s="69">
        <v>3056.274828592936</v>
      </c>
      <c r="AK29" s="69">
        <v>669.78794193267811</v>
      </c>
      <c r="AL29" s="69">
        <v>5274.8436965942374</v>
      </c>
      <c r="AM29" s="69">
        <v>2743.3552504221598</v>
      </c>
      <c r="AN29" s="69">
        <v>849.53010304768895</v>
      </c>
      <c r="AO29" s="69">
        <v>2190.871501795451</v>
      </c>
      <c r="AP29" s="69">
        <v>348.46570452054345</v>
      </c>
      <c r="AQ29" s="69">
        <v>813.15093116760261</v>
      </c>
    </row>
    <row r="30" spans="1:43" x14ac:dyDescent="0.25">
      <c r="A30" s="11">
        <v>41417</v>
      </c>
      <c r="B30" s="59"/>
      <c r="C30" s="60">
        <v>62.977469130357171</v>
      </c>
      <c r="D30" s="60">
        <v>1236.8086154937748</v>
      </c>
      <c r="E30" s="60">
        <v>15.20250019232431</v>
      </c>
      <c r="F30" s="60">
        <v>0</v>
      </c>
      <c r="G30" s="60">
        <v>3703.7752937316886</v>
      </c>
      <c r="H30" s="61">
        <v>64.111928252379059</v>
      </c>
      <c r="I30" s="59">
        <v>342.91600271860773</v>
      </c>
      <c r="J30" s="60">
        <v>742.4275170962012</v>
      </c>
      <c r="K30" s="60">
        <v>22.001342569788353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402.79329063925474</v>
      </c>
      <c r="V30" s="62">
        <v>139.86931227280516</v>
      </c>
      <c r="W30" s="62">
        <v>35.313506454260349</v>
      </c>
      <c r="X30" s="62">
        <v>12.262557436991473</v>
      </c>
      <c r="Y30" s="66">
        <v>121.45488823452742</v>
      </c>
      <c r="Z30" s="66">
        <v>42.175011561322655</v>
      </c>
      <c r="AA30" s="67">
        <v>0</v>
      </c>
      <c r="AB30" s="68">
        <v>227.98656493292671</v>
      </c>
      <c r="AC30" s="69">
        <v>0</v>
      </c>
      <c r="AD30" s="69">
        <v>20.007486508952226</v>
      </c>
      <c r="AE30" s="68">
        <v>14.68635142342502</v>
      </c>
      <c r="AF30" s="68">
        <v>5.0998115438594116</v>
      </c>
      <c r="AG30" s="68">
        <v>0.74225363693346047</v>
      </c>
      <c r="AH30" s="69">
        <v>210.0130798896154</v>
      </c>
      <c r="AI30" s="69">
        <v>612.83164428075145</v>
      </c>
      <c r="AJ30" s="69">
        <v>3049.4573645273845</v>
      </c>
      <c r="AK30" s="69">
        <v>669.80455223719287</v>
      </c>
      <c r="AL30" s="69">
        <v>4404.7275352478036</v>
      </c>
      <c r="AM30" s="69">
        <v>2770.7545771280925</v>
      </c>
      <c r="AN30" s="69">
        <v>1035.0479019165039</v>
      </c>
      <c r="AO30" s="69">
        <v>2333.2536245981855</v>
      </c>
      <c r="AP30" s="69">
        <v>350.574542760849</v>
      </c>
      <c r="AQ30" s="69">
        <v>780.8822686195374</v>
      </c>
    </row>
    <row r="31" spans="1:43" x14ac:dyDescent="0.25">
      <c r="A31" s="11">
        <v>41418</v>
      </c>
      <c r="B31" s="59"/>
      <c r="C31" s="60">
        <v>53.322485872109873</v>
      </c>
      <c r="D31" s="60">
        <v>1200.6598001480102</v>
      </c>
      <c r="E31" s="60">
        <v>15.125648565093655</v>
      </c>
      <c r="F31" s="60">
        <v>0</v>
      </c>
      <c r="G31" s="60">
        <v>3701.4868677775034</v>
      </c>
      <c r="H31" s="61">
        <v>63.588936595121979</v>
      </c>
      <c r="I31" s="59">
        <v>357.5649133046465</v>
      </c>
      <c r="J31" s="60">
        <v>758.03732229868569</v>
      </c>
      <c r="K31" s="60">
        <v>18.96274317502975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411.56490126849428</v>
      </c>
      <c r="V31" s="62">
        <v>138.58995386625909</v>
      </c>
      <c r="W31" s="62">
        <v>35.537602537389127</v>
      </c>
      <c r="X31" s="62">
        <v>11.966896790747391</v>
      </c>
      <c r="Y31" s="66">
        <v>123.97658292732804</v>
      </c>
      <c r="Z31" s="66">
        <v>41.747750732479993</v>
      </c>
      <c r="AA31" s="67">
        <v>0</v>
      </c>
      <c r="AB31" s="68">
        <v>227.91839445961961</v>
      </c>
      <c r="AC31" s="69">
        <v>0</v>
      </c>
      <c r="AD31" s="69">
        <v>20.270420723491217</v>
      </c>
      <c r="AE31" s="68">
        <v>15.000473131970457</v>
      </c>
      <c r="AF31" s="68">
        <v>5.0512443430534768</v>
      </c>
      <c r="AG31" s="68">
        <v>0.74808919239236149</v>
      </c>
      <c r="AH31" s="69">
        <v>201.98141383330028</v>
      </c>
      <c r="AI31" s="69">
        <v>617.87597033182772</v>
      </c>
      <c r="AJ31" s="69">
        <v>3087.1027887980149</v>
      </c>
      <c r="AK31" s="69">
        <v>675.01943702697747</v>
      </c>
      <c r="AL31" s="69">
        <v>4422.8970153808586</v>
      </c>
      <c r="AM31" s="69">
        <v>2840.4612836201982</v>
      </c>
      <c r="AN31" s="69">
        <v>983.64921429951994</v>
      </c>
      <c r="AO31" s="69">
        <v>2328.4888732910163</v>
      </c>
      <c r="AP31" s="69">
        <v>373.74589239756273</v>
      </c>
      <c r="AQ31" s="69">
        <v>827.82905673980724</v>
      </c>
    </row>
    <row r="32" spans="1:43" x14ac:dyDescent="0.25">
      <c r="A32" s="11">
        <v>41419</v>
      </c>
      <c r="B32" s="59"/>
      <c r="C32" s="60">
        <v>53.103108914693209</v>
      </c>
      <c r="D32" s="60">
        <v>1115.2761350631718</v>
      </c>
      <c r="E32" s="60">
        <v>14.621200806895928</v>
      </c>
      <c r="F32" s="60">
        <v>0</v>
      </c>
      <c r="G32" s="60">
        <v>3252.2311691284235</v>
      </c>
      <c r="H32" s="61">
        <v>62.97204129298531</v>
      </c>
      <c r="I32" s="59">
        <v>382.14097065925495</v>
      </c>
      <c r="J32" s="60">
        <v>830.95943044026603</v>
      </c>
      <c r="K32" s="60">
        <v>21.923361957073173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426.82231437579742</v>
      </c>
      <c r="V32" s="62">
        <v>135.64946451502328</v>
      </c>
      <c r="W32" s="62">
        <v>36.620910411954462</v>
      </c>
      <c r="X32" s="62">
        <v>11.638582895318153</v>
      </c>
      <c r="Y32" s="66">
        <v>141.84062276013006</v>
      </c>
      <c r="Z32" s="66">
        <v>45.078722165750222</v>
      </c>
      <c r="AA32" s="67">
        <v>0</v>
      </c>
      <c r="AB32" s="68">
        <v>227.86452217102033</v>
      </c>
      <c r="AC32" s="69">
        <v>0</v>
      </c>
      <c r="AD32" s="69">
        <v>20.934699425432427</v>
      </c>
      <c r="AE32" s="68">
        <v>15.619959099715606</v>
      </c>
      <c r="AF32" s="68">
        <v>4.9642181682128443</v>
      </c>
      <c r="AG32" s="68">
        <v>0.75883329687665324</v>
      </c>
      <c r="AH32" s="69">
        <v>190.52175594965618</v>
      </c>
      <c r="AI32" s="69">
        <v>640.60459798177078</v>
      </c>
      <c r="AJ32" s="69">
        <v>3128.2352720896406</v>
      </c>
      <c r="AK32" s="69">
        <v>687.62029218673717</v>
      </c>
      <c r="AL32" s="69">
        <v>4287.827187856039</v>
      </c>
      <c r="AM32" s="69">
        <v>2778.1435053507494</v>
      </c>
      <c r="AN32" s="69">
        <v>1058.7943210601807</v>
      </c>
      <c r="AO32" s="69">
        <v>2442.23064142863</v>
      </c>
      <c r="AP32" s="69">
        <v>383.32520502408346</v>
      </c>
      <c r="AQ32" s="69">
        <v>861.41373205184948</v>
      </c>
    </row>
    <row r="33" spans="1:43" x14ac:dyDescent="0.25">
      <c r="A33" s="11">
        <v>41420</v>
      </c>
      <c r="B33" s="59"/>
      <c r="C33" s="60">
        <v>53.155760151147867</v>
      </c>
      <c r="D33" s="60">
        <v>1136.3909628550221</v>
      </c>
      <c r="E33" s="60">
        <v>14.443874636292492</v>
      </c>
      <c r="F33" s="60">
        <v>0</v>
      </c>
      <c r="G33" s="60">
        <v>3147.3038784027076</v>
      </c>
      <c r="H33" s="61">
        <v>62.759298868974049</v>
      </c>
      <c r="I33" s="59">
        <v>399.78539509773304</v>
      </c>
      <c r="J33" s="60">
        <v>875.43715890248575</v>
      </c>
      <c r="K33" s="60">
        <v>26.070236635208168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459.64505183706405</v>
      </c>
      <c r="V33" s="62">
        <v>136.30393578466607</v>
      </c>
      <c r="W33" s="62">
        <v>39.174709630628371</v>
      </c>
      <c r="X33" s="62">
        <v>11.616935904204894</v>
      </c>
      <c r="Y33" s="66">
        <v>155.99717826966952</v>
      </c>
      <c r="Z33" s="66">
        <v>46.25967207626006</v>
      </c>
      <c r="AA33" s="67">
        <v>0</v>
      </c>
      <c r="AB33" s="68">
        <v>227.76257910198598</v>
      </c>
      <c r="AC33" s="69">
        <v>0</v>
      </c>
      <c r="AD33" s="69">
        <v>22.091985413100979</v>
      </c>
      <c r="AE33" s="68">
        <v>16.749291829757329</v>
      </c>
      <c r="AF33" s="68">
        <v>4.9668638634908113</v>
      </c>
      <c r="AG33" s="68">
        <v>0.77128254495637638</v>
      </c>
      <c r="AH33" s="69">
        <v>191.69811630249023</v>
      </c>
      <c r="AI33" s="69">
        <v>641.31705710093183</v>
      </c>
      <c r="AJ33" s="69">
        <v>3107.3921885172526</v>
      </c>
      <c r="AK33" s="69">
        <v>665.66078405380244</v>
      </c>
      <c r="AL33" s="69">
        <v>3929.3676930745451</v>
      </c>
      <c r="AM33" s="69">
        <v>2794.5071633656821</v>
      </c>
      <c r="AN33" s="69">
        <v>1051.0311136245728</v>
      </c>
      <c r="AO33" s="69">
        <v>2588.9998235066732</v>
      </c>
      <c r="AP33" s="69">
        <v>391.46326751708989</v>
      </c>
      <c r="AQ33" s="69">
        <v>895.68220936457294</v>
      </c>
    </row>
    <row r="34" spans="1:43" x14ac:dyDescent="0.25">
      <c r="A34" s="11">
        <v>41421</v>
      </c>
      <c r="B34" s="59"/>
      <c r="C34" s="60">
        <v>53.326908560593992</v>
      </c>
      <c r="D34" s="60">
        <v>1149.2768533070882</v>
      </c>
      <c r="E34" s="60">
        <v>14.43418276607993</v>
      </c>
      <c r="F34" s="60">
        <v>0</v>
      </c>
      <c r="G34" s="60">
        <v>3259.1194155375238</v>
      </c>
      <c r="H34" s="61">
        <v>63.034876120090516</v>
      </c>
      <c r="I34" s="59">
        <v>383.36267525355078</v>
      </c>
      <c r="J34" s="60">
        <v>839.17658516566053</v>
      </c>
      <c r="K34" s="60">
        <v>24.78535564045114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450.4496254180321</v>
      </c>
      <c r="V34" s="62">
        <v>124.97424299440782</v>
      </c>
      <c r="W34" s="62">
        <v>38.531070903416094</v>
      </c>
      <c r="X34" s="62">
        <v>10.69018852762823</v>
      </c>
      <c r="Y34" s="66">
        <v>153.11708715768691</v>
      </c>
      <c r="Z34" s="66">
        <v>42.48131417421456</v>
      </c>
      <c r="AA34" s="67">
        <v>0</v>
      </c>
      <c r="AB34" s="68">
        <v>227.79892641703017</v>
      </c>
      <c r="AC34" s="69">
        <v>0</v>
      </c>
      <c r="AD34" s="69">
        <v>21.320545678668505</v>
      </c>
      <c r="AE34" s="68">
        <v>16.406710771651635</v>
      </c>
      <c r="AF34" s="68">
        <v>4.5519324315399459</v>
      </c>
      <c r="AG34" s="68">
        <v>0.78281359211044843</v>
      </c>
      <c r="AH34" s="69">
        <v>194.44547988573711</v>
      </c>
      <c r="AI34" s="69">
        <v>672.53498700459795</v>
      </c>
      <c r="AJ34" s="69">
        <v>3143.2315263112382</v>
      </c>
      <c r="AK34" s="69">
        <v>644.8711496988933</v>
      </c>
      <c r="AL34" s="69">
        <v>3961.0457589467369</v>
      </c>
      <c r="AM34" s="69">
        <v>2804.5869355519612</v>
      </c>
      <c r="AN34" s="69">
        <v>1053.022806294759</v>
      </c>
      <c r="AO34" s="69">
        <v>2594.2845631917316</v>
      </c>
      <c r="AP34" s="69">
        <v>440.00251024564113</v>
      </c>
      <c r="AQ34" s="69">
        <v>895.37694072723389</v>
      </c>
    </row>
    <row r="35" spans="1:43" x14ac:dyDescent="0.25">
      <c r="A35" s="11">
        <v>41422</v>
      </c>
      <c r="B35" s="59"/>
      <c r="C35" s="60">
        <v>70.677283962567643</v>
      </c>
      <c r="D35" s="60">
        <v>1244.2189355850207</v>
      </c>
      <c r="E35" s="60">
        <v>15.260713658730172</v>
      </c>
      <c r="F35" s="60">
        <v>0</v>
      </c>
      <c r="G35" s="60">
        <v>3362.4521771749037</v>
      </c>
      <c r="H35" s="61">
        <v>66.906133508682146</v>
      </c>
      <c r="I35" s="59">
        <v>355.89717478752181</v>
      </c>
      <c r="J35" s="60">
        <v>779.12423245112041</v>
      </c>
      <c r="K35" s="60">
        <v>22.872895663976692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405.94867102412741</v>
      </c>
      <c r="V35" s="62">
        <v>134.63295995816188</v>
      </c>
      <c r="W35" s="62">
        <v>34.489173691989158</v>
      </c>
      <c r="X35" s="62">
        <v>11.438341524679332</v>
      </c>
      <c r="Y35" s="66">
        <v>156.06868730937461</v>
      </c>
      <c r="Z35" s="66">
        <v>51.760212137748518</v>
      </c>
      <c r="AA35" s="67">
        <v>0</v>
      </c>
      <c r="AB35" s="68">
        <v>227.90033308664525</v>
      </c>
      <c r="AC35" s="69">
        <v>0</v>
      </c>
      <c r="AD35" s="69">
        <v>20.051506017314033</v>
      </c>
      <c r="AE35" s="68">
        <v>14.803958892228797</v>
      </c>
      <c r="AF35" s="68">
        <v>4.9097360011833997</v>
      </c>
      <c r="AG35" s="68">
        <v>0.75094795634561107</v>
      </c>
      <c r="AH35" s="69">
        <v>200.12687439918517</v>
      </c>
      <c r="AI35" s="69">
        <v>673.22707799275724</v>
      </c>
      <c r="AJ35" s="69">
        <v>3093.1207721710202</v>
      </c>
      <c r="AK35" s="69">
        <v>634.45105889638262</v>
      </c>
      <c r="AL35" s="69">
        <v>4819.6249664306642</v>
      </c>
      <c r="AM35" s="69">
        <v>2850.0395996093753</v>
      </c>
      <c r="AN35" s="69">
        <v>1039.9821934382121</v>
      </c>
      <c r="AO35" s="69">
        <v>2215.1390473683678</v>
      </c>
      <c r="AP35" s="69">
        <v>454.88318406740819</v>
      </c>
      <c r="AQ35" s="69">
        <v>828.15933965047202</v>
      </c>
    </row>
    <row r="36" spans="1:43" x14ac:dyDescent="0.25">
      <c r="A36" s="11">
        <v>41423</v>
      </c>
      <c r="B36" s="59"/>
      <c r="C36" s="60">
        <v>70.722836915652039</v>
      </c>
      <c r="D36" s="60">
        <v>1244.963685035704</v>
      </c>
      <c r="E36" s="60">
        <v>14.484252429008468</v>
      </c>
      <c r="F36" s="60">
        <v>0</v>
      </c>
      <c r="G36" s="60">
        <v>3590.5657178243086</v>
      </c>
      <c r="H36" s="61">
        <v>55.083312906821618</v>
      </c>
      <c r="I36" s="59">
        <v>378.35800986289928</v>
      </c>
      <c r="J36" s="60">
        <v>889.43525803883824</v>
      </c>
      <c r="K36" s="60">
        <v>23.969221124052989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433.12717755770802</v>
      </c>
      <c r="V36" s="62">
        <v>134.88340066138949</v>
      </c>
      <c r="W36" s="62">
        <v>37.385227405348594</v>
      </c>
      <c r="X36" s="62">
        <v>11.642415595730961</v>
      </c>
      <c r="Y36" s="66">
        <v>169.05983247400343</v>
      </c>
      <c r="Z36" s="66">
        <v>52.648197344532065</v>
      </c>
      <c r="AA36" s="67">
        <v>0</v>
      </c>
      <c r="AB36" s="68">
        <v>228.08361386192976</v>
      </c>
      <c r="AC36" s="69">
        <v>0</v>
      </c>
      <c r="AD36" s="69">
        <v>21.187514330943422</v>
      </c>
      <c r="AE36" s="68">
        <v>15.976721888447358</v>
      </c>
      <c r="AF36" s="68">
        <v>4.9754314469170291</v>
      </c>
      <c r="AG36" s="68">
        <v>0.76253364667204981</v>
      </c>
      <c r="AH36" s="69">
        <v>207.84030984242759</v>
      </c>
      <c r="AI36" s="69">
        <v>683.53540995915716</v>
      </c>
      <c r="AJ36" s="69">
        <v>3074.114448038737</v>
      </c>
      <c r="AK36" s="69">
        <v>629.8643215179444</v>
      </c>
      <c r="AL36" s="69">
        <v>3861.2764825185141</v>
      </c>
      <c r="AM36" s="69">
        <v>2824.1588400522865</v>
      </c>
      <c r="AN36" s="69">
        <v>1026.5165826797484</v>
      </c>
      <c r="AO36" s="69">
        <v>2400.1842516581219</v>
      </c>
      <c r="AP36" s="69">
        <v>309.44170142809554</v>
      </c>
      <c r="AQ36" s="69">
        <v>655.59998960495</v>
      </c>
    </row>
    <row r="37" spans="1:43" x14ac:dyDescent="0.25">
      <c r="A37" s="11">
        <v>41424</v>
      </c>
      <c r="B37" s="59"/>
      <c r="C37" s="60">
        <v>87.049736901124547</v>
      </c>
      <c r="D37" s="60">
        <v>1363.6118510564156</v>
      </c>
      <c r="E37" s="60">
        <v>15.473150911927181</v>
      </c>
      <c r="F37" s="60">
        <v>0</v>
      </c>
      <c r="G37" s="60">
        <v>3720.9928670247436</v>
      </c>
      <c r="H37" s="61">
        <v>69.168285238742854</v>
      </c>
      <c r="I37" s="59">
        <v>374.72589464187661</v>
      </c>
      <c r="J37" s="60">
        <v>886.78598926861969</v>
      </c>
      <c r="K37" s="60">
        <v>23.237117011348463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437.53705553182374</v>
      </c>
      <c r="V37" s="62">
        <v>147.48958127000154</v>
      </c>
      <c r="W37" s="62">
        <v>36.969460107090647</v>
      </c>
      <c r="X37" s="62">
        <v>12.462053492464106</v>
      </c>
      <c r="Y37" s="66">
        <v>167.43073137376714</v>
      </c>
      <c r="Z37" s="66">
        <v>56.439307596544616</v>
      </c>
      <c r="AA37" s="67">
        <v>0</v>
      </c>
      <c r="AB37" s="68">
        <v>228.10206448236806</v>
      </c>
      <c r="AC37" s="69">
        <v>0</v>
      </c>
      <c r="AD37" s="69">
        <v>21.402963011794622</v>
      </c>
      <c r="AE37" s="68">
        <v>15.839888824330615</v>
      </c>
      <c r="AF37" s="68">
        <v>5.3394759153010245</v>
      </c>
      <c r="AG37" s="68">
        <v>0.74789253686586776</v>
      </c>
      <c r="AH37" s="69">
        <v>234.59450137615207</v>
      </c>
      <c r="AI37" s="69">
        <v>702.48049507141104</v>
      </c>
      <c r="AJ37" s="69">
        <v>3054.0899806976327</v>
      </c>
      <c r="AK37" s="69">
        <v>619.41945740381868</v>
      </c>
      <c r="AL37" s="69">
        <v>4263.137286376952</v>
      </c>
      <c r="AM37" s="69">
        <v>2851.0332970937088</v>
      </c>
      <c r="AN37" s="69">
        <v>994.49177258809414</v>
      </c>
      <c r="AO37" s="69">
        <v>2439.7490417480471</v>
      </c>
      <c r="AP37" s="69">
        <v>235.11856594085691</v>
      </c>
      <c r="AQ37" s="69">
        <v>778.98783327738431</v>
      </c>
    </row>
    <row r="38" spans="1:43" ht="15.75" thickBot="1" x14ac:dyDescent="0.3">
      <c r="A38" s="11">
        <v>41425</v>
      </c>
      <c r="B38" s="73"/>
      <c r="C38" s="74">
        <v>106.75975379943856</v>
      </c>
      <c r="D38" s="74">
        <v>1539.3330783208207</v>
      </c>
      <c r="E38" s="74">
        <v>17.536736820141471</v>
      </c>
      <c r="F38" s="74">
        <v>0</v>
      </c>
      <c r="G38" s="74">
        <v>4474.2827499389668</v>
      </c>
      <c r="H38" s="75">
        <v>75.682679561774066</v>
      </c>
      <c r="I38" s="76">
        <v>407.40721995035835</v>
      </c>
      <c r="J38" s="74">
        <v>921.25170033772702</v>
      </c>
      <c r="K38" s="74">
        <v>26.475030182798598</v>
      </c>
      <c r="L38" s="74">
        <v>8.5621476173399033E-2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438.26873339424594</v>
      </c>
      <c r="V38" s="80">
        <v>163.75472611443786</v>
      </c>
      <c r="W38" s="81">
        <v>36.489522222599859</v>
      </c>
      <c r="X38" s="81">
        <v>13.633944797593866</v>
      </c>
      <c r="Y38" s="80">
        <v>169.03994897106048</v>
      </c>
      <c r="Z38" s="80">
        <v>63.160085210217247</v>
      </c>
      <c r="AA38" s="82">
        <v>0</v>
      </c>
      <c r="AB38" s="83">
        <v>227.66575666003664</v>
      </c>
      <c r="AC38" s="84">
        <v>0</v>
      </c>
      <c r="AD38" s="85">
        <v>22.172611721356734</v>
      </c>
      <c r="AE38" s="83">
        <v>15.966280638537732</v>
      </c>
      <c r="AF38" s="83">
        <v>5.9656409727911583</v>
      </c>
      <c r="AG38" s="83">
        <v>0.72799278246053833</v>
      </c>
      <c r="AH38" s="84">
        <v>229.85307456652319</v>
      </c>
      <c r="AI38" s="84">
        <v>692.32735160191839</v>
      </c>
      <c r="AJ38" s="84">
        <v>3077.0788645426428</v>
      </c>
      <c r="AK38" s="84">
        <v>612.60867293675744</v>
      </c>
      <c r="AL38" s="84">
        <v>5005.3533556620268</v>
      </c>
      <c r="AM38" s="84">
        <v>2930.9149462382002</v>
      </c>
      <c r="AN38" s="84">
        <v>821.63980833689357</v>
      </c>
      <c r="AO38" s="84">
        <v>2472.3300090789794</v>
      </c>
      <c r="AP38" s="84">
        <v>391.04196162223826</v>
      </c>
      <c r="AQ38" s="84">
        <v>815.9639975865681</v>
      </c>
    </row>
    <row r="39" spans="1:43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2099.7047829469061</v>
      </c>
      <c r="D39" s="30">
        <f t="shared" si="0"/>
        <v>39610.399651590968</v>
      </c>
      <c r="E39" s="30">
        <f t="shared" si="0"/>
        <v>447.31269213259225</v>
      </c>
      <c r="F39" s="30">
        <f t="shared" si="0"/>
        <v>0</v>
      </c>
      <c r="G39" s="30">
        <f t="shared" si="0"/>
        <v>118350.09282925936</v>
      </c>
      <c r="H39" s="31">
        <f t="shared" si="0"/>
        <v>1935.1104386270051</v>
      </c>
      <c r="I39" s="29">
        <f t="shared" si="0"/>
        <v>8577.9083755970005</v>
      </c>
      <c r="J39" s="30">
        <f t="shared" si="0"/>
        <v>18860.727196693413</v>
      </c>
      <c r="K39" s="30">
        <f t="shared" si="0"/>
        <v>540.41031403293209</v>
      </c>
      <c r="L39" s="30">
        <f t="shared" si="0"/>
        <v>8.5621476173399033E-2</v>
      </c>
      <c r="M39" s="30">
        <f t="shared" si="0"/>
        <v>0</v>
      </c>
      <c r="N39" s="31">
        <f t="shared" si="0"/>
        <v>0</v>
      </c>
      <c r="O39" s="254">
        <f t="shared" si="0"/>
        <v>0</v>
      </c>
      <c r="P39" s="255">
        <f t="shared" si="0"/>
        <v>0</v>
      </c>
      <c r="Q39" s="255">
        <f t="shared" si="0"/>
        <v>0</v>
      </c>
      <c r="R39" s="255">
        <f t="shared" si="0"/>
        <v>0</v>
      </c>
      <c r="S39" s="255">
        <f t="shared" si="0"/>
        <v>0</v>
      </c>
      <c r="T39" s="256">
        <f t="shared" si="0"/>
        <v>0</v>
      </c>
      <c r="U39" s="254">
        <f t="shared" si="0"/>
        <v>10067.074877852736</v>
      </c>
      <c r="V39" s="255">
        <f t="shared" si="0"/>
        <v>4254.3906852961945</v>
      </c>
      <c r="W39" s="255">
        <f t="shared" si="0"/>
        <v>860.22968102017353</v>
      </c>
      <c r="X39" s="255">
        <f t="shared" si="0"/>
        <v>362.70065828045915</v>
      </c>
      <c r="Y39" s="255">
        <f t="shared" si="0"/>
        <v>2911.0291612752671</v>
      </c>
      <c r="Z39" s="255">
        <f t="shared" si="0"/>
        <v>1173.884720161717</v>
      </c>
      <c r="AA39" s="263">
        <f t="shared" si="0"/>
        <v>0</v>
      </c>
      <c r="AB39" s="266">
        <f t="shared" si="0"/>
        <v>7050.1356280008404</v>
      </c>
      <c r="AC39" s="266">
        <f t="shared" si="0"/>
        <v>0</v>
      </c>
      <c r="AD39" s="269" t="s">
        <v>29</v>
      </c>
      <c r="AE39" s="269" t="s">
        <v>29</v>
      </c>
      <c r="AF39" s="269" t="s">
        <v>29</v>
      </c>
      <c r="AG39" s="269" t="s">
        <v>159</v>
      </c>
      <c r="AH39" s="266">
        <f t="shared" ref="AH39:AQ39" si="1">SUM(AH8:AH38)</f>
        <v>7142.7653604269017</v>
      </c>
      <c r="AI39" s="266">
        <f t="shared" si="1"/>
        <v>21841.836914634703</v>
      </c>
      <c r="AJ39" s="266">
        <f t="shared" si="1"/>
        <v>95638.605892435706</v>
      </c>
      <c r="AK39" s="266">
        <f t="shared" si="1"/>
        <v>20423.920964304605</v>
      </c>
      <c r="AL39" s="266">
        <f t="shared" si="1"/>
        <v>144442.00416908262</v>
      </c>
      <c r="AM39" s="266">
        <f t="shared" si="1"/>
        <v>86686.984803644809</v>
      </c>
      <c r="AN39" s="266">
        <f t="shared" si="1"/>
        <v>22811.658045132957</v>
      </c>
      <c r="AO39" s="266">
        <f t="shared" si="1"/>
        <v>64379.618087768562</v>
      </c>
      <c r="AP39" s="266">
        <f t="shared" si="1"/>
        <v>13694.859835263094</v>
      </c>
      <c r="AQ39" s="266">
        <f t="shared" si="1"/>
        <v>23711.65058412552</v>
      </c>
    </row>
    <row r="40" spans="1:43" ht="15.75" thickBot="1" x14ac:dyDescent="0.3">
      <c r="A40" s="47" t="s">
        <v>172</v>
      </c>
      <c r="B40" s="32">
        <f>Projection!$AB$30</f>
        <v>0.91139353199999984</v>
      </c>
      <c r="C40" s="33">
        <f>Projection!$AB$28</f>
        <v>1.4375491199999999</v>
      </c>
      <c r="D40" s="33">
        <f>Projection!$AB$31</f>
        <v>2.0999286000000001</v>
      </c>
      <c r="E40" s="33">
        <f>Projection!$AB$26</f>
        <v>3.8734129199999998</v>
      </c>
      <c r="F40" s="33">
        <f>Projection!$AB$23</f>
        <v>5.8379999999999994E-2</v>
      </c>
      <c r="G40" s="33">
        <f>Projection!$AB$24</f>
        <v>5.2999999999999999E-2</v>
      </c>
      <c r="H40" s="34">
        <f>Projection!$AB$29</f>
        <v>3.6371774160000006</v>
      </c>
      <c r="I40" s="32">
        <f>Projection!$AB$30</f>
        <v>0.91139353199999984</v>
      </c>
      <c r="J40" s="33">
        <f>Projection!$AB$28</f>
        <v>1.4375491199999999</v>
      </c>
      <c r="K40" s="33">
        <f>Projection!$AB$26</f>
        <v>3.8734129199999998</v>
      </c>
      <c r="L40" s="33">
        <f>Projection!$AB$25</f>
        <v>0.37613399999999997</v>
      </c>
      <c r="M40" s="33">
        <f>Projection!$AB$23</f>
        <v>5.8379999999999994E-2</v>
      </c>
      <c r="N40" s="34">
        <f>Projection!$AB$23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1.4375491199999999</v>
      </c>
      <c r="T40" s="38">
        <f>Projection!$AB$28</f>
        <v>1.4375491199999999</v>
      </c>
      <c r="U40" s="26">
        <f>Projection!$AB$27</f>
        <v>0.26250000000000001</v>
      </c>
      <c r="V40" s="27">
        <f>Projection!$AB$27</f>
        <v>0.26250000000000001</v>
      </c>
      <c r="W40" s="27">
        <f>Projection!$AB$22</f>
        <v>1.2186999999999999</v>
      </c>
      <c r="X40" s="27">
        <f>Projection!$AB$22</f>
        <v>1.2186999999999999</v>
      </c>
      <c r="Y40" s="27">
        <f>Projection!$AB$31</f>
        <v>2.0999286000000001</v>
      </c>
      <c r="Z40" s="27">
        <f>Projection!$AB$31</f>
        <v>2.0999286000000001</v>
      </c>
      <c r="AA40" s="28">
        <v>0</v>
      </c>
      <c r="AB40" s="41">
        <f>Projection!$AB$27</f>
        <v>0.26250000000000001</v>
      </c>
      <c r="AC40" s="41">
        <f>Projection!$AB$30</f>
        <v>0.91139353199999984</v>
      </c>
      <c r="AD40" s="270">
        <f>SUM(AD8:AD38)</f>
        <v>517.98554506103198</v>
      </c>
      <c r="AE40" s="270">
        <f>SUM(AE8:AE38)</f>
        <v>359.41523883147437</v>
      </c>
      <c r="AF40" s="270">
        <f>SUM(AF8:AF38)</f>
        <v>151.03198321016288</v>
      </c>
      <c r="AG40" s="270">
        <f>IF(SUM(AE40:AF40)&gt;0, AE40/(AE40+AF40), "")</f>
        <v>0.70411831686324045</v>
      </c>
      <c r="AH40" s="306">
        <v>6.7000000000000004E-2</v>
      </c>
      <c r="AI40" s="306">
        <f t="shared" ref="AI40:AQ40" si="2">$AH$40</f>
        <v>6.7000000000000004E-2</v>
      </c>
      <c r="AJ40" s="306">
        <f t="shared" si="2"/>
        <v>6.7000000000000004E-2</v>
      </c>
      <c r="AK40" s="306">
        <f t="shared" si="2"/>
        <v>6.7000000000000004E-2</v>
      </c>
      <c r="AL40" s="306">
        <f t="shared" si="2"/>
        <v>6.7000000000000004E-2</v>
      </c>
      <c r="AM40" s="306">
        <f t="shared" si="2"/>
        <v>6.7000000000000004E-2</v>
      </c>
      <c r="AN40" s="306">
        <f t="shared" si="2"/>
        <v>6.7000000000000004E-2</v>
      </c>
      <c r="AO40" s="306">
        <f t="shared" si="2"/>
        <v>6.7000000000000004E-2</v>
      </c>
      <c r="AP40" s="306">
        <f t="shared" si="2"/>
        <v>6.7000000000000004E-2</v>
      </c>
      <c r="AQ40" s="306">
        <f t="shared" si="2"/>
        <v>6.7000000000000004E-2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3018.4287629851156</v>
      </c>
      <c r="D41" s="36">
        <f t="shared" si="3"/>
        <v>83179.01108580592</v>
      </c>
      <c r="E41" s="36">
        <f t="shared" si="3"/>
        <v>1732.6267609863651</v>
      </c>
      <c r="F41" s="36">
        <f t="shared" si="3"/>
        <v>0</v>
      </c>
      <c r="G41" s="36">
        <f t="shared" si="3"/>
        <v>6272.5549199507459</v>
      </c>
      <c r="H41" s="37">
        <f t="shared" si="3"/>
        <v>7038.3399848399986</v>
      </c>
      <c r="I41" s="35">
        <f t="shared" si="3"/>
        <v>7817.8502116077316</v>
      </c>
      <c r="J41" s="36">
        <f t="shared" si="3"/>
        <v>27113.221784166682</v>
      </c>
      <c r="K41" s="36">
        <f t="shared" si="3"/>
        <v>2093.2322924764162</v>
      </c>
      <c r="L41" s="36">
        <f t="shared" si="3"/>
        <v>3.220514831900527E-2</v>
      </c>
      <c r="M41" s="36">
        <f t="shared" si="3"/>
        <v>0</v>
      </c>
      <c r="N41" s="37">
        <f t="shared" si="3"/>
        <v>0</v>
      </c>
      <c r="O41" s="260">
        <f t="shared" si="3"/>
        <v>0</v>
      </c>
      <c r="P41" s="261">
        <f t="shared" si="3"/>
        <v>0</v>
      </c>
      <c r="Q41" s="261">
        <f t="shared" si="3"/>
        <v>0</v>
      </c>
      <c r="R41" s="261">
        <f t="shared" si="3"/>
        <v>0</v>
      </c>
      <c r="S41" s="261">
        <f t="shared" si="3"/>
        <v>0</v>
      </c>
      <c r="T41" s="262">
        <f t="shared" si="3"/>
        <v>0</v>
      </c>
      <c r="U41" s="260">
        <f t="shared" si="3"/>
        <v>2642.6071554363434</v>
      </c>
      <c r="V41" s="261">
        <f t="shared" si="3"/>
        <v>1116.7775548902512</v>
      </c>
      <c r="W41" s="261">
        <f t="shared" si="3"/>
        <v>1048.3619122592854</v>
      </c>
      <c r="X41" s="261">
        <f t="shared" si="3"/>
        <v>442.02329224639556</v>
      </c>
      <c r="Y41" s="261">
        <f t="shared" si="3"/>
        <v>6112.9533911959461</v>
      </c>
      <c r="Z41" s="261">
        <f t="shared" si="3"/>
        <v>2465.0740969705862</v>
      </c>
      <c r="AA41" s="265">
        <f t="shared" si="3"/>
        <v>0</v>
      </c>
      <c r="AB41" s="268">
        <f t="shared" si="3"/>
        <v>1850.6606023502206</v>
      </c>
      <c r="AC41" s="268">
        <f t="shared" si="3"/>
        <v>0</v>
      </c>
      <c r="AH41" s="271">
        <f t="shared" ref="AH41:AQ41" si="4">AH40*AH39</f>
        <v>478.56527914860243</v>
      </c>
      <c r="AI41" s="271">
        <f t="shared" si="4"/>
        <v>1463.4030732805252</v>
      </c>
      <c r="AJ41" s="271">
        <f t="shared" si="4"/>
        <v>6407.7865947931923</v>
      </c>
      <c r="AK41" s="271">
        <f t="shared" si="4"/>
        <v>1368.4027046084086</v>
      </c>
      <c r="AL41" s="271">
        <f t="shared" si="4"/>
        <v>9677.6142793285362</v>
      </c>
      <c r="AM41" s="271">
        <f t="shared" si="4"/>
        <v>5808.0279818442023</v>
      </c>
      <c r="AN41" s="271">
        <f t="shared" si="4"/>
        <v>1528.3810890239083</v>
      </c>
      <c r="AO41" s="271">
        <f t="shared" si="4"/>
        <v>4313.4344118804938</v>
      </c>
      <c r="AP41" s="271">
        <f t="shared" si="4"/>
        <v>917.55560896262739</v>
      </c>
      <c r="AQ41" s="271">
        <f t="shared" si="4"/>
        <v>1588.6805891364099</v>
      </c>
    </row>
    <row r="42" spans="1:43" ht="49.5" customHeight="1" thickTop="1" thickBot="1" x14ac:dyDescent="0.3">
      <c r="A42" s="562" t="s">
        <v>233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47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89" t="s">
        <v>184</v>
      </c>
      <c r="AH42" s="288">
        <v>523.25</v>
      </c>
      <c r="AI42" s="271" t="s">
        <v>197</v>
      </c>
      <c r="AJ42" s="271">
        <v>1130.71</v>
      </c>
      <c r="AK42" s="271">
        <v>289.95</v>
      </c>
      <c r="AL42" s="271">
        <v>691.06</v>
      </c>
      <c r="AM42" s="271">
        <v>3681.32</v>
      </c>
      <c r="AN42" s="271">
        <v>810.04</v>
      </c>
      <c r="AO42" s="271" t="s">
        <v>197</v>
      </c>
      <c r="AP42" s="271">
        <v>46.9</v>
      </c>
      <c r="AQ42" s="271">
        <v>319.97000000000003</v>
      </c>
    </row>
    <row r="43" spans="1:43" ht="38.25" customHeight="1" thickTop="1" thickBot="1" x14ac:dyDescent="0.3">
      <c r="A43" s="550" t="s">
        <v>49</v>
      </c>
      <c r="B43" s="546"/>
      <c r="C43" s="282"/>
      <c r="D43" s="546" t="s">
        <v>47</v>
      </c>
      <c r="E43" s="546"/>
      <c r="F43" s="282"/>
      <c r="G43" s="546" t="s">
        <v>48</v>
      </c>
      <c r="H43" s="546"/>
      <c r="I43" s="283"/>
      <c r="J43" s="546" t="s">
        <v>50</v>
      </c>
      <c r="K43" s="547"/>
      <c r="L43" s="44"/>
      <c r="M43" s="44"/>
      <c r="N43" s="44"/>
      <c r="O43" s="45"/>
      <c r="P43" s="45"/>
      <c r="Q43" s="45"/>
      <c r="R43" s="556" t="s">
        <v>166</v>
      </c>
      <c r="S43" s="557"/>
      <c r="T43" s="557"/>
      <c r="U43" s="558"/>
      <c r="AC43" s="45"/>
    </row>
    <row r="44" spans="1:43" ht="24.75" thickTop="1" thickBot="1" x14ac:dyDescent="0.3">
      <c r="A44" s="275" t="s">
        <v>135</v>
      </c>
      <c r="B44" s="276">
        <f>SUM(B41:AC41)</f>
        <v>153943.75601331631</v>
      </c>
      <c r="C44" s="12"/>
      <c r="D44" s="275" t="s">
        <v>135</v>
      </c>
      <c r="E44" s="276">
        <f>SUM(B41:H41)+P41+R41+T41+V41+X41+Z41</f>
        <v>105264.83645867539</v>
      </c>
      <c r="F44" s="12"/>
      <c r="G44" s="275" t="s">
        <v>135</v>
      </c>
      <c r="H44" s="276">
        <f>SUM(I41:N41)+O41+Q41+S41+U41+W41+Y41</f>
        <v>46828.258952290722</v>
      </c>
      <c r="I44" s="12"/>
      <c r="J44" s="275" t="s">
        <v>198</v>
      </c>
      <c r="K44" s="276">
        <v>136968.47</v>
      </c>
      <c r="L44" s="12"/>
      <c r="M44" s="12"/>
      <c r="N44" s="12"/>
      <c r="O44" s="12"/>
      <c r="P44" s="12"/>
      <c r="Q44" s="12"/>
      <c r="R44" s="313" t="s">
        <v>135</v>
      </c>
      <c r="S44" s="314"/>
      <c r="T44" s="307" t="s">
        <v>167</v>
      </c>
      <c r="U44" s="248" t="s">
        <v>168</v>
      </c>
    </row>
    <row r="45" spans="1:43" ht="24" thickBot="1" x14ac:dyDescent="0.4">
      <c r="A45" s="277" t="s">
        <v>183</v>
      </c>
      <c r="B45" s="278">
        <f>SUM(AH41:AQ41)</f>
        <v>33551.851612006911</v>
      </c>
      <c r="C45" s="12"/>
      <c r="D45" s="277" t="s">
        <v>183</v>
      </c>
      <c r="E45" s="278">
        <f>AH41*(1-$AG$40)+AI41+AJ41*0.5+AL41+AM41*(1-$AG$40)+AN41*(1-$AG$40)+AO41*(1-$AG$40)+AP41*0.5+AQ41*0.5</f>
        <v>19186.602747295943</v>
      </c>
      <c r="F45" s="24"/>
      <c r="G45" s="277" t="s">
        <v>183</v>
      </c>
      <c r="H45" s="278">
        <f>AH41*AG40+AJ41*0.5+AK41+AM41*AG40+AN41*AG40+AO41*AG40+AP41*0.5+AQ41*0.5</f>
        <v>14365.24886471096</v>
      </c>
      <c r="I45" s="12"/>
      <c r="J45" s="12"/>
      <c r="K45" s="281"/>
      <c r="L45" s="12"/>
      <c r="M45" s="12"/>
      <c r="N45" s="12"/>
      <c r="O45" s="12"/>
      <c r="P45" s="12"/>
      <c r="Q45" s="12"/>
      <c r="R45" s="311" t="s">
        <v>141</v>
      </c>
      <c r="S45" s="312"/>
      <c r="T45" s="247">
        <f>$W$39+$X$39</f>
        <v>1222.9303393006326</v>
      </c>
      <c r="U45" s="249">
        <f>(T45*8.34*0.895)/27000</f>
        <v>0.33808588635710046</v>
      </c>
    </row>
    <row r="46" spans="1:43" ht="32.25" thickBot="1" x14ac:dyDescent="0.3">
      <c r="A46" s="279" t="s">
        <v>184</v>
      </c>
      <c r="B46" s="280">
        <f>SUM(AH42:AQ42)</f>
        <v>7493.2000000000007</v>
      </c>
      <c r="C46" s="12"/>
      <c r="D46" s="279" t="s">
        <v>184</v>
      </c>
      <c r="E46" s="280">
        <f>AH42*(1-$AG$40)+AJ42*0.5+AL42+AM42*(1-$AG$40)+AN42*(1-$AG$40)+AP42*0.5+AQ42*0.5</f>
        <v>2923.5812470744254</v>
      </c>
      <c r="F46" s="23"/>
      <c r="G46" s="279" t="s">
        <v>184</v>
      </c>
      <c r="H46" s="280">
        <f>AH42*AG40+AJ42*0.5+AK42+AM42*AG40+AN42*AG40+AP42*0.5+AQ42*0.5</f>
        <v>4569.618752925574</v>
      </c>
      <c r="I46" s="12"/>
      <c r="J46" s="548" t="s">
        <v>199</v>
      </c>
      <c r="K46" s="549"/>
      <c r="L46" s="12"/>
      <c r="M46" s="12"/>
      <c r="N46" s="12"/>
      <c r="O46" s="12"/>
      <c r="P46" s="12"/>
      <c r="Q46" s="12"/>
      <c r="R46" s="311" t="s">
        <v>145</v>
      </c>
      <c r="S46" s="312"/>
      <c r="T46" s="247">
        <f>$M$39+$N$39+$F$39</f>
        <v>0</v>
      </c>
      <c r="U46" s="250">
        <f>(((T46*8.34)*0.005)/(8.34*1.055))/400</f>
        <v>0</v>
      </c>
    </row>
    <row r="47" spans="1:43" ht="24.75" thickTop="1" thickBot="1" x14ac:dyDescent="0.4">
      <c r="A47" s="279" t="s">
        <v>185</v>
      </c>
      <c r="B47" s="280">
        <f>K44</f>
        <v>136968.47</v>
      </c>
      <c r="C47" s="12"/>
      <c r="D47" s="279" t="s">
        <v>187</v>
      </c>
      <c r="E47" s="280">
        <f>K44*0.5</f>
        <v>68484.235000000001</v>
      </c>
      <c r="F47" s="24"/>
      <c r="G47" s="279" t="s">
        <v>185</v>
      </c>
      <c r="H47" s="280">
        <f>K44*0.5</f>
        <v>68484.235000000001</v>
      </c>
      <c r="I47" s="12"/>
      <c r="J47" s="275" t="s">
        <v>198</v>
      </c>
      <c r="K47" s="276">
        <v>65926.559999999998</v>
      </c>
      <c r="L47" s="12"/>
      <c r="M47" s="12"/>
      <c r="N47" s="12"/>
      <c r="O47" s="12"/>
      <c r="P47" s="12"/>
      <c r="Q47" s="12"/>
      <c r="R47" s="311" t="s">
        <v>148</v>
      </c>
      <c r="S47" s="312"/>
      <c r="T47" s="247">
        <f>$G$39</f>
        <v>118350.09282925936</v>
      </c>
      <c r="U47" s="249">
        <f>T47/40000</f>
        <v>2.9587523207314841</v>
      </c>
    </row>
    <row r="48" spans="1:43" ht="24" thickBot="1" x14ac:dyDescent="0.3">
      <c r="A48" s="279" t="s">
        <v>186</v>
      </c>
      <c r="B48" s="280">
        <f>K47</f>
        <v>65926.559999999998</v>
      </c>
      <c r="C48" s="12"/>
      <c r="D48" s="279" t="s">
        <v>186</v>
      </c>
      <c r="E48" s="280">
        <f>K47*0.5</f>
        <v>32963.279999999999</v>
      </c>
      <c r="F48" s="23"/>
      <c r="G48" s="279" t="s">
        <v>186</v>
      </c>
      <c r="H48" s="280">
        <f>K47*0.5</f>
        <v>32963.279999999999</v>
      </c>
      <c r="I48" s="12"/>
      <c r="J48" s="12"/>
      <c r="K48" s="86"/>
      <c r="L48" s="12"/>
      <c r="M48" s="12"/>
      <c r="N48" s="12"/>
      <c r="O48" s="12"/>
      <c r="P48" s="12"/>
      <c r="Q48" s="12"/>
      <c r="R48" s="311" t="s">
        <v>150</v>
      </c>
      <c r="S48" s="312"/>
      <c r="T48" s="247">
        <f>$L$39</f>
        <v>8.5621476173399033E-2</v>
      </c>
      <c r="U48" s="249">
        <f>T48*9.34*0.107</f>
        <v>8.5568390858171528E-2</v>
      </c>
    </row>
    <row r="49" spans="1:25" ht="48" thickTop="1" thickBot="1" x14ac:dyDescent="0.3">
      <c r="A49" s="284" t="s">
        <v>194</v>
      </c>
      <c r="B49" s="285">
        <f>AD40</f>
        <v>517.98554506103198</v>
      </c>
      <c r="C49" s="12"/>
      <c r="D49" s="284" t="s">
        <v>195</v>
      </c>
      <c r="E49" s="285">
        <f>AF40</f>
        <v>151.03198321016288</v>
      </c>
      <c r="F49" s="23"/>
      <c r="G49" s="284" t="s">
        <v>196</v>
      </c>
      <c r="H49" s="285">
        <f>AE40</f>
        <v>359.41523883147437</v>
      </c>
      <c r="I49" s="12"/>
      <c r="J49" s="12"/>
      <c r="K49" s="86"/>
      <c r="L49" s="12"/>
      <c r="M49" s="12"/>
      <c r="N49" s="12"/>
      <c r="O49" s="12"/>
      <c r="P49" s="12"/>
      <c r="Q49" s="12"/>
      <c r="R49" s="311" t="s">
        <v>152</v>
      </c>
      <c r="S49" s="312"/>
      <c r="T49" s="247">
        <f>$E$39+$K$39</f>
        <v>987.72300616552434</v>
      </c>
      <c r="U49" s="249">
        <f>(T49*8.34*1.04)/45000</f>
        <v>0.19038031702838429</v>
      </c>
    </row>
    <row r="50" spans="1:25" ht="48" thickTop="1" thickBot="1" x14ac:dyDescent="0.3">
      <c r="A50" s="284" t="s">
        <v>190</v>
      </c>
      <c r="B50" s="286">
        <f>(SUM(B44:B48)/AD40)</f>
        <v>768.13695173374447</v>
      </c>
      <c r="C50" s="12"/>
      <c r="D50" s="284" t="s">
        <v>188</v>
      </c>
      <c r="E50" s="286">
        <f>SUM(E44:E48)/AF40</f>
        <v>1515.0601256068815</v>
      </c>
      <c r="F50" s="23"/>
      <c r="G50" s="284" t="s">
        <v>189</v>
      </c>
      <c r="H50" s="286">
        <f>SUM(H44:H48)/AE40</f>
        <v>465.22969397057307</v>
      </c>
      <c r="I50" s="12"/>
      <c r="J50" s="12"/>
      <c r="K50" s="86"/>
      <c r="L50" s="12"/>
      <c r="M50" s="12"/>
      <c r="N50" s="12"/>
      <c r="O50" s="12"/>
      <c r="P50" s="12"/>
      <c r="Q50" s="12"/>
      <c r="R50" s="311" t="s">
        <v>153</v>
      </c>
      <c r="S50" s="312"/>
      <c r="T50" s="247">
        <f>$U$39+$V$39+$AB$39</f>
        <v>21371.60119114977</v>
      </c>
      <c r="U50" s="249">
        <f>T50/2000/8</f>
        <v>1.3357250744468607</v>
      </c>
    </row>
    <row r="51" spans="1:25" ht="57" customHeight="1" thickTop="1" thickBot="1" x14ac:dyDescent="0.3">
      <c r="A51" s="274" t="s">
        <v>191</v>
      </c>
      <c r="B51" s="287">
        <f>B50/1000</f>
        <v>0.76813695173374452</v>
      </c>
      <c r="C51" s="12"/>
      <c r="D51" s="274" t="s">
        <v>192</v>
      </c>
      <c r="E51" s="287">
        <f>E50/1000</f>
        <v>1.5150601256068814</v>
      </c>
      <c r="F51" s="12"/>
      <c r="G51" s="274" t="s">
        <v>193</v>
      </c>
      <c r="H51" s="287">
        <f>H50/1000</f>
        <v>0.46522969397057307</v>
      </c>
      <c r="I51" s="12"/>
      <c r="J51" s="12"/>
      <c r="K51" s="86"/>
      <c r="L51" s="12"/>
      <c r="M51" s="12"/>
      <c r="N51" s="12"/>
      <c r="O51" s="12"/>
      <c r="P51" s="12"/>
      <c r="Q51" s="12"/>
      <c r="R51" s="311" t="s">
        <v>154</v>
      </c>
      <c r="S51" s="312"/>
      <c r="T51" s="247">
        <f>$C$39+$J$39+$S$39+$T$39</f>
        <v>20960.431979640318</v>
      </c>
      <c r="U51" s="249">
        <f>(T51*8.34*1.4)/45000</f>
        <v>5.4385334176506737</v>
      </c>
    </row>
    <row r="52" spans="1:25" ht="16.5" thickTop="1" thickBot="1" x14ac:dyDescent="0.3">
      <c r="A52" s="296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1" t="s">
        <v>155</v>
      </c>
      <c r="S52" s="312"/>
      <c r="T52" s="247">
        <f>$H$39</f>
        <v>1935.1104386270051</v>
      </c>
      <c r="U52" s="249">
        <f>(T52*8.34*1.135)/45000</f>
        <v>0.40705693113331931</v>
      </c>
    </row>
    <row r="53" spans="1:25" ht="48" customHeight="1" thickTop="1" thickBot="1" x14ac:dyDescent="0.3">
      <c r="A53" s="559" t="s">
        <v>51</v>
      </c>
      <c r="B53" s="560"/>
      <c r="C53" s="560"/>
      <c r="D53" s="560"/>
      <c r="E53" s="561"/>
      <c r="F53" s="12"/>
      <c r="G53" s="12"/>
      <c r="H53" s="12"/>
      <c r="I53" s="378">
        <f>E44/E49</f>
        <v>696.97049738265082</v>
      </c>
      <c r="J53" s="12"/>
      <c r="K53" s="86"/>
      <c r="L53" s="12"/>
      <c r="M53" s="12"/>
      <c r="N53" s="12"/>
      <c r="O53" s="12"/>
      <c r="P53" s="12"/>
      <c r="Q53" s="12"/>
      <c r="R53" s="311" t="s">
        <v>156</v>
      </c>
      <c r="S53" s="312"/>
      <c r="T53" s="247">
        <f>$B$39+$I$39+$AC$39</f>
        <v>8577.9083755970005</v>
      </c>
      <c r="U53" s="249">
        <f>(T53*8.34*1.029*0.03)/3300</f>
        <v>0.66922189792909881</v>
      </c>
    </row>
    <row r="54" spans="1:25" ht="45.75" customHeight="1" thickBot="1" x14ac:dyDescent="0.3">
      <c r="A54" s="543" t="s">
        <v>200</v>
      </c>
      <c r="B54" s="544"/>
      <c r="C54" s="544"/>
      <c r="D54" s="544"/>
      <c r="E54" s="545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3" t="s">
        <v>158</v>
      </c>
      <c r="S54" s="554"/>
      <c r="T54" s="251">
        <f>$D$39+$Y$39+$Z$39</f>
        <v>43695.313533027955</v>
      </c>
      <c r="U54" s="252">
        <f>(T54*1.54*8.34)/45000</f>
        <v>12.471225086506616</v>
      </c>
    </row>
    <row r="55" spans="1:25" ht="24" thickTop="1" x14ac:dyDescent="0.25">
      <c r="A55" s="589"/>
      <c r="B55" s="59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1"/>
      <c r="B56" s="59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7"/>
      <c r="B57" s="58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8"/>
      <c r="B58" s="58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7"/>
      <c r="B59" s="58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8"/>
      <c r="B60" s="588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password="A25B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Conte, Chris</cp:lastModifiedBy>
  <cp:lastPrinted>2014-02-03T19:49:45Z</cp:lastPrinted>
  <dcterms:created xsi:type="dcterms:W3CDTF">2010-10-11T23:47:50Z</dcterms:created>
  <dcterms:modified xsi:type="dcterms:W3CDTF">2016-02-10T15:50:31Z</dcterms:modified>
</cp:coreProperties>
</file>