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Previous Years BWPF Cost Reports\"/>
    </mc:Choice>
  </mc:AlternateContent>
  <bookViews>
    <workbookView xWindow="2445" yWindow="1140" windowWidth="19320" windowHeight="11760" firstSheet="4" activeTab="4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25" r:id="rId15"/>
    <sheet name="DECEMBER" sheetId="26" r:id="rId16"/>
  </sheets>
  <externalReferences>
    <externalReference r:id="rId17"/>
  </externalReferences>
  <definedNames>
    <definedName name="_xlnm.Print_Area" localSheetId="7">APRIL!$A$42:$K$54</definedName>
    <definedName name="_xlnm.Print_Area" localSheetId="11">AUGUST!$A$42:$K$54</definedName>
    <definedName name="_xlnm.Print_Area" localSheetId="15">DECEMBER!$A$42:$K$54</definedName>
    <definedName name="_xlnm.Print_Area" localSheetId="5">FEBRUARY!$A$42:$K$54</definedName>
    <definedName name="_xlnm.Print_Area" localSheetId="4">JANUARY!$A$42:$K$54</definedName>
    <definedName name="_xlnm.Print_Area" localSheetId="10">JULY!$A$42:$K$54</definedName>
    <definedName name="_xlnm.Print_Area" localSheetId="9">JUNE!$A$41:$K$53</definedName>
    <definedName name="_xlnm.Print_Area" localSheetId="6">MARCH!$A$42:$K$54</definedName>
    <definedName name="_xlnm.Print_Area" localSheetId="8">MAY!$A$43:$K$55</definedName>
    <definedName name="_xlnm.Print_Area" localSheetId="14">NOVEMBER!$A$42:$K$54</definedName>
    <definedName name="_xlnm.Print_Area" localSheetId="13">OCTOBER!$A$42:$K$54</definedName>
    <definedName name="_xlnm.Print_Area" localSheetId="12">SEPTEMBER!$A$42:$K$54</definedName>
  </definedNames>
  <calcPr calcId="152511"/>
</workbook>
</file>

<file path=xl/calcChain.xml><?xml version="1.0" encoding="utf-8"?>
<calcChain xmlns="http://schemas.openxmlformats.org/spreadsheetml/2006/main">
  <c r="AQ40" i="18" l="1"/>
  <c r="AP40" i="18"/>
  <c r="AO40" i="18"/>
  <c r="AN40" i="18"/>
  <c r="AM40" i="18"/>
  <c r="AL40" i="18"/>
  <c r="AK40" i="18"/>
  <c r="AJ40" i="18"/>
  <c r="AI40" i="18"/>
  <c r="AH40" i="18"/>
  <c r="AQ39" i="20"/>
  <c r="AP39" i="20"/>
  <c r="AO39" i="20"/>
  <c r="AN39" i="20"/>
  <c r="AM39" i="20"/>
  <c r="AL39" i="20"/>
  <c r="AK39" i="20"/>
  <c r="AJ39" i="20"/>
  <c r="AI39" i="20"/>
  <c r="AH39" i="20"/>
  <c r="H53" i="26"/>
  <c r="I53" i="26"/>
  <c r="AH19" i="28"/>
  <c r="AF19" i="28"/>
  <c r="AI10" i="28"/>
  <c r="AG10" i="28"/>
  <c r="AI22" i="28" l="1"/>
  <c r="AH22" i="28"/>
  <c r="AG22" i="28"/>
  <c r="AF22" i="28"/>
  <c r="AB28" i="28" l="1"/>
  <c r="S39" i="17" s="1"/>
  <c r="J40" i="19" l="1"/>
  <c r="T40" i="19"/>
  <c r="J41" i="18"/>
  <c r="T41" i="18"/>
  <c r="J39" i="17"/>
  <c r="T39" i="17"/>
  <c r="C40" i="19"/>
  <c r="S40" i="19"/>
  <c r="C41" i="18"/>
  <c r="S41" i="18"/>
  <c r="C39" i="17"/>
  <c r="AF40" i="24" l="1"/>
  <c r="E49" i="24" s="1"/>
  <c r="AE40" i="24"/>
  <c r="AD40" i="24"/>
  <c r="B49" i="24" s="1"/>
  <c r="H48" i="26"/>
  <c r="E48" i="26"/>
  <c r="B48" i="26"/>
  <c r="H47" i="26"/>
  <c r="E47" i="26"/>
  <c r="B47" i="26"/>
  <c r="B46" i="26"/>
  <c r="AQ40" i="26"/>
  <c r="AP40" i="26"/>
  <c r="AO40" i="26"/>
  <c r="AN40" i="26"/>
  <c r="AM40" i="26"/>
  <c r="AL40" i="26"/>
  <c r="AK40" i="26"/>
  <c r="AJ40" i="26"/>
  <c r="AI40" i="26"/>
  <c r="AF40" i="26"/>
  <c r="E49" i="26" s="1"/>
  <c r="AE40" i="26"/>
  <c r="AD40" i="26"/>
  <c r="B49" i="26" s="1"/>
  <c r="AQ39" i="26"/>
  <c r="AP39" i="26"/>
  <c r="AO39" i="26"/>
  <c r="AN39" i="26"/>
  <c r="AM39" i="26"/>
  <c r="AL39" i="26"/>
  <c r="AK39" i="26"/>
  <c r="AJ39" i="26"/>
  <c r="AI39" i="26"/>
  <c r="AH39" i="26"/>
  <c r="AH41" i="26" s="1"/>
  <c r="AC39" i="26"/>
  <c r="AB39" i="26"/>
  <c r="AA39" i="26"/>
  <c r="AA41" i="26" s="1"/>
  <c r="Z39" i="26"/>
  <c r="Y39" i="26"/>
  <c r="X39" i="26"/>
  <c r="W39" i="26"/>
  <c r="V39" i="26"/>
  <c r="U39" i="26"/>
  <c r="T39" i="26"/>
  <c r="S39" i="26"/>
  <c r="R39" i="26"/>
  <c r="R41" i="26" s="1"/>
  <c r="Q39" i="26"/>
  <c r="Q41" i="26" s="1"/>
  <c r="P39" i="26"/>
  <c r="P41" i="26" s="1"/>
  <c r="O39" i="26"/>
  <c r="O41" i="26" s="1"/>
  <c r="N39" i="26"/>
  <c r="M39" i="26"/>
  <c r="L39" i="26"/>
  <c r="K39" i="26"/>
  <c r="J39" i="26"/>
  <c r="I39" i="26"/>
  <c r="H39" i="26"/>
  <c r="T52" i="26" s="1"/>
  <c r="U52" i="26" s="1"/>
  <c r="G39" i="26"/>
  <c r="T47" i="26" s="1"/>
  <c r="U47" i="26" s="1"/>
  <c r="F39" i="26"/>
  <c r="E39" i="26"/>
  <c r="D39" i="26"/>
  <c r="C39" i="26"/>
  <c r="B39" i="26"/>
  <c r="H48" i="25"/>
  <c r="E48" i="25"/>
  <c r="B48" i="25"/>
  <c r="H47" i="25"/>
  <c r="E47" i="25"/>
  <c r="B47" i="25"/>
  <c r="B46" i="25"/>
  <c r="AQ40" i="25"/>
  <c r="AP40" i="25"/>
  <c r="AO40" i="25"/>
  <c r="AN40" i="25"/>
  <c r="AM40" i="25"/>
  <c r="AL40" i="25"/>
  <c r="AK40" i="25"/>
  <c r="AJ40" i="25"/>
  <c r="AI40" i="25"/>
  <c r="AF40" i="25"/>
  <c r="E49" i="25" s="1"/>
  <c r="AE40" i="25"/>
  <c r="AD40" i="25"/>
  <c r="B49" i="25" s="1"/>
  <c r="AQ39" i="25"/>
  <c r="AP39" i="25"/>
  <c r="AO39" i="25"/>
  <c r="AN39" i="25"/>
  <c r="AM39" i="25"/>
  <c r="AL39" i="25"/>
  <c r="AK39" i="25"/>
  <c r="AJ39" i="25"/>
  <c r="AI39" i="25"/>
  <c r="AH39" i="25"/>
  <c r="AH41" i="25" s="1"/>
  <c r="AC39" i="25"/>
  <c r="AB39" i="25"/>
  <c r="AA39" i="25"/>
  <c r="AA41" i="25" s="1"/>
  <c r="Z39" i="25"/>
  <c r="Y39" i="25"/>
  <c r="X39" i="25"/>
  <c r="W39" i="25"/>
  <c r="V39" i="25"/>
  <c r="U39" i="25"/>
  <c r="T39" i="25"/>
  <c r="S39" i="25"/>
  <c r="R39" i="25"/>
  <c r="R41" i="25" s="1"/>
  <c r="Q39" i="25"/>
  <c r="Q41" i="25" s="1"/>
  <c r="P39" i="25"/>
  <c r="P41" i="25" s="1"/>
  <c r="O39" i="25"/>
  <c r="O41" i="25" s="1"/>
  <c r="N39" i="25"/>
  <c r="M39" i="25"/>
  <c r="L39" i="25"/>
  <c r="K39" i="25"/>
  <c r="J39" i="25"/>
  <c r="I39" i="25"/>
  <c r="H39" i="25"/>
  <c r="T52" i="25" s="1"/>
  <c r="U52" i="25" s="1"/>
  <c r="G39" i="25"/>
  <c r="T47" i="25" s="1"/>
  <c r="U47" i="25" s="1"/>
  <c r="F39" i="25"/>
  <c r="E39" i="25"/>
  <c r="D39" i="25"/>
  <c r="C39" i="25"/>
  <c r="B39" i="25"/>
  <c r="H48" i="6"/>
  <c r="E48" i="6"/>
  <c r="B48" i="6"/>
  <c r="H47" i="6"/>
  <c r="E47" i="6"/>
  <c r="B47" i="6"/>
  <c r="B46" i="6"/>
  <c r="AQ40" i="6"/>
  <c r="AP40" i="6"/>
  <c r="AO40" i="6"/>
  <c r="AN40" i="6"/>
  <c r="AM40" i="6"/>
  <c r="AL40" i="6"/>
  <c r="AK40" i="6"/>
  <c r="AJ40" i="6"/>
  <c r="AI40" i="6"/>
  <c r="AF40" i="6"/>
  <c r="E49" i="6" s="1"/>
  <c r="AE40" i="6"/>
  <c r="AD40" i="6"/>
  <c r="B49" i="6" s="1"/>
  <c r="AQ39" i="6"/>
  <c r="AP39" i="6"/>
  <c r="AO39" i="6"/>
  <c r="AN39" i="6"/>
  <c r="AM39" i="6"/>
  <c r="AL39" i="6"/>
  <c r="AK39" i="6"/>
  <c r="AJ39" i="6"/>
  <c r="AI39" i="6"/>
  <c r="AH39" i="6"/>
  <c r="AH41" i="6" s="1"/>
  <c r="AC39" i="6"/>
  <c r="AB39" i="6"/>
  <c r="AA39" i="6"/>
  <c r="AA41" i="6" s="1"/>
  <c r="Z39" i="6"/>
  <c r="Y39" i="6"/>
  <c r="X39" i="6"/>
  <c r="W39" i="6"/>
  <c r="V39" i="6"/>
  <c r="U39" i="6"/>
  <c r="T39" i="6"/>
  <c r="S39" i="6"/>
  <c r="R39" i="6"/>
  <c r="R41" i="6" s="1"/>
  <c r="Q39" i="6"/>
  <c r="Q41" i="6" s="1"/>
  <c r="P39" i="6"/>
  <c r="P41" i="6" s="1"/>
  <c r="O39" i="6"/>
  <c r="O41" i="6" s="1"/>
  <c r="N39" i="6"/>
  <c r="M39" i="6"/>
  <c r="L39" i="6"/>
  <c r="K39" i="6"/>
  <c r="J39" i="6"/>
  <c r="I39" i="6"/>
  <c r="H39" i="6"/>
  <c r="T52" i="6" s="1"/>
  <c r="U52" i="6" s="1"/>
  <c r="G39" i="6"/>
  <c r="T47" i="6" s="1"/>
  <c r="U47" i="6" s="1"/>
  <c r="F39" i="6"/>
  <c r="E39" i="6"/>
  <c r="D39" i="6"/>
  <c r="C39" i="6"/>
  <c r="B39" i="6"/>
  <c r="AF40" i="23"/>
  <c r="E49" i="23" s="1"/>
  <c r="AE40" i="23"/>
  <c r="AD40" i="23"/>
  <c r="B49" i="23" s="1"/>
  <c r="H48" i="23"/>
  <c r="E48" i="23"/>
  <c r="B48" i="23"/>
  <c r="H47" i="23"/>
  <c r="E47" i="23"/>
  <c r="B47" i="23"/>
  <c r="B46" i="23"/>
  <c r="AQ40" i="23"/>
  <c r="AP40" i="23"/>
  <c r="AO40" i="23"/>
  <c r="AN40" i="23"/>
  <c r="AM40" i="23"/>
  <c r="AL40" i="23"/>
  <c r="AK40" i="23"/>
  <c r="AJ40" i="23"/>
  <c r="AI40" i="23"/>
  <c r="AQ39" i="23"/>
  <c r="AP39" i="23"/>
  <c r="AO39" i="23"/>
  <c r="AN39" i="23"/>
  <c r="AM39" i="23"/>
  <c r="AL39" i="23"/>
  <c r="AK39" i="23"/>
  <c r="AJ39" i="23"/>
  <c r="AI39" i="23"/>
  <c r="AH39" i="23"/>
  <c r="AH41" i="23" s="1"/>
  <c r="AC39" i="23"/>
  <c r="AB39" i="23"/>
  <c r="AA39" i="23"/>
  <c r="AA41" i="23" s="1"/>
  <c r="Z39" i="23"/>
  <c r="Y39" i="23"/>
  <c r="X39" i="23"/>
  <c r="W39" i="23"/>
  <c r="V39" i="23"/>
  <c r="U39" i="23"/>
  <c r="T39" i="23"/>
  <c r="S39" i="23"/>
  <c r="R39" i="23"/>
  <c r="R41" i="23" s="1"/>
  <c r="Q39" i="23"/>
  <c r="Q41" i="23" s="1"/>
  <c r="P39" i="23"/>
  <c r="P41" i="23" s="1"/>
  <c r="O39" i="23"/>
  <c r="O41" i="23" s="1"/>
  <c r="N39" i="23"/>
  <c r="M39" i="23"/>
  <c r="L39" i="23"/>
  <c r="K39" i="23"/>
  <c r="J39" i="23"/>
  <c r="I39" i="23"/>
  <c r="H39" i="23"/>
  <c r="T52" i="23" s="1"/>
  <c r="U52" i="23" s="1"/>
  <c r="G39" i="23"/>
  <c r="T47" i="23" s="1"/>
  <c r="U47" i="23" s="1"/>
  <c r="F39" i="23"/>
  <c r="E39" i="23"/>
  <c r="D39" i="23"/>
  <c r="C39" i="23"/>
  <c r="B39" i="23"/>
  <c r="H48" i="24"/>
  <c r="E48" i="24"/>
  <c r="B48" i="24"/>
  <c r="H47" i="24"/>
  <c r="E47" i="24"/>
  <c r="B47" i="24"/>
  <c r="B46" i="24"/>
  <c r="AQ40" i="24"/>
  <c r="AP40" i="24"/>
  <c r="AO40" i="24"/>
  <c r="AN40" i="24"/>
  <c r="AM40" i="24"/>
  <c r="AL40" i="24"/>
  <c r="AK40" i="24"/>
  <c r="AJ40" i="24"/>
  <c r="AI40" i="24"/>
  <c r="AQ39" i="24"/>
  <c r="AP39" i="24"/>
  <c r="AO39" i="24"/>
  <c r="AN39" i="24"/>
  <c r="AM39" i="24"/>
  <c r="AL39" i="24"/>
  <c r="AK39" i="24"/>
  <c r="AJ39" i="24"/>
  <c r="AI39" i="24"/>
  <c r="AH39" i="24"/>
  <c r="AH41" i="24" s="1"/>
  <c r="AC39" i="24"/>
  <c r="AB39" i="24"/>
  <c r="AA39" i="24"/>
  <c r="AA41" i="24" s="1"/>
  <c r="Z39" i="24"/>
  <c r="Y39" i="24"/>
  <c r="X39" i="24"/>
  <c r="W39" i="24"/>
  <c r="V39" i="24"/>
  <c r="U39" i="24"/>
  <c r="T39" i="24"/>
  <c r="S39" i="24"/>
  <c r="R39" i="24"/>
  <c r="R41" i="24" s="1"/>
  <c r="Q39" i="24"/>
  <c r="Q41" i="24" s="1"/>
  <c r="P39" i="24"/>
  <c r="P41" i="24" s="1"/>
  <c r="O39" i="24"/>
  <c r="O41" i="24" s="1"/>
  <c r="N39" i="24"/>
  <c r="M39" i="24"/>
  <c r="L39" i="24"/>
  <c r="K39" i="24"/>
  <c r="J39" i="24"/>
  <c r="I39" i="24"/>
  <c r="H39" i="24"/>
  <c r="T52" i="24" s="1"/>
  <c r="U52" i="24" s="1"/>
  <c r="G39" i="24"/>
  <c r="T47" i="24" s="1"/>
  <c r="U47" i="24" s="1"/>
  <c r="F39" i="24"/>
  <c r="E39" i="24"/>
  <c r="D39" i="24"/>
  <c r="C39" i="24"/>
  <c r="B39" i="24"/>
  <c r="H47" i="17"/>
  <c r="E47" i="17"/>
  <c r="B47" i="17"/>
  <c r="H46" i="17"/>
  <c r="E46" i="17"/>
  <c r="B46" i="17"/>
  <c r="B45" i="17"/>
  <c r="AQ39" i="17"/>
  <c r="AP39" i="17"/>
  <c r="AO39" i="17"/>
  <c r="AN39" i="17"/>
  <c r="AM39" i="17"/>
  <c r="AL39" i="17"/>
  <c r="AK39" i="17"/>
  <c r="AJ39" i="17"/>
  <c r="AI39" i="17"/>
  <c r="AF39" i="17"/>
  <c r="E48" i="17" s="1"/>
  <c r="AE39" i="17"/>
  <c r="AD39" i="17"/>
  <c r="B48" i="17" s="1"/>
  <c r="AQ38" i="17"/>
  <c r="AP38" i="17"/>
  <c r="AO38" i="17"/>
  <c r="AN38" i="17"/>
  <c r="AM38" i="17"/>
  <c r="AL38" i="17"/>
  <c r="AK38" i="17"/>
  <c r="AJ38" i="17"/>
  <c r="AI38" i="17"/>
  <c r="AH38" i="17"/>
  <c r="AH40" i="17" s="1"/>
  <c r="AC38" i="17"/>
  <c r="AB38" i="17"/>
  <c r="AA38" i="17"/>
  <c r="AA40" i="17" s="1"/>
  <c r="Z38" i="17"/>
  <c r="Y38" i="17"/>
  <c r="X38" i="17"/>
  <c r="W38" i="17"/>
  <c r="V38" i="17"/>
  <c r="U38" i="17"/>
  <c r="T38" i="17"/>
  <c r="T40" i="17" s="1"/>
  <c r="S38" i="17"/>
  <c r="S40" i="17" s="1"/>
  <c r="R38" i="17"/>
  <c r="R40" i="17" s="1"/>
  <c r="Q38" i="17"/>
  <c r="Q40" i="17" s="1"/>
  <c r="P38" i="17"/>
  <c r="P40" i="17" s="1"/>
  <c r="O38" i="17"/>
  <c r="O40" i="17" s="1"/>
  <c r="N38" i="17"/>
  <c r="M38" i="17"/>
  <c r="L38" i="17"/>
  <c r="K38" i="17"/>
  <c r="J38" i="17"/>
  <c r="J40" i="17" s="1"/>
  <c r="I38" i="17"/>
  <c r="H38" i="17"/>
  <c r="T51" i="17" s="1"/>
  <c r="U51" i="17" s="1"/>
  <c r="G38" i="17"/>
  <c r="T46" i="17" s="1"/>
  <c r="U46" i="17" s="1"/>
  <c r="F38" i="17"/>
  <c r="E38" i="17"/>
  <c r="D38" i="17"/>
  <c r="C38" i="17"/>
  <c r="B38" i="17"/>
  <c r="H49" i="18"/>
  <c r="E49" i="18"/>
  <c r="B49" i="18"/>
  <c r="H48" i="18"/>
  <c r="E48" i="18"/>
  <c r="B48" i="18"/>
  <c r="B47" i="18"/>
  <c r="AQ41" i="18"/>
  <c r="AP41" i="18"/>
  <c r="AO41" i="18"/>
  <c r="AN41" i="18"/>
  <c r="AM41" i="18"/>
  <c r="AL41" i="18"/>
  <c r="AK41" i="18"/>
  <c r="AJ41" i="18"/>
  <c r="AI41" i="18"/>
  <c r="AF41" i="18"/>
  <c r="E50" i="18" s="1"/>
  <c r="AE41" i="18"/>
  <c r="H50" i="18" s="1"/>
  <c r="AD41" i="18"/>
  <c r="B50" i="18" s="1"/>
  <c r="AH42" i="18"/>
  <c r="AC40" i="18"/>
  <c r="AB40" i="18"/>
  <c r="AA40" i="18"/>
  <c r="AA42" i="18" s="1"/>
  <c r="Z40" i="18"/>
  <c r="Y40" i="18"/>
  <c r="X40" i="18"/>
  <c r="W40" i="18"/>
  <c r="V40" i="18"/>
  <c r="U40" i="18"/>
  <c r="T40" i="18"/>
  <c r="T42" i="18" s="1"/>
  <c r="S40" i="18"/>
  <c r="S42" i="18" s="1"/>
  <c r="R40" i="18"/>
  <c r="R42" i="18" s="1"/>
  <c r="Q40" i="18"/>
  <c r="Q42" i="18" s="1"/>
  <c r="P40" i="18"/>
  <c r="P42" i="18" s="1"/>
  <c r="O40" i="18"/>
  <c r="O42" i="18" s="1"/>
  <c r="N40" i="18"/>
  <c r="M40" i="18"/>
  <c r="L40" i="18"/>
  <c r="K40" i="18"/>
  <c r="J40" i="18"/>
  <c r="J42" i="18" s="1"/>
  <c r="I40" i="18"/>
  <c r="H40" i="18"/>
  <c r="T53" i="18" s="1"/>
  <c r="U53" i="18" s="1"/>
  <c r="G40" i="18"/>
  <c r="T48" i="18" s="1"/>
  <c r="U48" i="18" s="1"/>
  <c r="F40" i="18"/>
  <c r="E40" i="18"/>
  <c r="D40" i="18"/>
  <c r="C40" i="18"/>
  <c r="B40" i="18"/>
  <c r="H48" i="19"/>
  <c r="E48" i="19"/>
  <c r="B48" i="19"/>
  <c r="H47" i="19"/>
  <c r="E47" i="19"/>
  <c r="B47" i="19"/>
  <c r="B46" i="19"/>
  <c r="AQ40" i="19"/>
  <c r="AP40" i="19"/>
  <c r="AO40" i="19"/>
  <c r="AN40" i="19"/>
  <c r="AM40" i="19"/>
  <c r="AL40" i="19"/>
  <c r="AK40" i="19"/>
  <c r="AJ40" i="19"/>
  <c r="AI40" i="19"/>
  <c r="AF40" i="19"/>
  <c r="AE40" i="19"/>
  <c r="H49" i="19" s="1"/>
  <c r="AD40" i="19"/>
  <c r="B49" i="19" s="1"/>
  <c r="AQ39" i="19"/>
  <c r="AP39" i="19"/>
  <c r="AO39" i="19"/>
  <c r="AN39" i="19"/>
  <c r="AM39" i="19"/>
  <c r="AL39" i="19"/>
  <c r="AK39" i="19"/>
  <c r="AJ39" i="19"/>
  <c r="AI39" i="19"/>
  <c r="AH39" i="19"/>
  <c r="AH41" i="19" s="1"/>
  <c r="AC39" i="19"/>
  <c r="AB39" i="19"/>
  <c r="AA39" i="19"/>
  <c r="AA41" i="19" s="1"/>
  <c r="Z39" i="19"/>
  <c r="Y39" i="19"/>
  <c r="X39" i="19"/>
  <c r="W39" i="19"/>
  <c r="V39" i="19"/>
  <c r="U39" i="19"/>
  <c r="T39" i="19"/>
  <c r="T41" i="19" s="1"/>
  <c r="S39" i="19"/>
  <c r="S41" i="19" s="1"/>
  <c r="R39" i="19"/>
  <c r="R41" i="19" s="1"/>
  <c r="Q39" i="19"/>
  <c r="Q41" i="19" s="1"/>
  <c r="P39" i="19"/>
  <c r="P41" i="19" s="1"/>
  <c r="O39" i="19"/>
  <c r="O41" i="19" s="1"/>
  <c r="N39" i="19"/>
  <c r="M39" i="19"/>
  <c r="L39" i="19"/>
  <c r="K39" i="19"/>
  <c r="J39" i="19"/>
  <c r="J41" i="19" s="1"/>
  <c r="I39" i="19"/>
  <c r="H39" i="19"/>
  <c r="T52" i="19" s="1"/>
  <c r="U52" i="19" s="1"/>
  <c r="G39" i="19"/>
  <c r="T47" i="19" s="1"/>
  <c r="U47" i="19" s="1"/>
  <c r="F39" i="19"/>
  <c r="E39" i="19"/>
  <c r="D39" i="19"/>
  <c r="C39" i="19"/>
  <c r="B39" i="19"/>
  <c r="H48" i="20"/>
  <c r="E48" i="20"/>
  <c r="B48" i="20"/>
  <c r="H47" i="20"/>
  <c r="E47" i="20"/>
  <c r="B47" i="20"/>
  <c r="B46" i="20"/>
  <c r="AQ40" i="20"/>
  <c r="AP40" i="20"/>
  <c r="AO40" i="20"/>
  <c r="AN40" i="20"/>
  <c r="AM40" i="20"/>
  <c r="AL40" i="20"/>
  <c r="AK40" i="20"/>
  <c r="AJ40" i="20"/>
  <c r="AI40" i="20"/>
  <c r="AF40" i="20"/>
  <c r="E49" i="20" s="1"/>
  <c r="AE40" i="20"/>
  <c r="AD40" i="20"/>
  <c r="B49" i="20" s="1"/>
  <c r="AH41" i="20"/>
  <c r="AC39" i="20"/>
  <c r="AB39" i="20"/>
  <c r="AA39" i="20"/>
  <c r="AA41" i="20" s="1"/>
  <c r="Z39" i="20"/>
  <c r="Y39" i="20"/>
  <c r="X39" i="20"/>
  <c r="W39" i="20"/>
  <c r="V39" i="20"/>
  <c r="U39" i="20"/>
  <c r="T39" i="20"/>
  <c r="S39" i="20"/>
  <c r="R39" i="20"/>
  <c r="R41" i="20" s="1"/>
  <c r="Q39" i="20"/>
  <c r="Q41" i="20" s="1"/>
  <c r="P39" i="20"/>
  <c r="P41" i="20" s="1"/>
  <c r="O39" i="20"/>
  <c r="O41" i="20" s="1"/>
  <c r="N39" i="20"/>
  <c r="M39" i="20"/>
  <c r="L39" i="20"/>
  <c r="K39" i="20"/>
  <c r="J39" i="20"/>
  <c r="I39" i="20"/>
  <c r="H39" i="20"/>
  <c r="T52" i="20" s="1"/>
  <c r="U52" i="20" s="1"/>
  <c r="G39" i="20"/>
  <c r="T47" i="20" s="1"/>
  <c r="U47" i="20" s="1"/>
  <c r="F39" i="20"/>
  <c r="E39" i="20"/>
  <c r="D39" i="20"/>
  <c r="C39" i="20"/>
  <c r="B39" i="20"/>
  <c r="T49" i="25" l="1"/>
  <c r="U49" i="25" s="1"/>
  <c r="T54" i="26"/>
  <c r="U54" i="26" s="1"/>
  <c r="AG40" i="26"/>
  <c r="E46" i="26" s="1"/>
  <c r="T53" i="20"/>
  <c r="U53" i="20" s="1"/>
  <c r="T53" i="6"/>
  <c r="U53" i="6" s="1"/>
  <c r="T54" i="23"/>
  <c r="U54" i="23" s="1"/>
  <c r="T49" i="26"/>
  <c r="U49" i="26" s="1"/>
  <c r="AG40" i="23"/>
  <c r="E46" i="23" s="1"/>
  <c r="T51" i="6"/>
  <c r="U51" i="6" s="1"/>
  <c r="T54" i="18"/>
  <c r="U54" i="18" s="1"/>
  <c r="T54" i="6"/>
  <c r="U54" i="6" s="1"/>
  <c r="T53" i="26"/>
  <c r="U53" i="26" s="1"/>
  <c r="T49" i="6"/>
  <c r="U49" i="6" s="1"/>
  <c r="AG40" i="6"/>
  <c r="E46" i="6" s="1"/>
  <c r="T51" i="26"/>
  <c r="U51" i="26" s="1"/>
  <c r="T53" i="23"/>
  <c r="U53" i="23" s="1"/>
  <c r="T49" i="23"/>
  <c r="U49" i="23" s="1"/>
  <c r="T51" i="23"/>
  <c r="U51" i="23" s="1"/>
  <c r="T45" i="23"/>
  <c r="U45" i="23" s="1"/>
  <c r="H49" i="23"/>
  <c r="T50" i="23"/>
  <c r="U50" i="23" s="1"/>
  <c r="T53" i="24"/>
  <c r="U53" i="24" s="1"/>
  <c r="T51" i="24"/>
  <c r="U51" i="24" s="1"/>
  <c r="T54" i="24"/>
  <c r="U54" i="24" s="1"/>
  <c r="AG40" i="24"/>
  <c r="H46" i="24" s="1"/>
  <c r="T49" i="24"/>
  <c r="U49" i="24" s="1"/>
  <c r="T45" i="24"/>
  <c r="U45" i="24" s="1"/>
  <c r="T50" i="24"/>
  <c r="U50" i="24" s="1"/>
  <c r="AG39" i="17"/>
  <c r="H45" i="17" s="1"/>
  <c r="T48" i="17"/>
  <c r="U48" i="17" s="1"/>
  <c r="T49" i="17"/>
  <c r="U49" i="17" s="1"/>
  <c r="T44" i="17"/>
  <c r="U44" i="17" s="1"/>
  <c r="T50" i="17"/>
  <c r="U50" i="17" s="1"/>
  <c r="T52" i="17"/>
  <c r="U52" i="17" s="1"/>
  <c r="T53" i="17"/>
  <c r="U53" i="17" s="1"/>
  <c r="T46" i="18"/>
  <c r="U46" i="18" s="1"/>
  <c r="T50" i="18"/>
  <c r="U50" i="18" s="1"/>
  <c r="T52" i="18"/>
  <c r="U52" i="18" s="1"/>
  <c r="T55" i="18"/>
  <c r="U55" i="18" s="1"/>
  <c r="T51" i="18"/>
  <c r="U51" i="18" s="1"/>
  <c r="T49" i="19"/>
  <c r="U49" i="19" s="1"/>
  <c r="E49" i="19"/>
  <c r="AG40" i="19"/>
  <c r="T51" i="19"/>
  <c r="U51" i="19" s="1"/>
  <c r="T45" i="19"/>
  <c r="U45" i="19" s="1"/>
  <c r="T50" i="19"/>
  <c r="U50" i="19" s="1"/>
  <c r="T53" i="19"/>
  <c r="U53" i="19" s="1"/>
  <c r="T54" i="19"/>
  <c r="U54" i="19" s="1"/>
  <c r="H49" i="20"/>
  <c r="AG40" i="20"/>
  <c r="T49" i="20"/>
  <c r="U49" i="20" s="1"/>
  <c r="T54" i="20"/>
  <c r="U54" i="20" s="1"/>
  <c r="T50" i="20"/>
  <c r="U50" i="20" s="1"/>
  <c r="T51" i="20"/>
  <c r="U51" i="20" s="1"/>
  <c r="T45" i="20"/>
  <c r="U45" i="20" s="1"/>
  <c r="AG41" i="18"/>
  <c r="T46" i="19"/>
  <c r="U46" i="19" s="1"/>
  <c r="T46" i="20"/>
  <c r="U46" i="20" s="1"/>
  <c r="T50" i="26"/>
  <c r="U50" i="26" s="1"/>
  <c r="T45" i="26"/>
  <c r="U45" i="26" s="1"/>
  <c r="T46" i="26"/>
  <c r="U46" i="26" s="1"/>
  <c r="AJ41" i="26"/>
  <c r="AL41" i="26"/>
  <c r="AN41" i="26"/>
  <c r="AP41" i="26"/>
  <c r="AI41" i="26"/>
  <c r="AK41" i="26"/>
  <c r="AM41" i="26"/>
  <c r="AO41" i="26"/>
  <c r="AQ41" i="26"/>
  <c r="T50" i="25"/>
  <c r="U50" i="25" s="1"/>
  <c r="T45" i="25"/>
  <c r="U45" i="25" s="1"/>
  <c r="T51" i="25"/>
  <c r="U51" i="25" s="1"/>
  <c r="T53" i="25"/>
  <c r="U53" i="25" s="1"/>
  <c r="T54" i="25"/>
  <c r="U54" i="25" s="1"/>
  <c r="T46" i="25"/>
  <c r="U46" i="25" s="1"/>
  <c r="AJ41" i="25"/>
  <c r="AL41" i="25"/>
  <c r="AN41" i="25"/>
  <c r="AP41" i="25"/>
  <c r="AG40" i="25"/>
  <c r="E46" i="25" s="1"/>
  <c r="AI41" i="25"/>
  <c r="AK41" i="25"/>
  <c r="AM41" i="25"/>
  <c r="AO41" i="25"/>
  <c r="AQ41" i="25"/>
  <c r="T50" i="6"/>
  <c r="U50" i="6" s="1"/>
  <c r="T45" i="6"/>
  <c r="U45" i="6" s="1"/>
  <c r="AJ41" i="6"/>
  <c r="AL41" i="6"/>
  <c r="AN41" i="6"/>
  <c r="AP41" i="6"/>
  <c r="AI41" i="6"/>
  <c r="AK41" i="6"/>
  <c r="AM41" i="6"/>
  <c r="AO41" i="6"/>
  <c r="AQ41" i="6"/>
  <c r="AJ41" i="23"/>
  <c r="AL41" i="23"/>
  <c r="AN41" i="23"/>
  <c r="AP41" i="23"/>
  <c r="AI41" i="23"/>
  <c r="AK41" i="23"/>
  <c r="AM41" i="23"/>
  <c r="AO41" i="23"/>
  <c r="AQ41" i="23"/>
  <c r="AJ41" i="24"/>
  <c r="AL41" i="24"/>
  <c r="AN41" i="24"/>
  <c r="AP41" i="24"/>
  <c r="AI41" i="24"/>
  <c r="AK41" i="24"/>
  <c r="AM41" i="24"/>
  <c r="AO41" i="24"/>
  <c r="AQ41" i="24"/>
  <c r="AJ40" i="17"/>
  <c r="AL40" i="17"/>
  <c r="AN40" i="17"/>
  <c r="AP40" i="17"/>
  <c r="AI40" i="17"/>
  <c r="AK40" i="17"/>
  <c r="AM40" i="17"/>
  <c r="AO40" i="17"/>
  <c r="AQ40" i="17"/>
  <c r="AI41" i="19"/>
  <c r="AK41" i="19"/>
  <c r="AM41" i="19"/>
  <c r="AO41" i="19"/>
  <c r="AQ41" i="19"/>
  <c r="AJ41" i="19"/>
  <c r="AL41" i="19"/>
  <c r="AN41" i="19"/>
  <c r="AP41" i="19"/>
  <c r="AJ41" i="20"/>
  <c r="AL41" i="20"/>
  <c r="AN41" i="20"/>
  <c r="AP41" i="20"/>
  <c r="AI41" i="20"/>
  <c r="AK41" i="20"/>
  <c r="AM41" i="20"/>
  <c r="AO41" i="20"/>
  <c r="AQ41" i="20"/>
  <c r="H46" i="26"/>
  <c r="T48" i="26"/>
  <c r="U48" i="26" s="1"/>
  <c r="H49" i="26"/>
  <c r="T48" i="25"/>
  <c r="U48" i="25" s="1"/>
  <c r="H49" i="25"/>
  <c r="T46" i="6"/>
  <c r="U46" i="6" s="1"/>
  <c r="T48" i="6"/>
  <c r="U48" i="6" s="1"/>
  <c r="H49" i="6"/>
  <c r="T46" i="23"/>
  <c r="U46" i="23" s="1"/>
  <c r="T48" i="23"/>
  <c r="U48" i="23" s="1"/>
  <c r="T46" i="24"/>
  <c r="U46" i="24" s="1"/>
  <c r="T48" i="24"/>
  <c r="U48" i="24" s="1"/>
  <c r="H49" i="24"/>
  <c r="T45" i="17"/>
  <c r="U45" i="17" s="1"/>
  <c r="E45" i="17"/>
  <c r="C40" i="17"/>
  <c r="T47" i="17"/>
  <c r="U47" i="17" s="1"/>
  <c r="H48" i="17"/>
  <c r="AI42" i="18"/>
  <c r="AK42" i="18"/>
  <c r="AM42" i="18"/>
  <c r="AO42" i="18"/>
  <c r="AQ42" i="18"/>
  <c r="T47" i="18"/>
  <c r="U47" i="18" s="1"/>
  <c r="AJ42" i="18"/>
  <c r="AL42" i="18"/>
  <c r="AN42" i="18"/>
  <c r="AP42" i="18"/>
  <c r="C42" i="18"/>
  <c r="T49" i="18"/>
  <c r="U49" i="18" s="1"/>
  <c r="C41" i="19"/>
  <c r="T48" i="19"/>
  <c r="U48" i="19" s="1"/>
  <c r="T48" i="20"/>
  <c r="U48" i="20" s="1"/>
  <c r="E45" i="26" l="1"/>
  <c r="E45" i="6"/>
  <c r="H46" i="23"/>
  <c r="H46" i="6"/>
  <c r="B45" i="6"/>
  <c r="H45" i="6"/>
  <c r="E45" i="23"/>
  <c r="B45" i="23"/>
  <c r="E46" i="24"/>
  <c r="B45" i="24"/>
  <c r="E45" i="24"/>
  <c r="H45" i="24"/>
  <c r="E44" i="17"/>
  <c r="H44" i="17"/>
  <c r="B44" i="17"/>
  <c r="E46" i="19"/>
  <c r="H46" i="19"/>
  <c r="H45" i="19"/>
  <c r="B45" i="19"/>
  <c r="E45" i="19"/>
  <c r="H46" i="20"/>
  <c r="E46" i="20"/>
  <c r="B45" i="20"/>
  <c r="E45" i="20"/>
  <c r="H45" i="20"/>
  <c r="E47" i="18"/>
  <c r="H47" i="18"/>
  <c r="B45" i="26"/>
  <c r="H45" i="26"/>
  <c r="E45" i="25"/>
  <c r="B45" i="25"/>
  <c r="H45" i="25"/>
  <c r="H46" i="25"/>
  <c r="H45" i="23"/>
  <c r="E46" i="18"/>
  <c r="B46" i="18"/>
  <c r="H46" i="18"/>
  <c r="H48" i="21" l="1"/>
  <c r="E48" i="21"/>
  <c r="B48" i="21"/>
  <c r="H47" i="21"/>
  <c r="E47" i="21"/>
  <c r="B47" i="21"/>
  <c r="B46" i="21"/>
  <c r="AQ40" i="21"/>
  <c r="AP40" i="21"/>
  <c r="AO40" i="21"/>
  <c r="AN40" i="21"/>
  <c r="AM40" i="21"/>
  <c r="AL40" i="21"/>
  <c r="AJ40" i="21"/>
  <c r="AI40" i="21"/>
  <c r="AF40" i="21"/>
  <c r="E49" i="21" s="1"/>
  <c r="AE40" i="21"/>
  <c r="AD40" i="21"/>
  <c r="B49" i="21" s="1"/>
  <c r="AQ39" i="21"/>
  <c r="AP39" i="21"/>
  <c r="AO39" i="21"/>
  <c r="AN39" i="21"/>
  <c r="AM39" i="21"/>
  <c r="AL39" i="21"/>
  <c r="AK39" i="21"/>
  <c r="AJ39" i="21"/>
  <c r="AI39" i="21"/>
  <c r="AH39" i="21"/>
  <c r="AH41" i="21" s="1"/>
  <c r="AC39" i="21"/>
  <c r="AB39" i="21"/>
  <c r="AA39" i="21"/>
  <c r="AA41" i="21" s="1"/>
  <c r="Z39" i="21"/>
  <c r="Y39" i="21"/>
  <c r="X39" i="21"/>
  <c r="W39" i="21"/>
  <c r="V39" i="21"/>
  <c r="U39" i="21"/>
  <c r="T39" i="21"/>
  <c r="S39" i="21"/>
  <c r="R39" i="21"/>
  <c r="R41" i="21" s="1"/>
  <c r="Q39" i="21"/>
  <c r="Q41" i="21" s="1"/>
  <c r="P39" i="21"/>
  <c r="P41" i="21" s="1"/>
  <c r="O39" i="21"/>
  <c r="O41" i="21" s="1"/>
  <c r="N39" i="21"/>
  <c r="M39" i="21"/>
  <c r="L39" i="21"/>
  <c r="K39" i="21"/>
  <c r="J39" i="21"/>
  <c r="I39" i="21"/>
  <c r="H39" i="21"/>
  <c r="T52" i="21" s="1"/>
  <c r="U52" i="21" s="1"/>
  <c r="G39" i="21"/>
  <c r="T47" i="21" s="1"/>
  <c r="U47" i="21" s="1"/>
  <c r="F39" i="21"/>
  <c r="E39" i="21"/>
  <c r="D39" i="21"/>
  <c r="C39" i="21"/>
  <c r="B39" i="21"/>
  <c r="AG40" i="21" l="1"/>
  <c r="E46" i="21" s="1"/>
  <c r="T49" i="21"/>
  <c r="U49" i="21" s="1"/>
  <c r="T54" i="21"/>
  <c r="U54" i="21" s="1"/>
  <c r="T51" i="21"/>
  <c r="U51" i="21" s="1"/>
  <c r="T53" i="21"/>
  <c r="U53" i="21" s="1"/>
  <c r="T50" i="21"/>
  <c r="U50" i="21" s="1"/>
  <c r="AJ41" i="21"/>
  <c r="AL41" i="21"/>
  <c r="AN41" i="21"/>
  <c r="AP41" i="21"/>
  <c r="AI41" i="21"/>
  <c r="AK41" i="21"/>
  <c r="AM41" i="21"/>
  <c r="AO41" i="21"/>
  <c r="AQ41" i="21"/>
  <c r="T46" i="21"/>
  <c r="U46" i="21" s="1"/>
  <c r="T45" i="21"/>
  <c r="U45" i="21" s="1"/>
  <c r="H46" i="21"/>
  <c r="T48" i="21"/>
  <c r="U48" i="21" s="1"/>
  <c r="H49" i="21"/>
  <c r="E45" i="21" l="1"/>
  <c r="B45" i="21"/>
  <c r="H45" i="21"/>
  <c r="H48" i="22" l="1"/>
  <c r="E48" i="22"/>
  <c r="B48" i="22"/>
  <c r="H47" i="22"/>
  <c r="E47" i="22"/>
  <c r="B47" i="22"/>
  <c r="B46" i="22"/>
  <c r="AQ40" i="22"/>
  <c r="AP40" i="22"/>
  <c r="AO40" i="22"/>
  <c r="AN40" i="22"/>
  <c r="AM40" i="22"/>
  <c r="AL40" i="22"/>
  <c r="AK40" i="22"/>
  <c r="AJ40" i="22"/>
  <c r="AI40" i="22"/>
  <c r="AF40" i="22"/>
  <c r="E49" i="22" s="1"/>
  <c r="AE40" i="22"/>
  <c r="AD40" i="22"/>
  <c r="B49" i="22" s="1"/>
  <c r="AQ39" i="22"/>
  <c r="AP39" i="22"/>
  <c r="AO39" i="22"/>
  <c r="AN39" i="22"/>
  <c r="AM39" i="22"/>
  <c r="AL39" i="22"/>
  <c r="AK39" i="22"/>
  <c r="AJ39" i="22"/>
  <c r="AI39" i="22"/>
  <c r="AH39" i="22"/>
  <c r="AC39" i="22"/>
  <c r="AB39" i="22"/>
  <c r="AA39" i="22"/>
  <c r="AA41" i="22" s="1"/>
  <c r="Z39" i="22"/>
  <c r="Y39" i="22"/>
  <c r="X39" i="22"/>
  <c r="W39" i="22"/>
  <c r="V39" i="22"/>
  <c r="U39" i="22"/>
  <c r="T39" i="22"/>
  <c r="S39" i="22"/>
  <c r="R39" i="22"/>
  <c r="R41" i="22" s="1"/>
  <c r="Q39" i="22"/>
  <c r="Q41" i="22" s="1"/>
  <c r="P39" i="22"/>
  <c r="P41" i="22" s="1"/>
  <c r="O39" i="22"/>
  <c r="O41" i="22" s="1"/>
  <c r="N39" i="22"/>
  <c r="M39" i="22"/>
  <c r="L39" i="22"/>
  <c r="K39" i="22"/>
  <c r="J39" i="22"/>
  <c r="I39" i="22"/>
  <c r="H39" i="22"/>
  <c r="T52" i="22" s="1"/>
  <c r="U52" i="22" s="1"/>
  <c r="G39" i="22"/>
  <c r="T47" i="22" s="1"/>
  <c r="U47" i="22" s="1"/>
  <c r="F39" i="22"/>
  <c r="E39" i="22"/>
  <c r="D39" i="22"/>
  <c r="C39" i="22"/>
  <c r="B39" i="22"/>
  <c r="T49" i="22" l="1"/>
  <c r="U49" i="22" s="1"/>
  <c r="T53" i="22"/>
  <c r="U53" i="22" s="1"/>
  <c r="T54" i="22"/>
  <c r="U54" i="22" s="1"/>
  <c r="AH41" i="22"/>
  <c r="T51" i="22"/>
  <c r="U51" i="22" s="1"/>
  <c r="T50" i="22"/>
  <c r="U50" i="22" s="1"/>
  <c r="T45" i="22"/>
  <c r="U45" i="22" s="1"/>
  <c r="AG40" i="22"/>
  <c r="H46" i="22" s="1"/>
  <c r="AJ41" i="22"/>
  <c r="AL41" i="22"/>
  <c r="AN41" i="22"/>
  <c r="AP41" i="22"/>
  <c r="AI41" i="22"/>
  <c r="AK41" i="22"/>
  <c r="AM41" i="22"/>
  <c r="AO41" i="22"/>
  <c r="AQ41" i="22"/>
  <c r="T46" i="22"/>
  <c r="U46" i="22" s="1"/>
  <c r="T48" i="22"/>
  <c r="U48" i="22" s="1"/>
  <c r="H49" i="22"/>
  <c r="H48" i="16"/>
  <c r="E48" i="16"/>
  <c r="B48" i="16"/>
  <c r="E46" i="22" l="1"/>
  <c r="B45" i="22"/>
  <c r="H45" i="22"/>
  <c r="E45" i="22"/>
  <c r="B46" i="16"/>
  <c r="B47" i="16" l="1"/>
  <c r="AQ40" i="16"/>
  <c r="AP40" i="16"/>
  <c r="AO40" i="16"/>
  <c r="AN40" i="16"/>
  <c r="AM40" i="16"/>
  <c r="AL40" i="16"/>
  <c r="AK40" i="16"/>
  <c r="AJ40" i="16"/>
  <c r="AI40" i="16"/>
  <c r="AQ39" i="16"/>
  <c r="AP39" i="16"/>
  <c r="AO39" i="16"/>
  <c r="AN39" i="16"/>
  <c r="AM39" i="16"/>
  <c r="AL39" i="16"/>
  <c r="AK39" i="16"/>
  <c r="AJ39" i="16"/>
  <c r="AI39" i="16"/>
  <c r="AH39" i="16"/>
  <c r="H47" i="16"/>
  <c r="E47" i="16"/>
  <c r="AH41" i="16" l="1"/>
  <c r="C54" i="27"/>
  <c r="AL41" i="16"/>
  <c r="AQ41" i="16"/>
  <c r="AP41" i="16"/>
  <c r="AN41" i="16"/>
  <c r="AM41" i="16"/>
  <c r="AK41" i="16"/>
  <c r="AJ41" i="16"/>
  <c r="AI41" i="16"/>
  <c r="AO41" i="16" l="1"/>
  <c r="B45" i="16" s="1"/>
  <c r="AB26" i="28"/>
  <c r="AC26" i="28"/>
  <c r="AD26" i="28"/>
  <c r="AA26" i="28"/>
  <c r="K40" i="20" l="1"/>
  <c r="K41" i="20" s="1"/>
  <c r="L20" i="27" s="1"/>
  <c r="K40" i="21"/>
  <c r="K41" i="21" s="1"/>
  <c r="L19" i="27" s="1"/>
  <c r="K40" i="22"/>
  <c r="K41" i="22" s="1"/>
  <c r="L18" i="27" s="1"/>
  <c r="E40" i="20"/>
  <c r="E41" i="20" s="1"/>
  <c r="F20" i="27" s="1"/>
  <c r="E40" i="21"/>
  <c r="E41" i="21" s="1"/>
  <c r="F19" i="27" s="1"/>
  <c r="E40" i="22"/>
  <c r="E41" i="22" s="1"/>
  <c r="F18" i="27" s="1"/>
  <c r="K40" i="16"/>
  <c r="K40" i="23"/>
  <c r="K41" i="23" s="1"/>
  <c r="L25" i="27" s="1"/>
  <c r="K40" i="24"/>
  <c r="K41" i="24" s="1"/>
  <c r="L24" i="27" s="1"/>
  <c r="E40" i="16"/>
  <c r="E40" i="23"/>
  <c r="E41" i="23" s="1"/>
  <c r="F25" i="27" s="1"/>
  <c r="E40" i="24"/>
  <c r="E41" i="24" s="1"/>
  <c r="F24" i="27" s="1"/>
  <c r="K40" i="26"/>
  <c r="K41" i="26" s="1"/>
  <c r="K40" i="25"/>
  <c r="K41" i="25" s="1"/>
  <c r="K40" i="6"/>
  <c r="K41" i="6" s="1"/>
  <c r="E40" i="26"/>
  <c r="E41" i="26" s="1"/>
  <c r="E40" i="25"/>
  <c r="E41" i="25" s="1"/>
  <c r="E40" i="6"/>
  <c r="E41" i="6" s="1"/>
  <c r="K39" i="17"/>
  <c r="K40" i="17" s="1"/>
  <c r="L23" i="27" s="1"/>
  <c r="K41" i="18"/>
  <c r="K42" i="18" s="1"/>
  <c r="L22" i="27" s="1"/>
  <c r="K40" i="19"/>
  <c r="K41" i="19" s="1"/>
  <c r="L21" i="27" s="1"/>
  <c r="E39" i="17"/>
  <c r="E40" i="17" s="1"/>
  <c r="F23" i="27" s="1"/>
  <c r="E41" i="18"/>
  <c r="E42" i="18" s="1"/>
  <c r="F22" i="27" s="1"/>
  <c r="E40" i="19"/>
  <c r="E41" i="19" s="1"/>
  <c r="F21" i="27" s="1"/>
  <c r="AG24" i="28"/>
  <c r="AH24" i="28"/>
  <c r="AI24" i="28"/>
  <c r="AF24" i="28"/>
  <c r="AI31" i="28"/>
  <c r="AH31" i="28"/>
  <c r="AG31" i="28"/>
  <c r="AF31" i="28"/>
  <c r="AD31" i="28"/>
  <c r="AC31" i="28"/>
  <c r="AB31" i="28"/>
  <c r="AA31" i="28"/>
  <c r="AI30" i="28"/>
  <c r="AH30" i="28"/>
  <c r="AG30" i="28"/>
  <c r="AF30" i="28"/>
  <c r="AD30" i="28"/>
  <c r="AC30" i="28"/>
  <c r="AB30" i="28"/>
  <c r="AA30" i="28"/>
  <c r="AI29" i="28"/>
  <c r="AH29" i="28"/>
  <c r="AG29" i="28"/>
  <c r="AF29" i="28"/>
  <c r="AD29" i="28"/>
  <c r="AC29" i="28"/>
  <c r="AB29" i="28"/>
  <c r="AA29" i="28"/>
  <c r="AI28" i="28"/>
  <c r="AH28" i="28"/>
  <c r="AG28" i="28"/>
  <c r="AF28" i="28"/>
  <c r="AD28" i="28"/>
  <c r="AC28" i="28"/>
  <c r="AA28" i="28"/>
  <c r="AI27" i="28"/>
  <c r="AH27" i="28"/>
  <c r="AG27" i="28"/>
  <c r="AF27" i="28"/>
  <c r="AD27" i="28"/>
  <c r="AC27" i="28"/>
  <c r="AB27" i="28"/>
  <c r="AA27" i="28"/>
  <c r="AI26" i="28"/>
  <c r="AH26" i="28"/>
  <c r="AG26" i="28"/>
  <c r="AF26" i="28"/>
  <c r="AI25" i="28"/>
  <c r="AH25" i="28"/>
  <c r="AG25" i="28"/>
  <c r="AF25" i="28"/>
  <c r="AD25" i="28"/>
  <c r="AC25" i="28"/>
  <c r="AB25" i="28"/>
  <c r="AA25" i="28"/>
  <c r="AD24" i="28"/>
  <c r="AC24" i="28"/>
  <c r="AB24" i="28"/>
  <c r="AA24" i="28"/>
  <c r="AI23" i="28"/>
  <c r="AH23" i="28"/>
  <c r="AG23" i="28"/>
  <c r="AF23" i="28"/>
  <c r="AD23" i="28"/>
  <c r="AC23" i="28"/>
  <c r="AB23" i="28"/>
  <c r="AA23" i="28"/>
  <c r="AD22" i="28"/>
  <c r="AC22" i="28"/>
  <c r="AB22" i="28"/>
  <c r="AA22" i="28"/>
  <c r="R20" i="28"/>
  <c r="AI19" i="28"/>
  <c r="AG19" i="28"/>
  <c r="T18" i="28"/>
  <c r="AB18" i="28" s="1"/>
  <c r="P18" i="28"/>
  <c r="A12" i="28"/>
  <c r="A20" i="28" s="1"/>
  <c r="AE7" i="28"/>
  <c r="AD7" i="28"/>
  <c r="AD9" i="28" s="1"/>
  <c r="P25" i="27"/>
  <c r="Q25" i="27"/>
  <c r="R25" i="27"/>
  <c r="S25" i="27"/>
  <c r="AB25" i="27"/>
  <c r="P24" i="27"/>
  <c r="Q24" i="27"/>
  <c r="R24" i="27"/>
  <c r="S24" i="27"/>
  <c r="AB24" i="27"/>
  <c r="AE10" i="27"/>
  <c r="AF10" i="27"/>
  <c r="AG10" i="27"/>
  <c r="AH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D23" i="27"/>
  <c r="K23" i="27"/>
  <c r="P23" i="27"/>
  <c r="Q23" i="27"/>
  <c r="R23" i="27"/>
  <c r="S23" i="27"/>
  <c r="T23" i="27"/>
  <c r="U23" i="27"/>
  <c r="AB23" i="27"/>
  <c r="D22" i="27"/>
  <c r="K22" i="27"/>
  <c r="P22" i="27"/>
  <c r="Q22" i="27"/>
  <c r="R22" i="27"/>
  <c r="S22" i="27"/>
  <c r="T22" i="27"/>
  <c r="U22" i="27"/>
  <c r="AB22" i="27"/>
  <c r="AE9" i="27"/>
  <c r="AF9" i="27"/>
  <c r="AG9" i="27"/>
  <c r="AH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8" i="27"/>
  <c r="AF8" i="27"/>
  <c r="AG8" i="27"/>
  <c r="AH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D21" i="27"/>
  <c r="K21" i="27"/>
  <c r="P21" i="27"/>
  <c r="Q21" i="27"/>
  <c r="R21" i="27"/>
  <c r="S21" i="27"/>
  <c r="T21" i="27"/>
  <c r="U21" i="27"/>
  <c r="AB21" i="27"/>
  <c r="AE7" i="27"/>
  <c r="AF7" i="27"/>
  <c r="AG7" i="27"/>
  <c r="AH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P20" i="27"/>
  <c r="Q20" i="27"/>
  <c r="R20" i="27"/>
  <c r="S20" i="27"/>
  <c r="AB20" i="27"/>
  <c r="AE6" i="27"/>
  <c r="AF6" i="27"/>
  <c r="AG6" i="27"/>
  <c r="AH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P19" i="27"/>
  <c r="Q19" i="27"/>
  <c r="R19" i="27"/>
  <c r="S19" i="27"/>
  <c r="AB19" i="27"/>
  <c r="AE5" i="27"/>
  <c r="AF5" i="27"/>
  <c r="AG5" i="27"/>
  <c r="AH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11" i="27"/>
  <c r="AF11" i="27"/>
  <c r="AG11" i="27"/>
  <c r="AH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B18" i="27"/>
  <c r="S18" i="27"/>
  <c r="R18" i="27"/>
  <c r="Q18" i="27"/>
  <c r="P18" i="27"/>
  <c r="AE30" i="27"/>
  <c r="AF30" i="27"/>
  <c r="AG30" i="27"/>
  <c r="AH30" i="27"/>
  <c r="AE4" i="27"/>
  <c r="AF4" i="27"/>
  <c r="AG4" i="27"/>
  <c r="AH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W40" i="20" l="1"/>
  <c r="W41" i="20" s="1"/>
  <c r="W40" i="21"/>
  <c r="W41" i="21" s="1"/>
  <c r="W40" i="22"/>
  <c r="W41" i="22" s="1"/>
  <c r="X40" i="20"/>
  <c r="X41" i="20" s="1"/>
  <c r="X40" i="22"/>
  <c r="X41" i="22" s="1"/>
  <c r="X40" i="21"/>
  <c r="X41" i="21" s="1"/>
  <c r="W40" i="16"/>
  <c r="W40" i="23"/>
  <c r="W41" i="23" s="1"/>
  <c r="X25" i="27" s="1"/>
  <c r="W40" i="24"/>
  <c r="W41" i="24" s="1"/>
  <c r="X40" i="16"/>
  <c r="X40" i="23"/>
  <c r="X41" i="23" s="1"/>
  <c r="Y25" i="27" s="1"/>
  <c r="X40" i="24"/>
  <c r="X41" i="24" s="1"/>
  <c r="N40" i="20"/>
  <c r="N41" i="20" s="1"/>
  <c r="O20" i="27" s="1"/>
  <c r="F40" i="20"/>
  <c r="F41" i="20" s="1"/>
  <c r="M40" i="21"/>
  <c r="M41" i="21" s="1"/>
  <c r="N40" i="22"/>
  <c r="N41" i="22" s="1"/>
  <c r="O18" i="27" s="1"/>
  <c r="F40" i="22"/>
  <c r="F41" i="22" s="1"/>
  <c r="M40" i="20"/>
  <c r="M41" i="20" s="1"/>
  <c r="F40" i="21"/>
  <c r="F41" i="21" s="1"/>
  <c r="M40" i="22"/>
  <c r="M41" i="22" s="1"/>
  <c r="N40" i="21"/>
  <c r="N41" i="21" s="1"/>
  <c r="O19" i="27" s="1"/>
  <c r="N40" i="16"/>
  <c r="F40" i="16"/>
  <c r="M40" i="23"/>
  <c r="M41" i="23" s="1"/>
  <c r="N25" i="27" s="1"/>
  <c r="N40" i="24"/>
  <c r="N41" i="24" s="1"/>
  <c r="F40" i="24"/>
  <c r="F41" i="24" s="1"/>
  <c r="N40" i="23"/>
  <c r="N41" i="23" s="1"/>
  <c r="O25" i="27" s="1"/>
  <c r="F40" i="23"/>
  <c r="F41" i="23" s="1"/>
  <c r="G25" i="27" s="1"/>
  <c r="M40" i="16"/>
  <c r="M40" i="24"/>
  <c r="M41" i="24" s="1"/>
  <c r="M40" i="26"/>
  <c r="M41" i="26" s="1"/>
  <c r="N40" i="26"/>
  <c r="N41" i="26" s="1"/>
  <c r="F40" i="26"/>
  <c r="F41" i="26" s="1"/>
  <c r="G40" i="21"/>
  <c r="G41" i="21" s="1"/>
  <c r="H19" i="27" s="1"/>
  <c r="G40" i="22"/>
  <c r="G41" i="22" s="1"/>
  <c r="H18" i="27" s="1"/>
  <c r="G40" i="20"/>
  <c r="G41" i="20" s="1"/>
  <c r="H20" i="27" s="1"/>
  <c r="G40" i="16"/>
  <c r="G40" i="24"/>
  <c r="G41" i="24" s="1"/>
  <c r="H24" i="27" s="1"/>
  <c r="G40" i="23"/>
  <c r="G41" i="23" s="1"/>
  <c r="H25" i="27" s="1"/>
  <c r="L40" i="21"/>
  <c r="L41" i="21" s="1"/>
  <c r="M19" i="27" s="1"/>
  <c r="L40" i="20"/>
  <c r="L41" i="20" s="1"/>
  <c r="M20" i="27" s="1"/>
  <c r="L40" i="22"/>
  <c r="L41" i="22" s="1"/>
  <c r="M18" i="27" s="1"/>
  <c r="L40" i="23"/>
  <c r="L41" i="23" s="1"/>
  <c r="M25" i="27" s="1"/>
  <c r="L40" i="16"/>
  <c r="L40" i="24"/>
  <c r="L41" i="24" s="1"/>
  <c r="M24" i="27" s="1"/>
  <c r="V40" i="20"/>
  <c r="V41" i="20" s="1"/>
  <c r="W20" i="27" s="1"/>
  <c r="AB40" i="21"/>
  <c r="AB41" i="21" s="1"/>
  <c r="AC19" i="27" s="1"/>
  <c r="U40" i="21"/>
  <c r="U41" i="21" s="1"/>
  <c r="V19" i="27" s="1"/>
  <c r="V40" i="22"/>
  <c r="V41" i="22" s="1"/>
  <c r="W18" i="27" s="1"/>
  <c r="AB40" i="20"/>
  <c r="AB41" i="20" s="1"/>
  <c r="AC20" i="27" s="1"/>
  <c r="U40" i="20"/>
  <c r="U41" i="20" s="1"/>
  <c r="V40" i="21"/>
  <c r="V41" i="21" s="1"/>
  <c r="W19" i="27" s="1"/>
  <c r="AB40" i="22"/>
  <c r="AB41" i="22" s="1"/>
  <c r="AC18" i="27" s="1"/>
  <c r="U40" i="22"/>
  <c r="U41" i="22" s="1"/>
  <c r="V18" i="27" s="1"/>
  <c r="V40" i="16"/>
  <c r="AB40" i="23"/>
  <c r="AB41" i="23" s="1"/>
  <c r="AC25" i="27" s="1"/>
  <c r="U40" i="23"/>
  <c r="U41" i="23" s="1"/>
  <c r="V25" i="27" s="1"/>
  <c r="V40" i="24"/>
  <c r="V41" i="24" s="1"/>
  <c r="W24" i="27" s="1"/>
  <c r="AB40" i="16"/>
  <c r="U40" i="16"/>
  <c r="V40" i="23"/>
  <c r="V41" i="23" s="1"/>
  <c r="W25" i="27" s="1"/>
  <c r="AB40" i="24"/>
  <c r="AB41" i="24" s="1"/>
  <c r="AC24" i="27" s="1"/>
  <c r="U40" i="24"/>
  <c r="U41" i="24" s="1"/>
  <c r="V24" i="27" s="1"/>
  <c r="T40" i="20"/>
  <c r="T41" i="20" s="1"/>
  <c r="J40" i="20"/>
  <c r="J41" i="20" s="1"/>
  <c r="K20" i="27" s="1"/>
  <c r="T40" i="21"/>
  <c r="T41" i="21" s="1"/>
  <c r="J40" i="21"/>
  <c r="J41" i="21" s="1"/>
  <c r="K19" i="27" s="1"/>
  <c r="T40" i="22"/>
  <c r="T41" i="22" s="1"/>
  <c r="J40" i="22"/>
  <c r="J41" i="22" s="1"/>
  <c r="K18" i="27" s="1"/>
  <c r="S40" i="20"/>
  <c r="S41" i="20" s="1"/>
  <c r="T20" i="27" s="1"/>
  <c r="C40" i="20"/>
  <c r="C41" i="20" s="1"/>
  <c r="D20" i="27" s="1"/>
  <c r="S40" i="21"/>
  <c r="S41" i="21" s="1"/>
  <c r="C40" i="21"/>
  <c r="C41" i="21" s="1"/>
  <c r="D19" i="27" s="1"/>
  <c r="S40" i="22"/>
  <c r="S41" i="22" s="1"/>
  <c r="C40" i="22"/>
  <c r="C41" i="22" s="1"/>
  <c r="D18" i="27" s="1"/>
  <c r="S40" i="26"/>
  <c r="S41" i="26" s="1"/>
  <c r="C40" i="26"/>
  <c r="C41" i="26" s="1"/>
  <c r="S40" i="25"/>
  <c r="S41" i="25" s="1"/>
  <c r="C40" i="25"/>
  <c r="C41" i="25" s="1"/>
  <c r="S40" i="6"/>
  <c r="S41" i="6" s="1"/>
  <c r="C40" i="6"/>
  <c r="C41" i="6" s="1"/>
  <c r="T40" i="26"/>
  <c r="T41" i="26" s="1"/>
  <c r="J40" i="26"/>
  <c r="J41" i="26" s="1"/>
  <c r="T40" i="25"/>
  <c r="T41" i="25" s="1"/>
  <c r="J40" i="25"/>
  <c r="J41" i="25" s="1"/>
  <c r="T40" i="6"/>
  <c r="T41" i="6" s="1"/>
  <c r="J40" i="6"/>
  <c r="J41" i="6" s="1"/>
  <c r="H41" i="18"/>
  <c r="H42" i="18" s="1"/>
  <c r="I22" i="27" s="1"/>
  <c r="H39" i="17"/>
  <c r="H40" i="17" s="1"/>
  <c r="I23" i="27" s="1"/>
  <c r="H40" i="19"/>
  <c r="H41" i="19" s="1"/>
  <c r="I21" i="27" s="1"/>
  <c r="H40" i="25"/>
  <c r="H41" i="25" s="1"/>
  <c r="H40" i="26"/>
  <c r="H41" i="26" s="1"/>
  <c r="H40" i="6"/>
  <c r="H41" i="6" s="1"/>
  <c r="I39" i="17"/>
  <c r="I40" i="17" s="1"/>
  <c r="J23" i="27" s="1"/>
  <c r="AC41" i="18"/>
  <c r="AC42" i="18" s="1"/>
  <c r="AD22" i="27" s="1"/>
  <c r="B41" i="18"/>
  <c r="B42" i="18" s="1"/>
  <c r="I40" i="19"/>
  <c r="I41" i="19" s="1"/>
  <c r="J21" i="27" s="1"/>
  <c r="AC39" i="17"/>
  <c r="AC40" i="17" s="1"/>
  <c r="AD23" i="27" s="1"/>
  <c r="B39" i="17"/>
  <c r="B40" i="17" s="1"/>
  <c r="I41" i="18"/>
  <c r="I42" i="18" s="1"/>
  <c r="J22" i="27" s="1"/>
  <c r="AC40" i="19"/>
  <c r="AC41" i="19" s="1"/>
  <c r="AD21" i="27" s="1"/>
  <c r="B40" i="19"/>
  <c r="B41" i="19" s="1"/>
  <c r="I40" i="26"/>
  <c r="I41" i="26" s="1"/>
  <c r="AC40" i="25"/>
  <c r="AC41" i="25" s="1"/>
  <c r="B40" i="25"/>
  <c r="B41" i="25" s="1"/>
  <c r="I40" i="6"/>
  <c r="I41" i="6" s="1"/>
  <c r="AC40" i="26"/>
  <c r="AC41" i="26" s="1"/>
  <c r="B40" i="26"/>
  <c r="B41" i="26" s="1"/>
  <c r="I40" i="25"/>
  <c r="I41" i="25" s="1"/>
  <c r="AC40" i="6"/>
  <c r="AC41" i="6" s="1"/>
  <c r="B40" i="6"/>
  <c r="B41" i="6" s="1"/>
  <c r="Y39" i="17"/>
  <c r="Y40" i="17" s="1"/>
  <c r="Z23" i="27" s="1"/>
  <c r="Z41" i="18"/>
  <c r="Z42" i="18" s="1"/>
  <c r="AA22" i="27" s="1"/>
  <c r="D41" i="18"/>
  <c r="D42" i="18" s="1"/>
  <c r="E22" i="27" s="1"/>
  <c r="Y40" i="19"/>
  <c r="Y41" i="19" s="1"/>
  <c r="Z21" i="27" s="1"/>
  <c r="D39" i="17"/>
  <c r="D40" i="17" s="1"/>
  <c r="E23" i="27" s="1"/>
  <c r="Z39" i="17"/>
  <c r="Z40" i="17" s="1"/>
  <c r="AA23" i="27" s="1"/>
  <c r="Y41" i="18"/>
  <c r="Y42" i="18" s="1"/>
  <c r="Z22" i="27" s="1"/>
  <c r="Z40" i="19"/>
  <c r="Z41" i="19" s="1"/>
  <c r="AA21" i="27" s="1"/>
  <c r="D40" i="19"/>
  <c r="D41" i="19" s="1"/>
  <c r="E21" i="27" s="1"/>
  <c r="Y40" i="26"/>
  <c r="Y41" i="26" s="1"/>
  <c r="Z40" i="25"/>
  <c r="Z41" i="25" s="1"/>
  <c r="D40" i="25"/>
  <c r="D41" i="25" s="1"/>
  <c r="Z40" i="6"/>
  <c r="Z41" i="6" s="1"/>
  <c r="Z40" i="26"/>
  <c r="Z41" i="26" s="1"/>
  <c r="D40" i="26"/>
  <c r="D41" i="26" s="1"/>
  <c r="Y40" i="25"/>
  <c r="Y41" i="25" s="1"/>
  <c r="D40" i="6"/>
  <c r="D41" i="6" s="1"/>
  <c r="Y40" i="6"/>
  <c r="Y41" i="6" s="1"/>
  <c r="W39" i="17"/>
  <c r="W40" i="17" s="1"/>
  <c r="W41" i="18"/>
  <c r="W42" i="18" s="1"/>
  <c r="W40" i="19"/>
  <c r="W41" i="19" s="1"/>
  <c r="X39" i="17"/>
  <c r="X40" i="17" s="1"/>
  <c r="X41" i="18"/>
  <c r="X42" i="18" s="1"/>
  <c r="X40" i="19"/>
  <c r="X41" i="19" s="1"/>
  <c r="W40" i="26"/>
  <c r="W41" i="26" s="1"/>
  <c r="W40" i="25"/>
  <c r="W41" i="25" s="1"/>
  <c r="W40" i="6"/>
  <c r="W41" i="6" s="1"/>
  <c r="X40" i="25"/>
  <c r="X41" i="25" s="1"/>
  <c r="X40" i="26"/>
  <c r="X41" i="26" s="1"/>
  <c r="X40" i="6"/>
  <c r="X41" i="6" s="1"/>
  <c r="M39" i="17"/>
  <c r="M40" i="17" s="1"/>
  <c r="N41" i="18"/>
  <c r="N42" i="18" s="1"/>
  <c r="O22" i="27" s="1"/>
  <c r="F41" i="18"/>
  <c r="F42" i="18" s="1"/>
  <c r="M40" i="19"/>
  <c r="M41" i="19" s="1"/>
  <c r="F39" i="17"/>
  <c r="F40" i="17" s="1"/>
  <c r="N40" i="19"/>
  <c r="N41" i="19" s="1"/>
  <c r="O21" i="27" s="1"/>
  <c r="N39" i="17"/>
  <c r="N40" i="17" s="1"/>
  <c r="O23" i="27" s="1"/>
  <c r="M41" i="18"/>
  <c r="M42" i="18" s="1"/>
  <c r="F40" i="19"/>
  <c r="F41" i="19" s="1"/>
  <c r="N40" i="25"/>
  <c r="N41" i="25" s="1"/>
  <c r="F40" i="25"/>
  <c r="F41" i="25" s="1"/>
  <c r="M40" i="6"/>
  <c r="M41" i="6" s="1"/>
  <c r="M40" i="25"/>
  <c r="M41" i="25" s="1"/>
  <c r="F40" i="6"/>
  <c r="F41" i="6" s="1"/>
  <c r="N40" i="6"/>
  <c r="N41" i="6" s="1"/>
  <c r="G39" i="17"/>
  <c r="G40" i="17" s="1"/>
  <c r="H23" i="27" s="1"/>
  <c r="G40" i="19"/>
  <c r="G41" i="19" s="1"/>
  <c r="H21" i="27" s="1"/>
  <c r="G41" i="18"/>
  <c r="G42" i="18" s="1"/>
  <c r="H22" i="27" s="1"/>
  <c r="G40" i="26"/>
  <c r="G41" i="26" s="1"/>
  <c r="G40" i="6"/>
  <c r="G41" i="6" s="1"/>
  <c r="G40" i="25"/>
  <c r="G41" i="25" s="1"/>
  <c r="L39" i="17"/>
  <c r="L40" i="17" s="1"/>
  <c r="M23" i="27" s="1"/>
  <c r="L40" i="19"/>
  <c r="L41" i="19" s="1"/>
  <c r="M21" i="27" s="1"/>
  <c r="L41" i="18"/>
  <c r="L42" i="18" s="1"/>
  <c r="M22" i="27" s="1"/>
  <c r="L40" i="26"/>
  <c r="L41" i="26" s="1"/>
  <c r="L40" i="6"/>
  <c r="L41" i="6" s="1"/>
  <c r="L40" i="25"/>
  <c r="L41" i="25" s="1"/>
  <c r="AB39" i="17"/>
  <c r="AB40" i="17" s="1"/>
  <c r="AC23" i="27" s="1"/>
  <c r="U39" i="17"/>
  <c r="U40" i="17" s="1"/>
  <c r="V41" i="18"/>
  <c r="V42" i="18" s="1"/>
  <c r="AB40" i="19"/>
  <c r="AB41" i="19" s="1"/>
  <c r="AC21" i="27" s="1"/>
  <c r="U40" i="19"/>
  <c r="U41" i="19" s="1"/>
  <c r="V39" i="17"/>
  <c r="V40" i="17" s="1"/>
  <c r="AB41" i="18"/>
  <c r="AB42" i="18" s="1"/>
  <c r="AC22" i="27" s="1"/>
  <c r="U41" i="18"/>
  <c r="U42" i="18" s="1"/>
  <c r="V40" i="19"/>
  <c r="V41" i="19" s="1"/>
  <c r="AB40" i="26"/>
  <c r="AB41" i="26" s="1"/>
  <c r="U40" i="26"/>
  <c r="U41" i="26" s="1"/>
  <c r="V40" i="25"/>
  <c r="V41" i="25" s="1"/>
  <c r="AB40" i="6"/>
  <c r="AB41" i="6" s="1"/>
  <c r="U40" i="6"/>
  <c r="U41" i="6" s="1"/>
  <c r="V40" i="26"/>
  <c r="V41" i="26" s="1"/>
  <c r="AB40" i="25"/>
  <c r="AB41" i="25" s="1"/>
  <c r="U40" i="25"/>
  <c r="U41" i="25" s="1"/>
  <c r="V40" i="6"/>
  <c r="V41" i="6" s="1"/>
  <c r="S40" i="16"/>
  <c r="C40" i="16"/>
  <c r="S40" i="23"/>
  <c r="S41" i="23" s="1"/>
  <c r="C40" i="23"/>
  <c r="C41" i="23" s="1"/>
  <c r="D25" i="27" s="1"/>
  <c r="S40" i="24"/>
  <c r="S41" i="24" s="1"/>
  <c r="C40" i="24"/>
  <c r="C41" i="24" s="1"/>
  <c r="D24" i="27" s="1"/>
  <c r="T40" i="16"/>
  <c r="J40" i="16"/>
  <c r="T40" i="23"/>
  <c r="T41" i="23" s="1"/>
  <c r="J40" i="23"/>
  <c r="J41" i="23" s="1"/>
  <c r="K25" i="27" s="1"/>
  <c r="T40" i="24"/>
  <c r="T41" i="24" s="1"/>
  <c r="J40" i="24"/>
  <c r="J41" i="24" s="1"/>
  <c r="K24" i="27" s="1"/>
  <c r="H40" i="20"/>
  <c r="H41" i="20" s="1"/>
  <c r="I20" i="27" s="1"/>
  <c r="H40" i="22"/>
  <c r="H41" i="22" s="1"/>
  <c r="I18" i="27" s="1"/>
  <c r="H40" i="21"/>
  <c r="H41" i="21" s="1"/>
  <c r="I19" i="27" s="1"/>
  <c r="H40" i="16"/>
  <c r="H40" i="24"/>
  <c r="H41" i="24" s="1"/>
  <c r="I24" i="27" s="1"/>
  <c r="H40" i="23"/>
  <c r="H41" i="23" s="1"/>
  <c r="I25" i="27" s="1"/>
  <c r="AC40" i="20"/>
  <c r="AC41" i="20" s="1"/>
  <c r="AD20" i="27" s="1"/>
  <c r="B40" i="20"/>
  <c r="B41" i="20" s="1"/>
  <c r="I40" i="21"/>
  <c r="I41" i="21" s="1"/>
  <c r="J19" i="27" s="1"/>
  <c r="AC40" i="22"/>
  <c r="AC41" i="22" s="1"/>
  <c r="AD18" i="27" s="1"/>
  <c r="B40" i="22"/>
  <c r="B41" i="22" s="1"/>
  <c r="I40" i="20"/>
  <c r="I41" i="20" s="1"/>
  <c r="J20" i="27" s="1"/>
  <c r="AC40" i="21"/>
  <c r="AC41" i="21" s="1"/>
  <c r="AD19" i="27" s="1"/>
  <c r="B40" i="21"/>
  <c r="B41" i="21" s="1"/>
  <c r="I40" i="22"/>
  <c r="I41" i="22" s="1"/>
  <c r="J18" i="27" s="1"/>
  <c r="AC40" i="16"/>
  <c r="B40" i="16"/>
  <c r="I40" i="23"/>
  <c r="I41" i="23" s="1"/>
  <c r="J25" i="27" s="1"/>
  <c r="AC40" i="24"/>
  <c r="AC41" i="24" s="1"/>
  <c r="AD24" i="27" s="1"/>
  <c r="B40" i="24"/>
  <c r="B41" i="24" s="1"/>
  <c r="I40" i="16"/>
  <c r="AC40" i="23"/>
  <c r="AC41" i="23" s="1"/>
  <c r="AD25" i="27" s="1"/>
  <c r="B40" i="23"/>
  <c r="B41" i="23" s="1"/>
  <c r="I40" i="24"/>
  <c r="I41" i="24" s="1"/>
  <c r="J24" i="27" s="1"/>
  <c r="D40" i="20"/>
  <c r="D41" i="20" s="1"/>
  <c r="E20" i="27" s="1"/>
  <c r="Y40" i="20"/>
  <c r="Y41" i="20" s="1"/>
  <c r="Z20" i="27" s="1"/>
  <c r="Z40" i="21"/>
  <c r="Z41" i="21" s="1"/>
  <c r="AA19" i="27" s="1"/>
  <c r="Z40" i="22"/>
  <c r="Z41" i="22" s="1"/>
  <c r="AA18" i="27" s="1"/>
  <c r="D40" i="22"/>
  <c r="D41" i="22" s="1"/>
  <c r="E18" i="27" s="1"/>
  <c r="Z40" i="20"/>
  <c r="Z41" i="20" s="1"/>
  <c r="AA20" i="27" s="1"/>
  <c r="D40" i="21"/>
  <c r="D41" i="21" s="1"/>
  <c r="E19" i="27" s="1"/>
  <c r="Y40" i="21"/>
  <c r="Y41" i="21" s="1"/>
  <c r="Z19" i="27" s="1"/>
  <c r="Y40" i="22"/>
  <c r="Y41" i="22" s="1"/>
  <c r="Z18" i="27" s="1"/>
  <c r="D40" i="16"/>
  <c r="Y40" i="16"/>
  <c r="Z40" i="23"/>
  <c r="Z41" i="23" s="1"/>
  <c r="AA25" i="27" s="1"/>
  <c r="Z40" i="24"/>
  <c r="Z41" i="24" s="1"/>
  <c r="AA24" i="27" s="1"/>
  <c r="D40" i="24"/>
  <c r="D41" i="24" s="1"/>
  <c r="E24" i="27" s="1"/>
  <c r="Z40" i="16"/>
  <c r="D40" i="23"/>
  <c r="D41" i="23" s="1"/>
  <c r="E25" i="27" s="1"/>
  <c r="Y40" i="23"/>
  <c r="Y41" i="23" s="1"/>
  <c r="Z25" i="27" s="1"/>
  <c r="Y40" i="24"/>
  <c r="Y41" i="24" s="1"/>
  <c r="Z24" i="27" s="1"/>
  <c r="AG15" i="27"/>
  <c r="AE15" i="27"/>
  <c r="AG14" i="27"/>
  <c r="AE14" i="27"/>
  <c r="O24" i="27"/>
  <c r="AF40" i="16"/>
  <c r="AE40" i="16"/>
  <c r="AD40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T48" i="16" s="1"/>
  <c r="U48" i="16" s="1"/>
  <c r="K39" i="16"/>
  <c r="J39" i="16"/>
  <c r="I39" i="16"/>
  <c r="H39" i="16"/>
  <c r="T52" i="16" s="1"/>
  <c r="U52" i="16" s="1"/>
  <c r="G39" i="16"/>
  <c r="T47" i="16" s="1"/>
  <c r="U47" i="16" s="1"/>
  <c r="F39" i="16"/>
  <c r="E39" i="16"/>
  <c r="D39" i="16"/>
  <c r="C39" i="16"/>
  <c r="B39" i="16"/>
  <c r="AG13" i="27"/>
  <c r="AE13" i="27"/>
  <c r="T53" i="16" l="1"/>
  <c r="U53" i="16" s="1"/>
  <c r="T54" i="16"/>
  <c r="U54" i="16" s="1"/>
  <c r="T49" i="16"/>
  <c r="U49" i="16" s="1"/>
  <c r="T51" i="16"/>
  <c r="U51" i="16" s="1"/>
  <c r="T45" i="16"/>
  <c r="U45" i="16" s="1"/>
  <c r="AG40" i="16"/>
  <c r="H44" i="26"/>
  <c r="H50" i="26" s="1"/>
  <c r="H51" i="26" s="1"/>
  <c r="E44" i="27" s="1"/>
  <c r="T50" i="16"/>
  <c r="U50" i="16" s="1"/>
  <c r="B44" i="23"/>
  <c r="B50" i="23" s="1"/>
  <c r="B51" i="23" s="1"/>
  <c r="C40" i="27" s="1"/>
  <c r="C25" i="27"/>
  <c r="B44" i="22"/>
  <c r="B50" i="22" s="1"/>
  <c r="B51" i="22" s="1"/>
  <c r="C33" i="27" s="1"/>
  <c r="C18" i="27"/>
  <c r="E44" i="24"/>
  <c r="U24" i="27"/>
  <c r="E44" i="23"/>
  <c r="U25" i="27"/>
  <c r="H44" i="24"/>
  <c r="T24" i="27"/>
  <c r="H44" i="23"/>
  <c r="T25" i="27"/>
  <c r="E44" i="19"/>
  <c r="E50" i="19" s="1"/>
  <c r="E51" i="19" s="1"/>
  <c r="D36" i="27" s="1"/>
  <c r="W21" i="27"/>
  <c r="H44" i="19"/>
  <c r="H50" i="19" s="1"/>
  <c r="H51" i="19" s="1"/>
  <c r="E36" i="27" s="1"/>
  <c r="V21" i="27"/>
  <c r="E45" i="18"/>
  <c r="W22" i="27"/>
  <c r="B43" i="17"/>
  <c r="B49" i="17" s="1"/>
  <c r="B50" i="17" s="1"/>
  <c r="C38" i="27" s="1"/>
  <c r="C23" i="27"/>
  <c r="H44" i="20"/>
  <c r="H50" i="20" s="1"/>
  <c r="H51" i="20" s="1"/>
  <c r="E35" i="27" s="1"/>
  <c r="V20" i="27"/>
  <c r="B44" i="6"/>
  <c r="B50" i="6" s="1"/>
  <c r="B51" i="6" s="1"/>
  <c r="C42" i="27" s="1"/>
  <c r="B44" i="25"/>
  <c r="B50" i="25" s="1"/>
  <c r="B51" i="25" s="1"/>
  <c r="C43" i="27" s="1"/>
  <c r="B44" i="24"/>
  <c r="B50" i="24" s="1"/>
  <c r="B51" i="24" s="1"/>
  <c r="C39" i="27" s="1"/>
  <c r="C24" i="27"/>
  <c r="B44" i="21"/>
  <c r="B50" i="21" s="1"/>
  <c r="B51" i="21" s="1"/>
  <c r="C34" i="27" s="1"/>
  <c r="C19" i="27"/>
  <c r="B44" i="20"/>
  <c r="B50" i="20" s="1"/>
  <c r="B51" i="20" s="1"/>
  <c r="C35" i="27" s="1"/>
  <c r="C20" i="27"/>
  <c r="H45" i="18"/>
  <c r="H51" i="18" s="1"/>
  <c r="H52" i="18" s="1"/>
  <c r="E37" i="27" s="1"/>
  <c r="V22" i="27"/>
  <c r="E43" i="17"/>
  <c r="W23" i="27"/>
  <c r="H43" i="17"/>
  <c r="H49" i="17" s="1"/>
  <c r="H50" i="17" s="1"/>
  <c r="E38" i="27" s="1"/>
  <c r="V23" i="27"/>
  <c r="B44" i="19"/>
  <c r="B50" i="19" s="1"/>
  <c r="B51" i="19" s="1"/>
  <c r="C36" i="27" s="1"/>
  <c r="C21" i="27"/>
  <c r="B45" i="18"/>
  <c r="B51" i="18" s="1"/>
  <c r="B52" i="18" s="1"/>
  <c r="C37" i="27" s="1"/>
  <c r="C22" i="27"/>
  <c r="H44" i="22"/>
  <c r="H50" i="22" s="1"/>
  <c r="H51" i="22" s="1"/>
  <c r="E33" i="27" s="1"/>
  <c r="T18" i="27"/>
  <c r="H44" i="21"/>
  <c r="H50" i="21" s="1"/>
  <c r="H51" i="21" s="1"/>
  <c r="E34" i="27" s="1"/>
  <c r="T19" i="27"/>
  <c r="E44" i="22"/>
  <c r="E50" i="22" s="1"/>
  <c r="E51" i="22" s="1"/>
  <c r="D33" i="27" s="1"/>
  <c r="U18" i="27"/>
  <c r="E44" i="21"/>
  <c r="E50" i="21" s="1"/>
  <c r="E51" i="21" s="1"/>
  <c r="D34" i="27" s="1"/>
  <c r="U19" i="27"/>
  <c r="E44" i="20"/>
  <c r="E50" i="20" s="1"/>
  <c r="E51" i="20" s="1"/>
  <c r="D35" i="27" s="1"/>
  <c r="U20" i="27"/>
  <c r="B44" i="26"/>
  <c r="B50" i="26" s="1"/>
  <c r="B51" i="26" s="1"/>
  <c r="C44" i="27" s="1"/>
  <c r="E44" i="6"/>
  <c r="E44" i="25"/>
  <c r="E44" i="26"/>
  <c r="E50" i="26" s="1"/>
  <c r="E51" i="26" s="1"/>
  <c r="D44" i="27" s="1"/>
  <c r="H44" i="6"/>
  <c r="H44" i="25"/>
  <c r="H49" i="16"/>
  <c r="AE12" i="27"/>
  <c r="AE17" i="27" s="1"/>
  <c r="B49" i="16"/>
  <c r="AG12" i="27"/>
  <c r="AG17" i="27" s="1"/>
  <c r="E49" i="16"/>
  <c r="T46" i="16"/>
  <c r="U46" i="16" s="1"/>
  <c r="C29" i="27"/>
  <c r="C15" i="27"/>
  <c r="E29" i="27"/>
  <c r="E15" i="27"/>
  <c r="G29" i="27"/>
  <c r="G15" i="27"/>
  <c r="I29" i="27"/>
  <c r="I15" i="27"/>
  <c r="K29" i="27"/>
  <c r="K15" i="27"/>
  <c r="M29" i="27"/>
  <c r="M15" i="27"/>
  <c r="O29" i="27"/>
  <c r="O15" i="27"/>
  <c r="Q29" i="27"/>
  <c r="Q15" i="27"/>
  <c r="S29" i="27"/>
  <c r="S15" i="27"/>
  <c r="U29" i="27"/>
  <c r="U15" i="27"/>
  <c r="W29" i="27"/>
  <c r="W15" i="27"/>
  <c r="Y29" i="27"/>
  <c r="Y15" i="27"/>
  <c r="AA29" i="27"/>
  <c r="AA15" i="27"/>
  <c r="AC15" i="27"/>
  <c r="D29" i="27"/>
  <c r="D15" i="27"/>
  <c r="F29" i="27"/>
  <c r="F15" i="27"/>
  <c r="H29" i="27"/>
  <c r="H15" i="27"/>
  <c r="J29" i="27"/>
  <c r="J15" i="27"/>
  <c r="L29" i="27"/>
  <c r="L15" i="27"/>
  <c r="N29" i="27"/>
  <c r="N15" i="27"/>
  <c r="P15" i="27"/>
  <c r="R29" i="27"/>
  <c r="R15" i="27"/>
  <c r="T29" i="27"/>
  <c r="T15" i="27"/>
  <c r="V29" i="27"/>
  <c r="V15" i="27"/>
  <c r="X29" i="27"/>
  <c r="X15" i="27"/>
  <c r="Z29" i="27"/>
  <c r="Z15" i="27"/>
  <c r="AB29" i="27"/>
  <c r="AB15" i="27"/>
  <c r="AD15" i="27"/>
  <c r="AF15" i="27"/>
  <c r="AH15" i="27"/>
  <c r="C28" i="27"/>
  <c r="C14" i="27"/>
  <c r="E28" i="27"/>
  <c r="E14" i="27"/>
  <c r="G28" i="27"/>
  <c r="G14" i="27"/>
  <c r="I28" i="27"/>
  <c r="I14" i="27"/>
  <c r="K28" i="27"/>
  <c r="K14" i="27"/>
  <c r="M28" i="27"/>
  <c r="M14" i="27"/>
  <c r="O28" i="27"/>
  <c r="O14" i="27"/>
  <c r="Q28" i="27"/>
  <c r="Q14" i="27"/>
  <c r="S28" i="27"/>
  <c r="S14" i="27"/>
  <c r="U28" i="27"/>
  <c r="U14" i="27"/>
  <c r="W28" i="27"/>
  <c r="W14" i="27"/>
  <c r="Y28" i="27"/>
  <c r="Y14" i="27"/>
  <c r="AA28" i="27"/>
  <c r="AA14" i="27"/>
  <c r="AC14" i="27"/>
  <c r="D28" i="27"/>
  <c r="D14" i="27"/>
  <c r="F28" i="27"/>
  <c r="F14" i="27"/>
  <c r="H28" i="27"/>
  <c r="H14" i="27"/>
  <c r="J14" i="27"/>
  <c r="L28" i="27"/>
  <c r="L14" i="27"/>
  <c r="N28" i="27"/>
  <c r="N14" i="27"/>
  <c r="P28" i="27"/>
  <c r="P14" i="27"/>
  <c r="R28" i="27"/>
  <c r="R14" i="27"/>
  <c r="T28" i="27"/>
  <c r="T14" i="27"/>
  <c r="V14" i="27"/>
  <c r="X28" i="27"/>
  <c r="X14" i="27"/>
  <c r="Z28" i="27"/>
  <c r="Z14" i="27"/>
  <c r="AB28" i="27"/>
  <c r="AB14" i="27"/>
  <c r="AD14" i="27"/>
  <c r="AH14" i="27"/>
  <c r="AF14" i="27"/>
  <c r="Z27" i="27"/>
  <c r="Z13" i="27"/>
  <c r="AB27" i="27"/>
  <c r="AB13" i="27"/>
  <c r="AD13" i="27"/>
  <c r="AF13" i="27"/>
  <c r="AH13" i="27"/>
  <c r="Y27" i="27"/>
  <c r="Y13" i="27"/>
  <c r="AA27" i="27"/>
  <c r="AA13" i="27"/>
  <c r="AC13" i="27"/>
  <c r="AF12" i="27"/>
  <c r="N24" i="27"/>
  <c r="G24" i="27"/>
  <c r="N23" i="27"/>
  <c r="G23" i="27"/>
  <c r="N22" i="27"/>
  <c r="G22" i="27"/>
  <c r="N21" i="27"/>
  <c r="G21" i="27"/>
  <c r="N20" i="27"/>
  <c r="G20" i="27"/>
  <c r="N19" i="27"/>
  <c r="G19" i="27"/>
  <c r="N18" i="27"/>
  <c r="G18" i="27"/>
  <c r="Y24" i="27"/>
  <c r="X24" i="27"/>
  <c r="Y23" i="27"/>
  <c r="X23" i="27"/>
  <c r="Y22" i="27"/>
  <c r="X22" i="27"/>
  <c r="Y21" i="27"/>
  <c r="X21" i="27"/>
  <c r="Y20" i="27"/>
  <c r="X20" i="27"/>
  <c r="Y19" i="27"/>
  <c r="X19" i="27"/>
  <c r="Y18" i="27"/>
  <c r="X18" i="27"/>
  <c r="B41" i="16"/>
  <c r="C12" i="27"/>
  <c r="D41" i="16"/>
  <c r="E26" i="27" s="1"/>
  <c r="E12" i="27"/>
  <c r="F41" i="16"/>
  <c r="G12" i="27"/>
  <c r="H41" i="16"/>
  <c r="I26" i="27" s="1"/>
  <c r="I12" i="27"/>
  <c r="J41" i="16"/>
  <c r="K26" i="27" s="1"/>
  <c r="K12" i="27"/>
  <c r="L41" i="16"/>
  <c r="M26" i="27" s="1"/>
  <c r="M12" i="27"/>
  <c r="N41" i="16"/>
  <c r="O26" i="27" s="1"/>
  <c r="O12" i="27"/>
  <c r="P41" i="16"/>
  <c r="Q26" i="27" s="1"/>
  <c r="Q12" i="27"/>
  <c r="R41" i="16"/>
  <c r="S26" i="27" s="1"/>
  <c r="S12" i="27"/>
  <c r="T41" i="16"/>
  <c r="U26" i="27" s="1"/>
  <c r="U12" i="27"/>
  <c r="V41" i="16"/>
  <c r="W26" i="27" s="1"/>
  <c r="W12" i="27"/>
  <c r="X41" i="16"/>
  <c r="Y12" i="27"/>
  <c r="Z41" i="16"/>
  <c r="AA26" i="27" s="1"/>
  <c r="AA12" i="27"/>
  <c r="AB41" i="16"/>
  <c r="AC12" i="27"/>
  <c r="C41" i="16"/>
  <c r="D26" i="27" s="1"/>
  <c r="D12" i="27"/>
  <c r="E41" i="16"/>
  <c r="F26" i="27" s="1"/>
  <c r="F12" i="27"/>
  <c r="G41" i="16"/>
  <c r="H26" i="27" s="1"/>
  <c r="H12" i="27"/>
  <c r="I41" i="16"/>
  <c r="J26" i="27" s="1"/>
  <c r="J12" i="27"/>
  <c r="K41" i="16"/>
  <c r="L26" i="27" s="1"/>
  <c r="L12" i="27"/>
  <c r="M41" i="16"/>
  <c r="N12" i="27"/>
  <c r="O41" i="16"/>
  <c r="P12" i="27"/>
  <c r="Q41" i="16"/>
  <c r="R26" i="27" s="1"/>
  <c r="R12" i="27"/>
  <c r="S41" i="16"/>
  <c r="T26" i="27" s="1"/>
  <c r="T12" i="27"/>
  <c r="U41" i="16"/>
  <c r="V26" i="27" s="1"/>
  <c r="V12" i="27"/>
  <c r="W41" i="16"/>
  <c r="X12" i="27"/>
  <c r="Y41" i="16"/>
  <c r="Z26" i="27" s="1"/>
  <c r="Z12" i="27"/>
  <c r="AA41" i="16"/>
  <c r="AB26" i="27" s="1"/>
  <c r="AB12" i="27"/>
  <c r="AC41" i="16"/>
  <c r="AD12" i="27"/>
  <c r="E50" i="25" l="1"/>
  <c r="E51" i="25" s="1"/>
  <c r="D43" i="27" s="1"/>
  <c r="I53" i="25"/>
  <c r="H50" i="25"/>
  <c r="H51" i="25" s="1"/>
  <c r="E43" i="27" s="1"/>
  <c r="H53" i="25"/>
  <c r="E50" i="6"/>
  <c r="E51" i="6" s="1"/>
  <c r="D42" i="27" s="1"/>
  <c r="I53" i="6"/>
  <c r="H50" i="6"/>
  <c r="H51" i="6" s="1"/>
  <c r="E42" i="27" s="1"/>
  <c r="H53" i="6"/>
  <c r="E50" i="23"/>
  <c r="E51" i="23" s="1"/>
  <c r="D40" i="27" s="1"/>
  <c r="I53" i="23"/>
  <c r="H50" i="24"/>
  <c r="H51" i="24" s="1"/>
  <c r="E39" i="27" s="1"/>
  <c r="H53" i="24"/>
  <c r="H50" i="23"/>
  <c r="H51" i="23" s="1"/>
  <c r="E40" i="27" s="1"/>
  <c r="H53" i="23"/>
  <c r="E50" i="24"/>
  <c r="E51" i="24" s="1"/>
  <c r="D39" i="27" s="1"/>
  <c r="I53" i="24"/>
  <c r="E49" i="17"/>
  <c r="E50" i="17" s="1"/>
  <c r="D38" i="27" s="1"/>
  <c r="I52" i="17"/>
  <c r="E51" i="18"/>
  <c r="E52" i="18" s="1"/>
  <c r="D37" i="27" s="1"/>
  <c r="I54" i="18"/>
  <c r="AH6" i="28"/>
  <c r="D58" i="27"/>
  <c r="D51" i="27"/>
  <c r="D49" i="27"/>
  <c r="AF6" i="28"/>
  <c r="C52" i="27"/>
  <c r="C58" i="27"/>
  <c r="C55" i="27" s="1"/>
  <c r="C53" i="27"/>
  <c r="C51" i="27"/>
  <c r="C49" i="27"/>
  <c r="AB17" i="27"/>
  <c r="Z17" i="27"/>
  <c r="AB6" i="28" s="1"/>
  <c r="AB7" i="28" s="1"/>
  <c r="AB9" i="28" s="1"/>
  <c r="AC17" i="27"/>
  <c r="AD17" i="27"/>
  <c r="AA17" i="27"/>
  <c r="O6" i="28" s="1"/>
  <c r="O7" i="28" s="1"/>
  <c r="O9" i="28" s="1"/>
  <c r="Y17" i="27"/>
  <c r="N6" i="28" s="1"/>
  <c r="N7" i="28" s="1"/>
  <c r="N9" i="28" s="1"/>
  <c r="E46" i="16"/>
  <c r="D52" i="27" s="1"/>
  <c r="H46" i="16"/>
  <c r="B44" i="16"/>
  <c r="B50" i="16" s="1"/>
  <c r="B51" i="16" s="1"/>
  <c r="AH12" i="27"/>
  <c r="E45" i="16"/>
  <c r="D54" i="27" s="1"/>
  <c r="E54" i="27" s="1"/>
  <c r="H45" i="16"/>
  <c r="P26" i="27"/>
  <c r="X26" i="27"/>
  <c r="H44" i="16"/>
  <c r="H53" i="16" s="1"/>
  <c r="N26" i="27"/>
  <c r="Y26" i="27"/>
  <c r="Y30" i="27" s="1"/>
  <c r="N10" i="28" s="1"/>
  <c r="E44" i="16"/>
  <c r="G26" i="27"/>
  <c r="AB30" i="27"/>
  <c r="Z30" i="27"/>
  <c r="AB10" i="28" s="1"/>
  <c r="AA30" i="27"/>
  <c r="O10" i="28" s="1"/>
  <c r="AF17" i="27"/>
  <c r="AH17" i="27" s="1"/>
  <c r="AI6" i="28" s="1"/>
  <c r="AD29" i="27"/>
  <c r="P29" i="27"/>
  <c r="AC29" i="27"/>
  <c r="AD28" i="27"/>
  <c r="V28" i="27"/>
  <c r="J28" i="27"/>
  <c r="AC28" i="27"/>
  <c r="C27" i="27"/>
  <c r="C13" i="27"/>
  <c r="C17" i="27" s="1"/>
  <c r="C6" i="28" s="1"/>
  <c r="E27" i="27"/>
  <c r="E30" i="27" s="1"/>
  <c r="E10" i="28" s="1"/>
  <c r="E13" i="27"/>
  <c r="E17" i="27" s="1"/>
  <c r="E6" i="28" s="1"/>
  <c r="E7" i="28" s="1"/>
  <c r="E9" i="28" s="1"/>
  <c r="G27" i="27"/>
  <c r="G13" i="27"/>
  <c r="G17" i="27" s="1"/>
  <c r="G6" i="28" s="1"/>
  <c r="I27" i="27"/>
  <c r="I30" i="27" s="1"/>
  <c r="I10" i="28" s="1"/>
  <c r="I13" i="27"/>
  <c r="I17" i="27" s="1"/>
  <c r="I6" i="28" s="1"/>
  <c r="I7" i="28" s="1"/>
  <c r="I9" i="28" s="1"/>
  <c r="K27" i="27"/>
  <c r="K30" i="27" s="1"/>
  <c r="R10" i="28" s="1"/>
  <c r="K13" i="27"/>
  <c r="K17" i="27" s="1"/>
  <c r="R6" i="28" s="1"/>
  <c r="R7" i="28" s="1"/>
  <c r="R9" i="28" s="1"/>
  <c r="M27" i="27"/>
  <c r="M30" i="27" s="1"/>
  <c r="T10" i="28" s="1"/>
  <c r="M13" i="27"/>
  <c r="M17" i="27" s="1"/>
  <c r="T6" i="28" s="1"/>
  <c r="T7" i="28" s="1"/>
  <c r="T9" i="28" s="1"/>
  <c r="O27" i="27"/>
  <c r="O30" i="27" s="1"/>
  <c r="V10" i="28" s="1"/>
  <c r="O13" i="27"/>
  <c r="O17" i="27" s="1"/>
  <c r="V6" i="28" s="1"/>
  <c r="V7" i="28" s="1"/>
  <c r="V9" i="28" s="1"/>
  <c r="Q27" i="27"/>
  <c r="Q30" i="27" s="1"/>
  <c r="J10" i="28" s="1"/>
  <c r="Q13" i="27"/>
  <c r="Q17" i="27" s="1"/>
  <c r="J6" i="28" s="1"/>
  <c r="S27" i="27"/>
  <c r="S30" i="27" s="1"/>
  <c r="K16" i="28" s="1"/>
  <c r="S13" i="27"/>
  <c r="S17" i="27" s="1"/>
  <c r="K6" i="28" s="1"/>
  <c r="U27" i="27"/>
  <c r="U30" i="27" s="1"/>
  <c r="L16" i="28" s="1"/>
  <c r="U13" i="27"/>
  <c r="U17" i="27" s="1"/>
  <c r="L6" i="28" s="1"/>
  <c r="W27" i="27"/>
  <c r="W30" i="27" s="1"/>
  <c r="M10" i="28" s="1"/>
  <c r="W13" i="27"/>
  <c r="W17" i="27" s="1"/>
  <c r="M6" i="28" s="1"/>
  <c r="AC27" i="27"/>
  <c r="AD27" i="27"/>
  <c r="D27" i="27"/>
  <c r="D30" i="27" s="1"/>
  <c r="D10" i="28" s="1"/>
  <c r="D13" i="27"/>
  <c r="F27" i="27"/>
  <c r="F30" i="27" s="1"/>
  <c r="F10" i="28" s="1"/>
  <c r="F13" i="27"/>
  <c r="F17" i="27" s="1"/>
  <c r="F6" i="28" s="1"/>
  <c r="H27" i="27"/>
  <c r="H30" i="27" s="1"/>
  <c r="H10" i="28" s="1"/>
  <c r="H13" i="27"/>
  <c r="H17" i="27" s="1"/>
  <c r="H6" i="28" s="1"/>
  <c r="J27" i="27"/>
  <c r="J13" i="27"/>
  <c r="J17" i="27" s="1"/>
  <c r="Q6" i="28" s="1"/>
  <c r="Q7" i="28" s="1"/>
  <c r="Q9" i="28" s="1"/>
  <c r="L27" i="27"/>
  <c r="L30" i="27" s="1"/>
  <c r="S10" i="28" s="1"/>
  <c r="L13" i="27"/>
  <c r="L17" i="27" s="1"/>
  <c r="S6" i="28" s="1"/>
  <c r="S7" i="28" s="1"/>
  <c r="S9" i="28" s="1"/>
  <c r="N27" i="27"/>
  <c r="N13" i="27"/>
  <c r="N17" i="27" s="1"/>
  <c r="U6" i="28" s="1"/>
  <c r="U7" i="28" s="1"/>
  <c r="U9" i="28" s="1"/>
  <c r="P27" i="27"/>
  <c r="P13" i="27"/>
  <c r="P17" i="27" s="1"/>
  <c r="W6" i="28" s="1"/>
  <c r="R27" i="27"/>
  <c r="R30" i="27" s="1"/>
  <c r="X10" i="28" s="1"/>
  <c r="R13" i="27"/>
  <c r="R17" i="27" s="1"/>
  <c r="X6" i="28" s="1"/>
  <c r="X7" i="28" s="1"/>
  <c r="X9" i="28" s="1"/>
  <c r="T27" i="27"/>
  <c r="T30" i="27" s="1"/>
  <c r="Y16" i="28" s="1"/>
  <c r="T13" i="27"/>
  <c r="T17" i="27" s="1"/>
  <c r="Y6" i="28" s="1"/>
  <c r="V27" i="27"/>
  <c r="V13" i="27"/>
  <c r="V17" i="27" s="1"/>
  <c r="Z6" i="28" s="1"/>
  <c r="Z7" i="28" s="1"/>
  <c r="Z9" i="28" s="1"/>
  <c r="X27" i="27"/>
  <c r="X13" i="27"/>
  <c r="X17" i="27" s="1"/>
  <c r="AA6" i="28" s="1"/>
  <c r="D17" i="27"/>
  <c r="D6" i="28" s="1"/>
  <c r="AD26" i="27"/>
  <c r="AC26" i="27"/>
  <c r="C26" i="27"/>
  <c r="C41" i="27" l="1"/>
  <c r="C45" i="27" s="1"/>
  <c r="E41" i="27"/>
  <c r="E45" i="27"/>
  <c r="D48" i="27"/>
  <c r="D50" i="27" s="1"/>
  <c r="I53" i="16"/>
  <c r="X30" i="27"/>
  <c r="AA10" i="28" s="1"/>
  <c r="V30" i="27"/>
  <c r="Z10" i="28" s="1"/>
  <c r="J30" i="27"/>
  <c r="Q10" i="28" s="1"/>
  <c r="N30" i="27"/>
  <c r="U10" i="28" s="1"/>
  <c r="P30" i="27"/>
  <c r="W10" i="28" s="1"/>
  <c r="L14" i="28"/>
  <c r="H14" i="28"/>
  <c r="C30" i="27"/>
  <c r="C10" i="28" s="1"/>
  <c r="D53" i="27"/>
  <c r="D55" i="27"/>
  <c r="AD30" i="27"/>
  <c r="AE10" i="28" s="1"/>
  <c r="AG6" i="28"/>
  <c r="AB14" i="28" s="1"/>
  <c r="J14" i="28"/>
  <c r="D14" i="28"/>
  <c r="L7" i="28"/>
  <c r="L9" i="28" s="1"/>
  <c r="H7" i="28"/>
  <c r="H9" i="28" s="1"/>
  <c r="P6" i="28"/>
  <c r="P14" i="28" s="1"/>
  <c r="J7" i="28"/>
  <c r="J9" i="28" s="1"/>
  <c r="I14" i="28"/>
  <c r="O14" i="28"/>
  <c r="C14" i="28"/>
  <c r="G14" i="28"/>
  <c r="K14" i="28"/>
  <c r="M14" i="28"/>
  <c r="F14" i="28"/>
  <c r="C48" i="27"/>
  <c r="C56" i="27" s="1"/>
  <c r="C57" i="27" s="1"/>
  <c r="E52" i="27"/>
  <c r="E58" i="27"/>
  <c r="E55" i="27" s="1"/>
  <c r="E53" i="27"/>
  <c r="E51" i="27"/>
  <c r="E48" i="27"/>
  <c r="E49" i="27"/>
  <c r="G30" i="27"/>
  <c r="G10" i="28" s="1"/>
  <c r="D7" i="28"/>
  <c r="D9" i="28" s="1"/>
  <c r="N14" i="28"/>
  <c r="AC30" i="27"/>
  <c r="AD10" i="28" s="1"/>
  <c r="AC10" i="28"/>
  <c r="E14" i="28"/>
  <c r="H50" i="16"/>
  <c r="H51" i="16" s="1"/>
  <c r="E50" i="16"/>
  <c r="E51" i="16" s="1"/>
  <c r="D41" i="27" s="1"/>
  <c r="D45" i="27" s="1"/>
  <c r="G7" i="28"/>
  <c r="M7" i="28"/>
  <c r="C7" i="28"/>
  <c r="C9" i="28" s="1"/>
  <c r="K7" i="28"/>
  <c r="F7" i="28"/>
  <c r="F9" i="28" s="1"/>
  <c r="AA7" i="28"/>
  <c r="AA9" i="28" s="1"/>
  <c r="Y7" i="28"/>
  <c r="Y9" i="28" s="1"/>
  <c r="W7" i="28"/>
  <c r="W9" i="28" s="1"/>
  <c r="E8" i="28"/>
  <c r="E15" i="28" s="1"/>
  <c r="I8" i="28"/>
  <c r="I15" i="28" s="1"/>
  <c r="N8" i="28"/>
  <c r="N15" i="28" s="1"/>
  <c r="O8" i="28"/>
  <c r="O15" i="28" s="1"/>
  <c r="O16" i="28" s="1"/>
  <c r="P10" i="28"/>
  <c r="AC6" i="28"/>
  <c r="D56" i="27" l="1"/>
  <c r="D57" i="27" s="1"/>
  <c r="V14" i="28"/>
  <c r="Z8" i="28"/>
  <c r="Z15" i="28" s="1"/>
  <c r="Z16" i="28" s="1"/>
  <c r="R11" i="28"/>
  <c r="Q8" i="28"/>
  <c r="Q15" i="28" s="1"/>
  <c r="Q16" i="28" s="1"/>
  <c r="U8" i="28"/>
  <c r="U15" i="28" s="1"/>
  <c r="U16" i="28" s="1"/>
  <c r="AE14" i="28"/>
  <c r="AE15" i="28" s="1"/>
  <c r="AE16" i="28" s="1"/>
  <c r="T8" i="28"/>
  <c r="T15" i="28" s="1"/>
  <c r="C25" i="28" s="1"/>
  <c r="G25" i="28" s="1"/>
  <c r="J25" i="28" s="1"/>
  <c r="J8" i="28"/>
  <c r="J15" i="28" s="1"/>
  <c r="T14" i="28"/>
  <c r="P7" i="28"/>
  <c r="P9" i="28" s="1"/>
  <c r="H18" i="28"/>
  <c r="X18" i="28" s="1"/>
  <c r="AE18" i="28" s="1"/>
  <c r="Z14" i="28"/>
  <c r="S14" i="28"/>
  <c r="C8" i="28"/>
  <c r="C15" i="28" s="1"/>
  <c r="C16" i="28" s="1"/>
  <c r="Q14" i="28"/>
  <c r="AD8" i="28"/>
  <c r="AD15" i="28" s="1"/>
  <c r="AD16" i="28" s="1"/>
  <c r="AD14" i="28"/>
  <c r="AB8" i="28"/>
  <c r="AB15" i="28" s="1"/>
  <c r="AB16" i="28" s="1"/>
  <c r="X8" i="28"/>
  <c r="X15" i="28" s="1"/>
  <c r="S8" i="28"/>
  <c r="S15" i="28" s="1"/>
  <c r="S16" i="28" s="1"/>
  <c r="V8" i="28"/>
  <c r="V15" i="28" s="1"/>
  <c r="V16" i="28" s="1"/>
  <c r="R8" i="28"/>
  <c r="R15" i="28" s="1"/>
  <c r="R16" i="28" s="1"/>
  <c r="W14" i="28"/>
  <c r="Y14" i="28"/>
  <c r="AA14" i="28"/>
  <c r="U14" i="28"/>
  <c r="R14" i="28"/>
  <c r="X14" i="28"/>
  <c r="L8" i="28"/>
  <c r="L15" i="28" s="1"/>
  <c r="H8" i="28"/>
  <c r="H15" i="28" s="1"/>
  <c r="H16" i="28" s="1"/>
  <c r="E24" i="28" s="1"/>
  <c r="F11" i="28"/>
  <c r="F8" i="28"/>
  <c r="F15" i="28" s="1"/>
  <c r="F16" i="28" s="1"/>
  <c r="D8" i="28"/>
  <c r="D15" i="28" s="1"/>
  <c r="D16" i="28" s="1"/>
  <c r="C50" i="27"/>
  <c r="E56" i="27"/>
  <c r="E57" i="27" s="1"/>
  <c r="E50" i="27"/>
  <c r="J11" i="28"/>
  <c r="K8" i="28"/>
  <c r="K15" i="28" s="1"/>
  <c r="K9" i="28"/>
  <c r="M8" i="28"/>
  <c r="M15" i="28" s="1"/>
  <c r="M16" i="28" s="1"/>
  <c r="M9" i="28"/>
  <c r="G8" i="28"/>
  <c r="G15" i="28" s="1"/>
  <c r="G16" i="28" s="1"/>
  <c r="G9" i="28"/>
  <c r="Y8" i="28"/>
  <c r="Y15" i="28" s="1"/>
  <c r="AA8" i="28"/>
  <c r="AA15" i="28" s="1"/>
  <c r="AA16" i="28" s="1"/>
  <c r="W8" i="28"/>
  <c r="W15" i="28" s="1"/>
  <c r="M11" i="28"/>
  <c r="AC14" i="28"/>
  <c r="AC7" i="28"/>
  <c r="AC9" i="28" s="1"/>
  <c r="P8" i="28"/>
  <c r="P15" i="28" s="1"/>
  <c r="T16" i="28"/>
  <c r="E25" i="28" s="1"/>
  <c r="N16" i="28"/>
  <c r="I16" i="28"/>
  <c r="E29" i="28" s="1"/>
  <c r="C29" i="28"/>
  <c r="G29" i="28" s="1"/>
  <c r="J29" i="28" s="1"/>
  <c r="M29" i="28" s="1"/>
  <c r="O29" i="28" s="1"/>
  <c r="E16" i="28"/>
  <c r="E26" i="28" l="1"/>
  <c r="E27" i="28"/>
  <c r="C30" i="28"/>
  <c r="G30" i="28" s="1"/>
  <c r="J30" i="28" s="1"/>
  <c r="M30" i="28" s="1"/>
  <c r="O30" i="28" s="1"/>
  <c r="E23" i="28"/>
  <c r="C31" i="28"/>
  <c r="G31" i="28" s="1"/>
  <c r="J31" i="28" s="1"/>
  <c r="M31" i="28" s="1"/>
  <c r="O31" i="28" s="1"/>
  <c r="C24" i="28"/>
  <c r="G24" i="28" s="1"/>
  <c r="J24" i="28" s="1"/>
  <c r="M24" i="28" s="1"/>
  <c r="O24" i="28" s="1"/>
  <c r="E31" i="28"/>
  <c r="E28" i="28"/>
  <c r="C23" i="28"/>
  <c r="G23" i="28" s="1"/>
  <c r="J23" i="28" s="1"/>
  <c r="M23" i="28" s="1"/>
  <c r="O23" i="28" s="1"/>
  <c r="C27" i="28"/>
  <c r="G27" i="28" s="1"/>
  <c r="J27" i="28" s="1"/>
  <c r="M27" i="28" s="1"/>
  <c r="O27" i="28" s="1"/>
  <c r="C26" i="28"/>
  <c r="G26" i="28" s="1"/>
  <c r="J26" i="28" s="1"/>
  <c r="M26" i="28" s="1"/>
  <c r="O26" i="28" s="1"/>
  <c r="C28" i="28"/>
  <c r="G28" i="28" s="1"/>
  <c r="J28" i="28" s="1"/>
  <c r="M28" i="28" s="1"/>
  <c r="O28" i="28" s="1"/>
  <c r="C22" i="28"/>
  <c r="G22" i="28" s="1"/>
  <c r="J22" i="28" s="1"/>
  <c r="M22" i="28" s="1"/>
  <c r="O22" i="28" s="1"/>
  <c r="J17" i="28"/>
  <c r="E22" i="28"/>
  <c r="F17" i="28"/>
  <c r="M17" i="28"/>
  <c r="E30" i="28"/>
  <c r="O25" i="28"/>
  <c r="M25" i="28"/>
  <c r="AC8" i="28"/>
  <c r="AC15" i="28" s="1"/>
</calcChain>
</file>

<file path=xl/comments1.xml><?xml version="1.0" encoding="utf-8"?>
<comments xmlns="http://schemas.openxmlformats.org/spreadsheetml/2006/main">
  <authors>
    <author>Peter Bong</author>
  </authors>
  <commentList>
    <comment ref="B5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>
  <authors>
    <author>jamoore</author>
    <author>Peter Bong</author>
  </authors>
  <commentList>
    <comment ref="AD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>
  <authors>
    <author>jamoore</author>
  </authors>
  <commentList>
    <comment ref="AD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L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9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>
  <authors>
    <author>Peter Bong</author>
  </authors>
  <commentList>
    <comment ref="B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3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>
  <authors>
    <author>Peter Bong</author>
  </authors>
  <commentList>
    <comment ref="B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39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1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9.xml><?xml version="1.0" encoding="utf-8"?>
<comments xmlns="http://schemas.openxmlformats.org/spreadsheetml/2006/main">
  <authors>
    <author>Peter Bong</author>
  </authors>
  <commentList>
    <comment ref="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 shape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<sst xmlns="http://schemas.openxmlformats.org/spreadsheetml/2006/main" count="2223" uniqueCount="235">
  <si>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</si>
  <si>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</si>
  <si>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</si>
  <si>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</si>
  <si>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</si>
  <si>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</si>
  <si>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</si>
  <si>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</si>
  <si>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</si>
  <si>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</si>
  <si>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</si>
  <si>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</si>
  <si>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</si>
  <si>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</si>
  <si>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</si>
  <si>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</si>
  <si>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</si>
  <si>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</si>
  <si>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</si>
  <si>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</si>
  <si>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</si>
  <si>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</si>
  <si>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</si>
  <si>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</si>
  <si>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</si>
  <si>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</si>
  <si>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</si>
  <si>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</si>
  <si>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</si>
  <si>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</si>
  <si>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</si>
  <si>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</si>
  <si>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</si>
  <si>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</si>
  <si>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</si>
  <si>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</si>
  <si>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</si>
  <si>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</si>
  <si>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</si>
  <si>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</si>
  <si>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</si>
  <si>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</si>
  <si>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</si>
  <si>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</si>
  <si>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</si>
  <si>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</si>
  <si>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</si>
  <si>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</si>
  <si>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</si>
  <si>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</si>
  <si>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</si>
  <si>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</si>
  <si>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</si>
  <si>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</si>
  <si>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</si>
  <si>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</si>
  <si>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</si>
  <si>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</si>
  <si>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</si>
  <si>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</si>
  <si>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</si>
  <si>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</si>
  <si>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</si>
  <si>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</si>
  <si>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</si>
  <si>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</si>
  <si>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</si>
  <si>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</si>
  <si>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</si>
  <si>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</si>
  <si>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</si>
  <si>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</si>
  <si>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</si>
  <si>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</si>
  <si>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</si>
  <si>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</si>
  <si>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</si>
  <si>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</si>
  <si>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</si>
  <si>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</si>
  <si>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</si>
  <si>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</si>
  <si>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</si>
  <si>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</si>
  <si>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</si>
  <si>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</si>
  <si>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</si>
  <si>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</si>
  <si>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</si>
  <si>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</si>
  <si>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</si>
  <si>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</si>
  <si>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</si>
  <si>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</si>
  <si>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</si>
  <si>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</si>
  <si>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</si>
  <si>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</si>
  <si>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</si>
  <si>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</si>
  <si>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</si>
  <si>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</si>
  <si>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</si>
  <si>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</si>
  <si>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</si>
  <si>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</si>
  <si>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</si>
  <si>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</si>
  <si>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</si>
  <si>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</si>
  <si>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</si>
  <si>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</si>
  <si>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</si>
  <si>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</si>
  <si>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</si>
  <si>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</si>
  <si>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</si>
  <si>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</si>
  <si>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</si>
  <si>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</si>
  <si>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</si>
  <si>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</si>
  <si>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</si>
  <si>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</si>
  <si>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</si>
  <si>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</si>
  <si>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</si>
  <si>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</si>
  <si>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</si>
  <si>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</si>
  <si>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</si>
  <si>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</si>
  <si>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</si>
  <si>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</si>
  <si>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</si>
  <si>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</si>
  <si>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</si>
  <si>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</si>
  <si>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</si>
  <si>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</si>
  <si>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</si>
  <si>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</si>
  <si>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</si>
  <si>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</si>
  <si>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</si>
  <si>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</si>
  <si>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</si>
  <si>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</si>
  <si>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</si>
  <si>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</si>
  <si>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</si>
  <si>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</si>
  <si>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</si>
  <si>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</si>
  <si>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</si>
  <si>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</si>
  <si>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</si>
  <si>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</si>
  <si>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</si>
  <si>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</si>
  <si>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2011 YTD Treated Raw Water Flows (MG)</t>
  </si>
  <si>
    <t>2011 YTD Finished Delivered Flows (MG) &amp; Ratios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</si>
  <si>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</si>
  <si>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</si>
  <si>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</si>
  <si>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</si>
  <si>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</si>
  <si>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</si>
  <si>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</si>
  <si>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</si>
  <si>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</si>
  <si>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</si>
  <si>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</si>
  <si>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</si>
  <si>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</si>
  <si>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</si>
  <si>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</si>
  <si>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</si>
  <si>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</si>
  <si>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</si>
  <si>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</si>
  <si>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</si>
  <si>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</si>
  <si>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</si>
  <si>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</si>
  <si>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</si>
  <si>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</si>
  <si>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</si>
  <si>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</si>
  <si>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</si>
  <si>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</si>
  <si>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</si>
  <si>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</si>
  <si>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</si>
  <si>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</si>
  <si>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</si>
  <si>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</si>
  <si>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</si>
  <si>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</si>
  <si>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</si>
  <si>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</si>
  <si>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</si>
  <si>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</si>
  <si>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</si>
  <si>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</si>
  <si>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</si>
  <si>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</si>
  <si>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</si>
  <si>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</si>
  <si>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</si>
  <si>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December 201x</t>
  </si>
  <si>
    <t>November 201x</t>
  </si>
  <si>
    <t>October 201x</t>
  </si>
  <si>
    <t>September 201x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</si>
  <si>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</si>
  <si>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</si>
  <si>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</si>
  <si>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</si>
  <si>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</si>
  <si>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</si>
  <si>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</si>
  <si>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</si>
  <si>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</si>
  <si>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</si>
  <si>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</si>
  <si>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</si>
  <si>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</si>
  <si>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January 2014</t>
  </si>
  <si>
    <t>May 2014</t>
  </si>
  <si>
    <t>August 2014</t>
  </si>
  <si>
    <t>July 2014</t>
  </si>
  <si>
    <t>February 2014</t>
  </si>
  <si>
    <t>March 2014</t>
  </si>
  <si>
    <t>April 2014</t>
  </si>
  <si>
    <t>June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</si>
</sst>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#,##0.0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B6D2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DB6D29"/>
        <bgColor indexed="64"/>
      </patternFill>
    </fill>
    <fill>
      <patternFill patternType="solid">
        <fgColor rgb="FF8DB4E3"/>
        <bgColor indexed="64"/>
      </patternFill>
    </fill>
  </fills>
  <borders count="16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600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6" xfId="0" applyNumberFormat="1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5" fontId="0" fillId="24" borderId="139" xfId="0" applyNumberFormat="1" applyFill="1" applyBorder="1" applyAlignment="1">
      <alignment horizontal="center"/>
    </xf>
    <xf numFmtId="165" fontId="0" fillId="24" borderId="140" xfId="0" applyNumberFormat="1" applyFill="1" applyBorder="1" applyAlignment="1">
      <alignment horizontal="center"/>
    </xf>
    <xf numFmtId="165" fontId="0" fillId="24" borderId="141" xfId="0" applyNumberFormat="1" applyFill="1" applyBorder="1" applyAlignment="1">
      <alignment horizontal="center"/>
    </xf>
    <xf numFmtId="165" fontId="0" fillId="24" borderId="142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4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5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6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167" fontId="0" fillId="0" borderId="95" xfId="0" applyNumberFormat="1" applyFill="1" applyBorder="1"/>
    <xf numFmtId="167" fontId="0" fillId="0" borderId="95" xfId="0" applyNumberFormat="1" applyFill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50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5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165" fontId="0" fillId="24" borderId="143" xfId="0" applyNumberFormat="1" applyFill="1" applyBorder="1" applyAlignment="1">
      <alignment horizontal="center"/>
    </xf>
    <xf numFmtId="0" fontId="0" fillId="0" borderId="156" xfId="0" applyBorder="1" applyAlignment="1">
      <alignment horizontal="center" vertical="center" wrapText="1"/>
    </xf>
    <xf numFmtId="165" fontId="0" fillId="0" borderId="157" xfId="0" applyNumberFormat="1" applyBorder="1" applyAlignment="1">
      <alignment horizontal="center"/>
    </xf>
    <xf numFmtId="165" fontId="0" fillId="0" borderId="158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61" xfId="0" applyNumberFormat="1" applyBorder="1" applyAlignment="1">
      <alignment horizontal="center"/>
    </xf>
    <xf numFmtId="0" fontId="0" fillId="0" borderId="150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6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2" xfId="0" applyNumberFormat="1" applyFill="1" applyBorder="1" applyAlignment="1">
      <alignment horizontal="center"/>
    </xf>
    <xf numFmtId="0" fontId="0" fillId="27" borderId="150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3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171" fontId="0" fillId="27" borderId="165" xfId="0" applyNumberFormat="1" applyFill="1" applyBorder="1" applyAlignment="1">
      <alignment horizontal="center"/>
    </xf>
    <xf numFmtId="171" fontId="0" fillId="27" borderId="166" xfId="0" applyNumberFormat="1" applyFill="1" applyBorder="1" applyAlignment="1">
      <alignment horizontal="center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2" fontId="0" fillId="0" borderId="160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Fill="1" applyBorder="1" applyAlignment="1" applyProtection="1">
      <alignment horizontal="center" vertical="center"/>
      <protection locked="0"/>
    </xf>
    <xf numFmtId="2" fontId="0" fillId="0" borderId="149" xfId="0" applyNumberFormat="1" applyBorder="1" applyAlignment="1" applyProtection="1">
      <alignment horizontal="center" vertical="center"/>
      <protection locked="0"/>
    </xf>
    <xf numFmtId="2" fontId="0" fillId="0" borderId="76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14" fontId="0" fillId="0" borderId="166" xfId="0" applyNumberFormat="1" applyBorder="1" applyAlignment="1">
      <alignment horizontal="right" vertical="center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Fill="1" applyBorder="1" applyAlignment="1" applyProtection="1">
      <alignment horizontal="center" vertical="center"/>
      <protection locked="0"/>
    </xf>
    <xf numFmtId="165" fontId="0" fillId="0" borderId="0" xfId="0" applyNumberFormat="1" applyBorder="1"/>
    <xf numFmtId="0" fontId="19" fillId="3" borderId="0" xfId="0" applyFont="1" applyFill="1"/>
    <xf numFmtId="0" fontId="1" fillId="28" borderId="1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36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8" borderId="18" xfId="0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6" fillId="0" borderId="155" xfId="0" applyFont="1" applyBorder="1" applyAlignment="1">
      <alignment horizontal="center" vertical="center" textRotation="75"/>
    </xf>
    <xf numFmtId="0" fontId="16" fillId="0" borderId="160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4" xfId="0" applyBorder="1" applyAlignment="1"/>
    <xf numFmtId="0" fontId="16" fillId="0" borderId="152" xfId="0" applyFont="1" applyBorder="1" applyAlignment="1">
      <alignment horizontal="center" vertical="center" textRotation="75"/>
    </xf>
    <xf numFmtId="0" fontId="16" fillId="0" borderId="153" xfId="0" applyFont="1" applyBorder="1" applyAlignment="1">
      <alignment horizontal="center" vertical="center" textRotation="75"/>
    </xf>
    <xf numFmtId="0" fontId="0" fillId="0" borderId="154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165" fontId="0" fillId="22" borderId="30" xfId="0" applyNumberFormat="1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7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6" xfId="0" applyFont="1" applyFill="1" applyBorder="1" applyAlignment="1">
      <alignment horizontal="center" vertical="center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4" fillId="13" borderId="134" xfId="0" applyFont="1" applyFill="1" applyBorder="1" applyAlignment="1">
      <alignment horizontal="center" vertical="center"/>
    </xf>
    <xf numFmtId="1" fontId="14" fillId="0" borderId="86" xfId="0" applyNumberFormat="1" applyFont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7" xfId="0" applyBorder="1" applyAlignment="1">
      <alignment vertical="center"/>
    </xf>
    <xf numFmtId="165" fontId="10" fillId="0" borderId="66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0" fontId="4" fillId="0" borderId="95" xfId="0" applyFont="1" applyFill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49" fontId="11" fillId="0" borderId="55" xfId="0" applyNumberFormat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148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22" borderId="14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6D29"/>
      <color rgb="FF8DB4E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</xdr:row>
          <xdr:rowOff>28575</xdr:rowOff>
        </xdr:from>
        <xdr:to>
          <xdr:col>10</xdr:col>
          <xdr:colOff>600075</xdr:colOff>
          <xdr:row>45</xdr:row>
          <xdr:rowOff>76200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123825</xdr:colOff>
          <xdr:row>45</xdr:row>
          <xdr:rowOff>38100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447675</xdr:colOff>
          <xdr:row>42</xdr:row>
          <xdr:rowOff>142875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133350</xdr:colOff>
          <xdr:row>0</xdr:row>
          <xdr:rowOff>0</xdr:rowOff>
        </xdr:from>
        <xdr:to>
          <xdr:col>20</xdr:col>
          <xdr:colOff>581025</xdr:colOff>
          <xdr:row>31</xdr:row>
          <xdr:rowOff>104775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ora\Dept\Utilities%20Department\Divisions\Water%20Treatment\Binney\BWPF%20Operating%20Reports\BWPF%20Flow%20Reports%20and%20Query%20Tool\BWPF%20Monthly%20Plant%20Flow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4247.8250349194414</v>
          </cell>
          <cell r="D29">
            <v>372.86861792390187</v>
          </cell>
          <cell r="Q29">
            <v>129.69032460422514</v>
          </cell>
          <cell r="R29">
            <v>4.4826351531982424E-2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4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3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28575</xdr:colOff>
                <xdr:row>1</xdr:row>
                <xdr:rowOff>28575</xdr:rowOff>
              </from>
              <to>
                <xdr:col>10</xdr:col>
                <xdr:colOff>600075</xdr:colOff>
                <xdr:row>45</xdr:row>
                <xdr:rowOff>76200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123825</xdr:colOff>
                <xdr:row>45</xdr:row>
                <xdr:rowOff>38100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1"/>
  <sheetViews>
    <sheetView topLeftCell="AH1" zoomScale="60" zoomScaleNormal="60" workbookViewId="0">
      <selection activeCell="AH38" sqref="AH38:AQ38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1" width="15.140625" customWidth="1"/>
    <col min="42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41791</v>
      </c>
      <c r="B8" s="59"/>
      <c r="C8" s="60">
        <v>31.547435820102727</v>
      </c>
      <c r="D8" s="60">
        <v>274.57077811559014</v>
      </c>
      <c r="E8" s="60">
        <v>6.1832942863305398</v>
      </c>
      <c r="F8" s="60">
        <v>0</v>
      </c>
      <c r="G8" s="60">
        <v>585.84</v>
      </c>
      <c r="H8" s="61">
        <v>15.090973749756781</v>
      </c>
      <c r="I8" s="59">
        <v>502.77269191741959</v>
      </c>
      <c r="J8" s="60">
        <v>1056.1635253270465</v>
      </c>
      <c r="K8" s="60">
        <v>39.399409021933891</v>
      </c>
      <c r="L8" s="60">
        <v>0</v>
      </c>
      <c r="M8" s="60">
        <v>0</v>
      </c>
      <c r="N8" s="61">
        <v>0</v>
      </c>
      <c r="O8" s="59">
        <v>0</v>
      </c>
      <c r="P8" s="60">
        <v>0</v>
      </c>
      <c r="Q8" s="62">
        <v>0</v>
      </c>
      <c r="R8" s="63">
        <v>0</v>
      </c>
      <c r="S8" s="60">
        <v>0</v>
      </c>
      <c r="T8" s="64">
        <v>0</v>
      </c>
      <c r="U8" s="65">
        <v>432.16911968078068</v>
      </c>
      <c r="V8" s="62">
        <v>44.962725666304692</v>
      </c>
      <c r="W8" s="62">
        <v>38.251267575639169</v>
      </c>
      <c r="X8" s="62">
        <v>3.9796486423237747</v>
      </c>
      <c r="Y8" s="66">
        <v>310.8821760841451</v>
      </c>
      <c r="Z8" s="66">
        <v>32.344074023937893</v>
      </c>
      <c r="AA8" s="67">
        <v>0</v>
      </c>
      <c r="AB8" s="68">
        <v>49.785025593970488</v>
      </c>
      <c r="AC8" s="69">
        <v>0</v>
      </c>
      <c r="AD8" s="69">
        <v>19.694112455844873</v>
      </c>
      <c r="AE8" s="68">
        <v>17.644169942241003</v>
      </c>
      <c r="AF8" s="68">
        <v>1.8356933353050076</v>
      </c>
      <c r="AG8" s="68">
        <v>0.90576456779237413</v>
      </c>
      <c r="AH8" s="69">
        <v>180.47561259269713</v>
      </c>
      <c r="AI8" s="69">
        <v>629.351307074229</v>
      </c>
      <c r="AJ8" s="69">
        <v>3106.1745263417556</v>
      </c>
      <c r="AK8" s="69">
        <v>581.3551870981853</v>
      </c>
      <c r="AL8" s="69">
        <v>2042.4709205627441</v>
      </c>
      <c r="AM8" s="69">
        <v>2080.4615347544359</v>
      </c>
      <c r="AN8" s="69">
        <v>631.74053691228244</v>
      </c>
      <c r="AO8" s="69">
        <v>2331.1805014292404</v>
      </c>
      <c r="AP8" s="69">
        <v>300.49334572156272</v>
      </c>
      <c r="AQ8" s="69">
        <v>888.41768277486142</v>
      </c>
    </row>
    <row r="9" spans="1:47" x14ac:dyDescent="0.25">
      <c r="A9" s="11">
        <v>41792</v>
      </c>
      <c r="B9" s="59"/>
      <c r="C9" s="60">
        <v>31.146174917618367</v>
      </c>
      <c r="D9" s="60">
        <v>272.7160208225248</v>
      </c>
      <c r="E9" s="60">
        <v>6.1933340157071832</v>
      </c>
      <c r="F9" s="60">
        <v>0</v>
      </c>
      <c r="G9" s="60">
        <v>540</v>
      </c>
      <c r="H9" s="61">
        <v>15.103530089060445</v>
      </c>
      <c r="I9" s="59">
        <v>533.7986505508419</v>
      </c>
      <c r="J9" s="60">
        <v>1121.4058128356949</v>
      </c>
      <c r="K9" s="60">
        <v>41.891381253798805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0">
        <v>0</v>
      </c>
      <c r="R9" s="63">
        <v>0</v>
      </c>
      <c r="S9" s="60">
        <v>0</v>
      </c>
      <c r="T9" s="64">
        <v>0</v>
      </c>
      <c r="U9" s="65">
        <v>479.79675230190111</v>
      </c>
      <c r="V9" s="62">
        <v>50.508553200245672</v>
      </c>
      <c r="W9" s="62">
        <v>41.147967223137229</v>
      </c>
      <c r="X9" s="62">
        <v>4.3316764475805662</v>
      </c>
      <c r="Y9" s="66">
        <v>333.992702123512</v>
      </c>
      <c r="Z9" s="66">
        <v>35.159654755404581</v>
      </c>
      <c r="AA9" s="67">
        <v>0</v>
      </c>
      <c r="AB9" s="68">
        <v>49.783382640945298</v>
      </c>
      <c r="AC9" s="69">
        <v>0</v>
      </c>
      <c r="AD9" s="69">
        <v>21.216463140646582</v>
      </c>
      <c r="AE9" s="68">
        <v>18.998736746563342</v>
      </c>
      <c r="AF9" s="68">
        <v>2.0000108402097956</v>
      </c>
      <c r="AG9" s="68">
        <v>0.90475570831331009</v>
      </c>
      <c r="AH9" s="69">
        <v>178.79270987510682</v>
      </c>
      <c r="AI9" s="69">
        <v>700.87369820276888</v>
      </c>
      <c r="AJ9" s="69">
        <v>3188.0331881205243</v>
      </c>
      <c r="AK9" s="69">
        <v>590.1353554725647</v>
      </c>
      <c r="AL9" s="69">
        <v>2149.859401194255</v>
      </c>
      <c r="AM9" s="69">
        <v>2086.6496289571128</v>
      </c>
      <c r="AN9" s="69">
        <v>636.34459975560503</v>
      </c>
      <c r="AO9" s="69">
        <v>2497.6420090993247</v>
      </c>
      <c r="AP9" s="69">
        <v>303.03038136164349</v>
      </c>
      <c r="AQ9" s="69">
        <v>875.47892201741536</v>
      </c>
    </row>
    <row r="10" spans="1:47" x14ac:dyDescent="0.25">
      <c r="A10" s="11">
        <v>41793</v>
      </c>
      <c r="B10" s="59"/>
      <c r="C10" s="60">
        <v>31.081040402253493</v>
      </c>
      <c r="D10" s="60">
        <v>273.03724284172046</v>
      </c>
      <c r="E10" s="60">
        <v>6.1968512361248411</v>
      </c>
      <c r="F10" s="60">
        <v>0</v>
      </c>
      <c r="G10" s="60">
        <v>540</v>
      </c>
      <c r="H10" s="61">
        <v>15.071889782945318</v>
      </c>
      <c r="I10" s="59">
        <v>603.55384842554588</v>
      </c>
      <c r="J10" s="60">
        <v>1267.065310223895</v>
      </c>
      <c r="K10" s="60">
        <v>47.370442175865122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530.20088532552904</v>
      </c>
      <c r="V10" s="62">
        <v>50.244278846326992</v>
      </c>
      <c r="W10" s="62">
        <v>45.976704506508888</v>
      </c>
      <c r="X10" s="62">
        <v>4.3569643612380862</v>
      </c>
      <c r="Y10" s="66">
        <v>367.16106012527575</v>
      </c>
      <c r="Z10" s="66">
        <v>34.793873788273608</v>
      </c>
      <c r="AA10" s="67">
        <v>0</v>
      </c>
      <c r="AB10" s="68">
        <v>59.977973802884584</v>
      </c>
      <c r="AC10" s="69">
        <v>0</v>
      </c>
      <c r="AD10" s="69">
        <v>23.088073632452218</v>
      </c>
      <c r="AE10" s="68">
        <v>20.857179532868312</v>
      </c>
      <c r="AF10" s="68">
        <v>1.9765224340467196</v>
      </c>
      <c r="AG10" s="68">
        <v>0.91343837118875393</v>
      </c>
      <c r="AH10" s="69">
        <v>173.10385894775391</v>
      </c>
      <c r="AI10" s="69">
        <v>637.96132087707508</v>
      </c>
      <c r="AJ10" s="69">
        <v>3336.1075524648022</v>
      </c>
      <c r="AK10" s="69">
        <v>589.64910984039307</v>
      </c>
      <c r="AL10" s="69">
        <v>2164.1410371144611</v>
      </c>
      <c r="AM10" s="69">
        <v>2122.9415388743082</v>
      </c>
      <c r="AN10" s="69">
        <v>664.94573221206667</v>
      </c>
      <c r="AO10" s="69">
        <v>2891.6209645589197</v>
      </c>
      <c r="AP10" s="69">
        <v>314.6370700200398</v>
      </c>
      <c r="AQ10" s="69">
        <v>1025.2268903096517</v>
      </c>
    </row>
    <row r="11" spans="1:47" x14ac:dyDescent="0.25">
      <c r="A11" s="11">
        <v>41794</v>
      </c>
      <c r="B11" s="59"/>
      <c r="C11" s="60">
        <v>27.253717921177529</v>
      </c>
      <c r="D11" s="60">
        <v>223.01840078433335</v>
      </c>
      <c r="E11" s="60">
        <v>5.0332938457528762</v>
      </c>
      <c r="F11" s="60">
        <v>0</v>
      </c>
      <c r="G11" s="60">
        <v>585.84</v>
      </c>
      <c r="H11" s="61">
        <v>12.006402538220081</v>
      </c>
      <c r="I11" s="59">
        <v>645.76812343597294</v>
      </c>
      <c r="J11" s="60">
        <v>1356.9695512771607</v>
      </c>
      <c r="K11" s="60">
        <v>50.617298303047825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561.83333530034486</v>
      </c>
      <c r="V11" s="62">
        <v>31.846009512683292</v>
      </c>
      <c r="W11" s="62">
        <v>49.571733788882504</v>
      </c>
      <c r="X11" s="62">
        <v>2.8098402259400204</v>
      </c>
      <c r="Y11" s="66">
        <v>392.96188885859027</v>
      </c>
      <c r="Z11" s="66">
        <v>22.273986366477853</v>
      </c>
      <c r="AA11" s="67">
        <v>0</v>
      </c>
      <c r="AB11" s="68">
        <v>67.782296207215964</v>
      </c>
      <c r="AC11" s="69">
        <v>0</v>
      </c>
      <c r="AD11" s="69">
        <v>23.853439635700671</v>
      </c>
      <c r="AE11" s="68">
        <v>22.145709800837032</v>
      </c>
      <c r="AF11" s="68">
        <v>1.255269918445773</v>
      </c>
      <c r="AG11" s="68">
        <v>0.94635823228326599</v>
      </c>
      <c r="AH11" s="69">
        <v>172.80730551083883</v>
      </c>
      <c r="AI11" s="69">
        <v>695.8217830340069</v>
      </c>
      <c r="AJ11" s="69">
        <v>3225.1217751820882</v>
      </c>
      <c r="AK11" s="69">
        <v>573.35070091883335</v>
      </c>
      <c r="AL11" s="69">
        <v>1841.2740849177044</v>
      </c>
      <c r="AM11" s="69">
        <v>2100.5899494171144</v>
      </c>
      <c r="AN11" s="69">
        <v>644.6817264874777</v>
      </c>
      <c r="AO11" s="69">
        <v>3051.369382603963</v>
      </c>
      <c r="AP11" s="69">
        <v>312.63691182136529</v>
      </c>
      <c r="AQ11" s="69">
        <v>923.20603450139379</v>
      </c>
    </row>
    <row r="12" spans="1:47" x14ac:dyDescent="0.25">
      <c r="A12" s="11">
        <v>41795</v>
      </c>
      <c r="B12" s="59"/>
      <c r="C12" s="60">
        <v>31.906002054611772</v>
      </c>
      <c r="D12" s="60">
        <v>271.76049017906189</v>
      </c>
      <c r="E12" s="60">
        <v>6.0245350052913045</v>
      </c>
      <c r="F12" s="60">
        <v>0</v>
      </c>
      <c r="G12" s="60">
        <v>585.84</v>
      </c>
      <c r="H12" s="61">
        <v>15.062686825791976</v>
      </c>
      <c r="I12" s="59">
        <v>556.92091372807693</v>
      </c>
      <c r="J12" s="60">
        <v>1078.8671088854471</v>
      </c>
      <c r="K12" s="60">
        <v>40.154144989450835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447.38740746098171</v>
      </c>
      <c r="V12" s="62">
        <v>49.188605754398594</v>
      </c>
      <c r="W12" s="62">
        <v>39.882055421424276</v>
      </c>
      <c r="X12" s="62">
        <v>4.3848858239726036</v>
      </c>
      <c r="Y12" s="66">
        <v>323.3654771768841</v>
      </c>
      <c r="Z12" s="66">
        <v>35.552849065882434</v>
      </c>
      <c r="AA12" s="67">
        <v>0</v>
      </c>
      <c r="AB12" s="68">
        <v>54.835888714260363</v>
      </c>
      <c r="AC12" s="69">
        <v>0</v>
      </c>
      <c r="AD12" s="69">
        <v>20.612135460972826</v>
      </c>
      <c r="AE12" s="68">
        <v>18.193232776297666</v>
      </c>
      <c r="AF12" s="68">
        <v>2.0002792646982503</v>
      </c>
      <c r="AG12" s="68">
        <v>0.90094445876292462</v>
      </c>
      <c r="AH12" s="69">
        <v>189.58954007625582</v>
      </c>
      <c r="AI12" s="69">
        <v>805.4011891365052</v>
      </c>
      <c r="AJ12" s="69">
        <v>3256.9837608337398</v>
      </c>
      <c r="AK12" s="69">
        <v>548.33878294626868</v>
      </c>
      <c r="AL12" s="69">
        <v>1918.4096571604409</v>
      </c>
      <c r="AM12" s="69">
        <v>2069.2725744883223</v>
      </c>
      <c r="AN12" s="69">
        <v>619.60668967564914</v>
      </c>
      <c r="AO12" s="69">
        <v>2733.346068318685</v>
      </c>
      <c r="AP12" s="69">
        <v>300.68169652620952</v>
      </c>
      <c r="AQ12" s="69">
        <v>858.83034833272279</v>
      </c>
    </row>
    <row r="13" spans="1:47" x14ac:dyDescent="0.25">
      <c r="A13" s="11">
        <v>41796</v>
      </c>
      <c r="B13" s="59"/>
      <c r="C13" s="60">
        <v>31.411708742380064</v>
      </c>
      <c r="D13" s="60">
        <v>271.79554738998371</v>
      </c>
      <c r="E13" s="60">
        <v>6.0043488070368847</v>
      </c>
      <c r="F13" s="60">
        <v>0</v>
      </c>
      <c r="G13" s="60">
        <v>540</v>
      </c>
      <c r="H13" s="61">
        <v>14.975952357053757</v>
      </c>
      <c r="I13" s="59">
        <v>346.6424582481381</v>
      </c>
      <c r="J13" s="60">
        <v>702.11957168579113</v>
      </c>
      <c r="K13" s="60">
        <v>26.246990518768616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290.88015048691312</v>
      </c>
      <c r="V13" s="62">
        <v>49.552116712710109</v>
      </c>
      <c r="W13" s="62">
        <v>24.783440501345432</v>
      </c>
      <c r="X13" s="62">
        <v>4.2219172886478109</v>
      </c>
      <c r="Y13" s="66">
        <v>204.50027973527909</v>
      </c>
      <c r="Z13" s="66">
        <v>34.837102883306997</v>
      </c>
      <c r="AA13" s="67">
        <v>0</v>
      </c>
      <c r="AB13" s="68">
        <v>34.157224635282653</v>
      </c>
      <c r="AC13" s="69">
        <v>0</v>
      </c>
      <c r="AD13" s="69">
        <v>13.844185273183731</v>
      </c>
      <c r="AE13" s="68">
        <v>11.618858993676676</v>
      </c>
      <c r="AF13" s="68">
        <v>1.9792999142754875</v>
      </c>
      <c r="AG13" s="68">
        <v>0.85444353697631825</v>
      </c>
      <c r="AH13" s="69">
        <v>190.37255646387737</v>
      </c>
      <c r="AI13" s="69">
        <v>807.73804709116621</v>
      </c>
      <c r="AJ13" s="69">
        <v>3221.1590980529786</v>
      </c>
      <c r="AK13" s="69">
        <v>525.97936592102042</v>
      </c>
      <c r="AL13" s="69">
        <v>1888.631383514404</v>
      </c>
      <c r="AM13" s="69">
        <v>2107.4358923594159</v>
      </c>
      <c r="AN13" s="69">
        <v>593.01188869476323</v>
      </c>
      <c r="AO13" s="69">
        <v>1699.2383937835693</v>
      </c>
      <c r="AP13" s="69">
        <v>301.30603768030801</v>
      </c>
      <c r="AQ13" s="69">
        <v>886.92014706929524</v>
      </c>
    </row>
    <row r="14" spans="1:47" x14ac:dyDescent="0.25">
      <c r="A14" s="11">
        <v>41797</v>
      </c>
      <c r="B14" s="59"/>
      <c r="C14" s="60">
        <v>31.729146043459419</v>
      </c>
      <c r="D14" s="60">
        <v>271.84483976364146</v>
      </c>
      <c r="E14" s="60">
        <v>5.9996936197082125</v>
      </c>
      <c r="F14" s="60">
        <v>0</v>
      </c>
      <c r="G14" s="60">
        <v>540</v>
      </c>
      <c r="H14" s="61">
        <v>15.002456257740636</v>
      </c>
      <c r="I14" s="59">
        <v>503.03962392807034</v>
      </c>
      <c r="J14" s="60">
        <v>1069.4458358764637</v>
      </c>
      <c r="K14" s="60">
        <v>39.731367653608373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456.35414760484161</v>
      </c>
      <c r="V14" s="62">
        <v>50.724779901497946</v>
      </c>
      <c r="W14" s="62">
        <v>40.862371304130441</v>
      </c>
      <c r="X14" s="62">
        <v>4.5419435794195726</v>
      </c>
      <c r="Y14" s="66">
        <v>315.90616365324769</v>
      </c>
      <c r="Z14" s="66">
        <v>35.113673678524435</v>
      </c>
      <c r="AA14" s="67">
        <v>0</v>
      </c>
      <c r="AB14" s="68">
        <v>49.513358063168546</v>
      </c>
      <c r="AC14" s="69">
        <v>0</v>
      </c>
      <c r="AD14" s="69">
        <v>20.411069953441618</v>
      </c>
      <c r="AE14" s="68">
        <v>17.993501353934356</v>
      </c>
      <c r="AF14" s="68">
        <v>2.0000177507446453</v>
      </c>
      <c r="AG14" s="68">
        <v>0.8999666971945629</v>
      </c>
      <c r="AH14" s="69">
        <v>192.2271316687266</v>
      </c>
      <c r="AI14" s="69">
        <v>818.22609745661396</v>
      </c>
      <c r="AJ14" s="69">
        <v>3086.5352273305257</v>
      </c>
      <c r="AK14" s="69">
        <v>542.41458536783864</v>
      </c>
      <c r="AL14" s="69">
        <v>1884.8961573282875</v>
      </c>
      <c r="AM14" s="69">
        <v>2051.3253702799479</v>
      </c>
      <c r="AN14" s="69">
        <v>606.79386920928971</v>
      </c>
      <c r="AO14" s="69">
        <v>2406.1150625864661</v>
      </c>
      <c r="AP14" s="69">
        <v>304.11153705914819</v>
      </c>
      <c r="AQ14" s="69">
        <v>794.20427538553872</v>
      </c>
    </row>
    <row r="15" spans="1:47" x14ac:dyDescent="0.25">
      <c r="A15" s="11">
        <v>41798</v>
      </c>
      <c r="B15" s="59"/>
      <c r="C15" s="60">
        <v>31.44912665088972</v>
      </c>
      <c r="D15" s="60">
        <v>272.1209501425422</v>
      </c>
      <c r="E15" s="60">
        <v>5.9916089003284787</v>
      </c>
      <c r="F15" s="60">
        <v>0</v>
      </c>
      <c r="G15" s="60">
        <v>585.84</v>
      </c>
      <c r="H15" s="61">
        <v>14.997587005297307</v>
      </c>
      <c r="I15" s="59">
        <v>452.80779190063464</v>
      </c>
      <c r="J15" s="60">
        <v>962.23570575714132</v>
      </c>
      <c r="K15" s="60">
        <v>35.994161003828133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395.31796929947387</v>
      </c>
      <c r="V15" s="62">
        <v>44.300597573862746</v>
      </c>
      <c r="W15" s="62">
        <v>35.618625270649972</v>
      </c>
      <c r="X15" s="62">
        <v>3.9915372100222473</v>
      </c>
      <c r="Y15" s="66">
        <v>280.33299717665943</v>
      </c>
      <c r="Z15" s="66">
        <v>31.415013379242613</v>
      </c>
      <c r="AA15" s="67">
        <v>0</v>
      </c>
      <c r="AB15" s="68">
        <v>50.441627176603284</v>
      </c>
      <c r="AC15" s="69">
        <v>0</v>
      </c>
      <c r="AD15" s="69">
        <v>18.117817423078748</v>
      </c>
      <c r="AE15" s="68">
        <v>15.940320966903421</v>
      </c>
      <c r="AF15" s="68">
        <v>1.7863234135406529</v>
      </c>
      <c r="AG15" s="68">
        <v>0.89922946637823264</v>
      </c>
      <c r="AH15" s="69">
        <v>199.29958837032319</v>
      </c>
      <c r="AI15" s="69">
        <v>829.21058247884127</v>
      </c>
      <c r="AJ15" s="69">
        <v>3053.6738435109455</v>
      </c>
      <c r="AK15" s="69">
        <v>534.35346438090005</v>
      </c>
      <c r="AL15" s="69">
        <v>1863.9813134511312</v>
      </c>
      <c r="AM15" s="69">
        <v>2126.0523667653401</v>
      </c>
      <c r="AN15" s="69">
        <v>597.33123639424628</v>
      </c>
      <c r="AO15" s="69">
        <v>2155.4944323221844</v>
      </c>
      <c r="AP15" s="69">
        <v>306.99911499023437</v>
      </c>
      <c r="AQ15" s="69">
        <v>700.60140024820964</v>
      </c>
    </row>
    <row r="16" spans="1:47" x14ac:dyDescent="0.25">
      <c r="A16" s="11">
        <v>41799</v>
      </c>
      <c r="B16" s="49"/>
      <c r="C16" s="50">
        <v>31.881505747635654</v>
      </c>
      <c r="D16" s="50">
        <v>271.61112783749917</v>
      </c>
      <c r="E16" s="50">
        <v>6.0319188927610696</v>
      </c>
      <c r="F16" s="50">
        <v>0</v>
      </c>
      <c r="G16" s="50">
        <v>585.84</v>
      </c>
      <c r="H16" s="51">
        <v>14.937891612450237</v>
      </c>
      <c r="I16" s="49">
        <v>429.88093490600619</v>
      </c>
      <c r="J16" s="50">
        <v>899.37768923441581</v>
      </c>
      <c r="K16" s="50">
        <v>33.67477097908656</v>
      </c>
      <c r="L16" s="6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380.07441611821781</v>
      </c>
      <c r="V16" s="66">
        <v>50.307663472473934</v>
      </c>
      <c r="W16" s="62">
        <v>33.948709743854678</v>
      </c>
      <c r="X16" s="62">
        <v>4.4935417715338186</v>
      </c>
      <c r="Y16" s="66">
        <v>265.37243638441453</v>
      </c>
      <c r="Z16" s="66">
        <v>35.125403495575391</v>
      </c>
      <c r="AA16" s="67">
        <v>0</v>
      </c>
      <c r="AB16" s="68">
        <v>44.639161981476946</v>
      </c>
      <c r="AC16" s="69">
        <v>0</v>
      </c>
      <c r="AD16" s="69">
        <v>17.47133475873207</v>
      </c>
      <c r="AE16" s="68">
        <v>15.109104021769987</v>
      </c>
      <c r="AF16" s="68">
        <v>1.9998813081419986</v>
      </c>
      <c r="AG16" s="68">
        <v>0.88310929785850223</v>
      </c>
      <c r="AH16" s="69">
        <v>210.53359255790713</v>
      </c>
      <c r="AI16" s="69">
        <v>829.2175302505492</v>
      </c>
      <c r="AJ16" s="69">
        <v>3035.2058049519856</v>
      </c>
      <c r="AK16" s="69">
        <v>526.84118715922045</v>
      </c>
      <c r="AL16" s="69">
        <v>1963.6154834747317</v>
      </c>
      <c r="AM16" s="69">
        <v>2177.0840658823649</v>
      </c>
      <c r="AN16" s="69">
        <v>668.06779925028502</v>
      </c>
      <c r="AO16" s="69">
        <v>2096.7239501953122</v>
      </c>
      <c r="AP16" s="69">
        <v>302.20177159309384</v>
      </c>
      <c r="AQ16" s="69">
        <v>755.01304054260254</v>
      </c>
    </row>
    <row r="17" spans="1:43" x14ac:dyDescent="0.25">
      <c r="A17" s="11">
        <v>41800</v>
      </c>
      <c r="B17" s="59"/>
      <c r="C17" s="60">
        <v>31.28784706195162</v>
      </c>
      <c r="D17" s="60">
        <v>271.61876339912413</v>
      </c>
      <c r="E17" s="60">
        <v>6.1104183569550639</v>
      </c>
      <c r="F17" s="60">
        <v>0</v>
      </c>
      <c r="G17" s="60">
        <v>585.84</v>
      </c>
      <c r="H17" s="61">
        <v>15.002099548776908</v>
      </c>
      <c r="I17" s="59">
        <v>435.11580874125247</v>
      </c>
      <c r="J17" s="60">
        <v>886.23817513783808</v>
      </c>
      <c r="K17" s="60">
        <v>33.121509140729948</v>
      </c>
      <c r="L17" s="6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369.64959306971599</v>
      </c>
      <c r="V17" s="62">
        <v>49.65667286723459</v>
      </c>
      <c r="W17" s="62">
        <v>34.137709187294377</v>
      </c>
      <c r="X17" s="62">
        <v>4.5858702114966405</v>
      </c>
      <c r="Y17" s="66">
        <v>261.41777092109908</v>
      </c>
      <c r="Z17" s="66">
        <v>35.117411125791349</v>
      </c>
      <c r="AA17" s="67">
        <v>0</v>
      </c>
      <c r="AB17" s="68">
        <v>43.174461987283472</v>
      </c>
      <c r="AC17" s="69">
        <v>0</v>
      </c>
      <c r="AD17" s="69">
        <v>17.244341876771713</v>
      </c>
      <c r="AE17" s="68">
        <v>14.885810524505548</v>
      </c>
      <c r="AF17" s="68">
        <v>1.9996770926773351</v>
      </c>
      <c r="AG17" s="68">
        <v>0.88157421698367544</v>
      </c>
      <c r="AH17" s="69">
        <v>191.63714609146118</v>
      </c>
      <c r="AI17" s="69">
        <v>818.61712764104209</v>
      </c>
      <c r="AJ17" s="69">
        <v>3127.1488638559981</v>
      </c>
      <c r="AK17" s="69">
        <v>539.39264192581174</v>
      </c>
      <c r="AL17" s="69">
        <v>2020.6099850972494</v>
      </c>
      <c r="AM17" s="69">
        <v>2075.5301630655927</v>
      </c>
      <c r="AN17" s="69">
        <v>694.55144173304245</v>
      </c>
      <c r="AO17" s="69">
        <v>2075.4750474294028</v>
      </c>
      <c r="AP17" s="69">
        <v>311.84659778277074</v>
      </c>
      <c r="AQ17" s="69">
        <v>881.73705205917383</v>
      </c>
    </row>
    <row r="18" spans="1:43" x14ac:dyDescent="0.25">
      <c r="A18" s="11">
        <v>41801</v>
      </c>
      <c r="B18" s="59"/>
      <c r="C18" s="60">
        <v>31.378572930891778</v>
      </c>
      <c r="D18" s="60">
        <v>273.00847840309126</v>
      </c>
      <c r="E18" s="60">
        <v>6.103694446384913</v>
      </c>
      <c r="F18" s="60">
        <v>0</v>
      </c>
      <c r="G18" s="60">
        <v>585.84</v>
      </c>
      <c r="H18" s="61">
        <v>15.06120654443898</v>
      </c>
      <c r="I18" s="59">
        <v>443.47782255808505</v>
      </c>
      <c r="J18" s="60">
        <v>859.45657119750945</v>
      </c>
      <c r="K18" s="60">
        <v>31.757736148436869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335.55633342379087</v>
      </c>
      <c r="V18" s="62">
        <v>47.693242848115482</v>
      </c>
      <c r="W18" s="62">
        <v>29.657665175189017</v>
      </c>
      <c r="X18" s="62">
        <v>4.2152988533283979</v>
      </c>
      <c r="Y18" s="66">
        <v>242.99766354851715</v>
      </c>
      <c r="Z18" s="66">
        <v>34.537707755041311</v>
      </c>
      <c r="AA18" s="67">
        <v>0</v>
      </c>
      <c r="AB18" s="68">
        <v>42.660057420200594</v>
      </c>
      <c r="AC18" s="69">
        <v>0</v>
      </c>
      <c r="AD18" s="69">
        <v>16.135703094469175</v>
      </c>
      <c r="AE18" s="68">
        <v>13.839980112761163</v>
      </c>
      <c r="AF18" s="68">
        <v>1.9671019938621388</v>
      </c>
      <c r="AG18" s="68">
        <v>0.87555565406736868</v>
      </c>
      <c r="AH18" s="69">
        <v>186.16761317253111</v>
      </c>
      <c r="AI18" s="69">
        <v>821.06797669728599</v>
      </c>
      <c r="AJ18" s="69">
        <v>3041.369085693359</v>
      </c>
      <c r="AK18" s="69">
        <v>552.70257825851445</v>
      </c>
      <c r="AL18" s="69">
        <v>2000.1646464029948</v>
      </c>
      <c r="AM18" s="69">
        <v>2088.2721621195474</v>
      </c>
      <c r="AN18" s="69">
        <v>716.44652357101438</v>
      </c>
      <c r="AO18" s="69">
        <v>1956.5870068868001</v>
      </c>
      <c r="AP18" s="69">
        <v>315.12771946589152</v>
      </c>
      <c r="AQ18" s="69">
        <v>876.26630674997966</v>
      </c>
    </row>
    <row r="19" spans="1:43" x14ac:dyDescent="0.25">
      <c r="A19" s="11">
        <v>41802</v>
      </c>
      <c r="B19" s="59"/>
      <c r="C19" s="60">
        <v>31.800270829597871</v>
      </c>
      <c r="D19" s="60">
        <v>271.55688778559374</v>
      </c>
      <c r="E19" s="60">
        <v>6.0960251688957143</v>
      </c>
      <c r="F19" s="60">
        <v>0</v>
      </c>
      <c r="G19" s="60">
        <v>540</v>
      </c>
      <c r="H19" s="61">
        <v>14.852690895398432</v>
      </c>
      <c r="I19" s="59">
        <v>622.14491217930902</v>
      </c>
      <c r="J19" s="60">
        <v>1212.3521421432515</v>
      </c>
      <c r="K19" s="60">
        <v>48.880414952834435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518.49769575194898</v>
      </c>
      <c r="V19" s="62">
        <v>49.440215832694832</v>
      </c>
      <c r="W19" s="62">
        <v>45.735553869173806</v>
      </c>
      <c r="X19" s="62">
        <v>4.3610138927243147</v>
      </c>
      <c r="Y19" s="66">
        <v>375.98509679782734</v>
      </c>
      <c r="Z19" s="66">
        <v>35.851238082365903</v>
      </c>
      <c r="AA19" s="67">
        <v>0</v>
      </c>
      <c r="AB19" s="68">
        <v>59.489805526204194</v>
      </c>
      <c r="AC19" s="69">
        <v>0</v>
      </c>
      <c r="AD19" s="69">
        <v>22.958946514791919</v>
      </c>
      <c r="AE19" s="68">
        <v>20.727946161155739</v>
      </c>
      <c r="AF19" s="68">
        <v>1.9764680544815443</v>
      </c>
      <c r="AG19" s="68">
        <v>0.91294785076990514</v>
      </c>
      <c r="AH19" s="69">
        <v>189.94009648958843</v>
      </c>
      <c r="AI19" s="69">
        <v>833.81661987304687</v>
      </c>
      <c r="AJ19" s="69">
        <v>3100.0261067708329</v>
      </c>
      <c r="AK19" s="69">
        <v>558.03242390950527</v>
      </c>
      <c r="AL19" s="69">
        <v>1854.3663387298586</v>
      </c>
      <c r="AM19" s="69">
        <v>2087.3698707580565</v>
      </c>
      <c r="AN19" s="69">
        <v>699.54039169947282</v>
      </c>
      <c r="AO19" s="69">
        <v>2909.1344271341959</v>
      </c>
      <c r="AP19" s="69">
        <v>318.03722464243572</v>
      </c>
      <c r="AQ19" s="69">
        <v>823.06712268193564</v>
      </c>
    </row>
    <row r="20" spans="1:43" x14ac:dyDescent="0.25">
      <c r="A20" s="11">
        <v>41803</v>
      </c>
      <c r="B20" s="59"/>
      <c r="C20" s="60">
        <v>32.175393005212541</v>
      </c>
      <c r="D20" s="60">
        <v>271.3868509610495</v>
      </c>
      <c r="E20" s="60">
        <v>6.0976856425404593</v>
      </c>
      <c r="F20" s="60">
        <v>0</v>
      </c>
      <c r="G20" s="60">
        <v>585.84</v>
      </c>
      <c r="H20" s="61">
        <v>14.17130194604394</v>
      </c>
      <c r="I20" s="59">
        <v>454.06768000920528</v>
      </c>
      <c r="J20" s="60">
        <v>909.35409304300867</v>
      </c>
      <c r="K20" s="60">
        <v>41.431112219890011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424.26524080000559</v>
      </c>
      <c r="V20" s="62">
        <v>49.820763775087691</v>
      </c>
      <c r="W20" s="62">
        <v>37.32302810357551</v>
      </c>
      <c r="X20" s="62">
        <v>4.3827813068375452</v>
      </c>
      <c r="Y20" s="66">
        <v>280.55945149461121</v>
      </c>
      <c r="Z20" s="66">
        <v>32.945631208025688</v>
      </c>
      <c r="AA20" s="67">
        <v>0</v>
      </c>
      <c r="AB20" s="68">
        <v>51.567206764221361</v>
      </c>
      <c r="AC20" s="69">
        <v>0</v>
      </c>
      <c r="AD20" s="69">
        <v>19.246972840362158</v>
      </c>
      <c r="AE20" s="68">
        <v>17.029821190082576</v>
      </c>
      <c r="AF20" s="68">
        <v>1.999783666093524</v>
      </c>
      <c r="AG20" s="68">
        <v>0.89491197104681397</v>
      </c>
      <c r="AH20" s="69">
        <v>184.12376652558643</v>
      </c>
      <c r="AI20" s="69">
        <v>839.35558834075937</v>
      </c>
      <c r="AJ20" s="69">
        <v>3107.0684602101642</v>
      </c>
      <c r="AK20" s="69">
        <v>556.05104659398398</v>
      </c>
      <c r="AL20" s="69">
        <v>1879.8336552937828</v>
      </c>
      <c r="AM20" s="69">
        <v>2094.8694511413573</v>
      </c>
      <c r="AN20" s="69">
        <v>701.56629374821978</v>
      </c>
      <c r="AO20" s="69">
        <v>2736.4393234252934</v>
      </c>
      <c r="AP20" s="69">
        <v>308.39697901407885</v>
      </c>
      <c r="AQ20" s="69">
        <v>902.97884480158473</v>
      </c>
    </row>
    <row r="21" spans="1:43" x14ac:dyDescent="0.25">
      <c r="A21" s="11">
        <v>41804</v>
      </c>
      <c r="B21" s="59"/>
      <c r="C21" s="60">
        <v>31.60061920682557</v>
      </c>
      <c r="D21" s="60">
        <v>272.74554392496736</v>
      </c>
      <c r="E21" s="60">
        <v>6.1024298568566646</v>
      </c>
      <c r="F21" s="60">
        <v>0</v>
      </c>
      <c r="G21" s="60">
        <v>585.84</v>
      </c>
      <c r="H21" s="61">
        <v>13.809829627474134</v>
      </c>
      <c r="I21" s="59">
        <v>440.64852050145487</v>
      </c>
      <c r="J21" s="60">
        <v>882.22440115610664</v>
      </c>
      <c r="K21" s="60">
        <v>40.273913983503924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405.43035273267623</v>
      </c>
      <c r="V21" s="62">
        <v>43.935904341466582</v>
      </c>
      <c r="W21" s="62">
        <v>35.655899019446096</v>
      </c>
      <c r="X21" s="62">
        <v>3.8639785057245311</v>
      </c>
      <c r="Y21" s="66">
        <v>267.35540025065541</v>
      </c>
      <c r="Z21" s="66">
        <v>28.972920284368687</v>
      </c>
      <c r="AA21" s="67">
        <v>0</v>
      </c>
      <c r="AB21" s="68">
        <v>48.949517925579471</v>
      </c>
      <c r="AC21" s="69">
        <v>0</v>
      </c>
      <c r="AD21" s="69">
        <v>18.264798702796302</v>
      </c>
      <c r="AE21" s="68">
        <v>16.290879017478769</v>
      </c>
      <c r="AF21" s="68">
        <v>1.7654191338315794</v>
      </c>
      <c r="AG21" s="68">
        <v>0.90222696152680326</v>
      </c>
      <c r="AH21" s="69">
        <v>184.25134251912434</v>
      </c>
      <c r="AI21" s="69">
        <v>811.05851551691683</v>
      </c>
      <c r="AJ21" s="69">
        <v>3149.0760879516602</v>
      </c>
      <c r="AK21" s="69">
        <v>547.04773581822701</v>
      </c>
      <c r="AL21" s="69">
        <v>1872.0205715179445</v>
      </c>
      <c r="AM21" s="69">
        <v>1998.4354461669921</v>
      </c>
      <c r="AN21" s="69">
        <v>685.67993685404463</v>
      </c>
      <c r="AO21" s="69">
        <v>2589.3342964172366</v>
      </c>
      <c r="AP21" s="69">
        <v>312.59138655662537</v>
      </c>
      <c r="AQ21" s="69">
        <v>860.41547355651846</v>
      </c>
    </row>
    <row r="22" spans="1:43" x14ac:dyDescent="0.25">
      <c r="A22" s="11">
        <v>41805</v>
      </c>
      <c r="B22" s="59"/>
      <c r="C22" s="60">
        <v>30.994187990823978</v>
      </c>
      <c r="D22" s="60">
        <v>271.06203724543229</v>
      </c>
      <c r="E22" s="60">
        <v>6.087098501622684</v>
      </c>
      <c r="F22" s="60">
        <v>0</v>
      </c>
      <c r="G22" s="60">
        <v>585.84</v>
      </c>
      <c r="H22" s="61">
        <v>13.768272002538025</v>
      </c>
      <c r="I22" s="59">
        <v>407.1628875732419</v>
      </c>
      <c r="J22" s="60">
        <v>816.71035798390744</v>
      </c>
      <c r="K22" s="60">
        <v>37.29753411809601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380.26981562271908</v>
      </c>
      <c r="V22" s="62">
        <v>49.74119541616686</v>
      </c>
      <c r="W22" s="62">
        <v>33.68587967330096</v>
      </c>
      <c r="X22" s="62">
        <v>4.4062816841017751</v>
      </c>
      <c r="Y22" s="66">
        <v>250.63569576217381</v>
      </c>
      <c r="Z22" s="66">
        <v>32.784403623405545</v>
      </c>
      <c r="AA22" s="67">
        <v>0</v>
      </c>
      <c r="AB22" s="68">
        <v>45.306816662683033</v>
      </c>
      <c r="AC22" s="69">
        <v>0</v>
      </c>
      <c r="AD22" s="69">
        <v>17.483431547217933</v>
      </c>
      <c r="AE22" s="68">
        <v>15.289177376291196</v>
      </c>
      <c r="AF22" s="68">
        <v>1.9999009345013663</v>
      </c>
      <c r="AG22" s="68">
        <v>0.8843257634356978</v>
      </c>
      <c r="AH22" s="69">
        <v>192.55720788637797</v>
      </c>
      <c r="AI22" s="69">
        <v>797.90203421910599</v>
      </c>
      <c r="AJ22" s="69">
        <v>3241.0489466349281</v>
      </c>
      <c r="AK22" s="69">
        <v>531.42661641438792</v>
      </c>
      <c r="AL22" s="69">
        <v>1846.2336673736575</v>
      </c>
      <c r="AM22" s="69">
        <v>2043.3119522094728</v>
      </c>
      <c r="AN22" s="69">
        <v>669.18932034174588</v>
      </c>
      <c r="AO22" s="69">
        <v>2446.5474156697587</v>
      </c>
      <c r="AP22" s="69">
        <v>311.80441473325084</v>
      </c>
      <c r="AQ22" s="69">
        <v>822.66807572046923</v>
      </c>
    </row>
    <row r="23" spans="1:43" x14ac:dyDescent="0.25">
      <c r="A23" s="11">
        <v>41806</v>
      </c>
      <c r="B23" s="59"/>
      <c r="C23" s="60">
        <v>31.241805007060499</v>
      </c>
      <c r="D23" s="60">
        <v>271.62999599774656</v>
      </c>
      <c r="E23" s="60">
        <v>6.0865829959511828</v>
      </c>
      <c r="F23" s="60">
        <v>0</v>
      </c>
      <c r="G23" s="60">
        <v>540</v>
      </c>
      <c r="H23" s="61">
        <v>13.760210325320527</v>
      </c>
      <c r="I23" s="59">
        <v>506.37784039179496</v>
      </c>
      <c r="J23" s="60">
        <v>982.48521970113086</v>
      </c>
      <c r="K23" s="60">
        <v>44.767087358236303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455.74101616542379</v>
      </c>
      <c r="V23" s="62">
        <v>49.479300806247657</v>
      </c>
      <c r="W23" s="62">
        <v>39.581389314511419</v>
      </c>
      <c r="X23" s="62">
        <v>4.2973078980256414</v>
      </c>
      <c r="Y23" s="66">
        <v>299.78693523178202</v>
      </c>
      <c r="Z23" s="66">
        <v>32.547537790042334</v>
      </c>
      <c r="AA23" s="67">
        <v>0</v>
      </c>
      <c r="AB23" s="68">
        <v>53.340343761443215</v>
      </c>
      <c r="AC23" s="69">
        <v>0</v>
      </c>
      <c r="AD23" s="69">
        <v>20.487878746456598</v>
      </c>
      <c r="AE23" s="68">
        <v>18.290402972295013</v>
      </c>
      <c r="AF23" s="68">
        <v>1.9857689311097182</v>
      </c>
      <c r="AG23" s="68">
        <v>0.90206391321942414</v>
      </c>
      <c r="AH23" s="69">
        <v>188.42316502730051</v>
      </c>
      <c r="AI23" s="69">
        <v>806.12813688913968</v>
      </c>
      <c r="AJ23" s="69">
        <v>3214.6699089050294</v>
      </c>
      <c r="AK23" s="69">
        <v>552.27269245783486</v>
      </c>
      <c r="AL23" s="69">
        <v>1885.6978677113855</v>
      </c>
      <c r="AM23" s="69">
        <v>2108.4374596913658</v>
      </c>
      <c r="AN23" s="69">
        <v>623.60859918594372</v>
      </c>
      <c r="AO23" s="69">
        <v>2673.2473566691083</v>
      </c>
      <c r="AP23" s="69">
        <v>339.28785387674969</v>
      </c>
      <c r="AQ23" s="69">
        <v>942.11640027364092</v>
      </c>
    </row>
    <row r="24" spans="1:43" x14ac:dyDescent="0.25">
      <c r="A24" s="11">
        <v>41807</v>
      </c>
      <c r="B24" s="59"/>
      <c r="C24" s="60">
        <v>31.37518306573234</v>
      </c>
      <c r="D24" s="60">
        <v>271.62431152661662</v>
      </c>
      <c r="E24" s="60">
        <v>6.1018074974417802</v>
      </c>
      <c r="F24" s="60">
        <v>0</v>
      </c>
      <c r="G24" s="60">
        <v>540</v>
      </c>
      <c r="H24" s="61">
        <v>16.086446294188516</v>
      </c>
      <c r="I24" s="59">
        <v>620.74856071471993</v>
      </c>
      <c r="J24" s="60">
        <v>1172.1616198857612</v>
      </c>
      <c r="K24" s="60">
        <v>52.933192861080158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523.44731346472884</v>
      </c>
      <c r="V24" s="62">
        <v>49.682556420186955</v>
      </c>
      <c r="W24" s="62">
        <v>45.473923315351598</v>
      </c>
      <c r="X24" s="62">
        <v>4.316118743275287</v>
      </c>
      <c r="Y24" s="66">
        <v>344.71564632105873</v>
      </c>
      <c r="Z24" s="66">
        <v>32.718392294167778</v>
      </c>
      <c r="AA24" s="67">
        <v>0</v>
      </c>
      <c r="AB24" s="68">
        <v>59.069128049742915</v>
      </c>
      <c r="AC24" s="69">
        <v>0</v>
      </c>
      <c r="AD24" s="69">
        <v>23.173970080746567</v>
      </c>
      <c r="AE24" s="68">
        <v>20.826602183121608</v>
      </c>
      <c r="AF24" s="68">
        <v>1.9767392274016333</v>
      </c>
      <c r="AG24" s="68">
        <v>0.91331361523669463</v>
      </c>
      <c r="AH24" s="69">
        <v>188.12407378355661</v>
      </c>
      <c r="AI24" s="69">
        <v>814.03801873524981</v>
      </c>
      <c r="AJ24" s="69">
        <v>3267.4661437988279</v>
      </c>
      <c r="AK24" s="69">
        <v>562.3173680305481</v>
      </c>
      <c r="AL24" s="69">
        <v>1886.1269776662189</v>
      </c>
      <c r="AM24" s="69">
        <v>2141.9912453969323</v>
      </c>
      <c r="AN24" s="69">
        <v>592.07466481526706</v>
      </c>
      <c r="AO24" s="69">
        <v>3005.0885608673093</v>
      </c>
      <c r="AP24" s="69">
        <v>340.14212754567473</v>
      </c>
      <c r="AQ24" s="69">
        <v>1002.7235004107157</v>
      </c>
    </row>
    <row r="25" spans="1:43" x14ac:dyDescent="0.25">
      <c r="A25" s="11">
        <v>41808</v>
      </c>
      <c r="B25" s="59"/>
      <c r="C25" s="60">
        <v>31.407536367575265</v>
      </c>
      <c r="D25" s="60">
        <v>271.22863891919417</v>
      </c>
      <c r="E25" s="60">
        <v>6.097671429316212</v>
      </c>
      <c r="F25" s="60">
        <v>0</v>
      </c>
      <c r="G25" s="60">
        <v>585.84</v>
      </c>
      <c r="H25" s="61">
        <v>19.744193404912934</v>
      </c>
      <c r="I25" s="59">
        <v>591.29561109542999</v>
      </c>
      <c r="J25" s="60">
        <v>1132.3403688430797</v>
      </c>
      <c r="K25" s="60">
        <v>51.545174352328075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525.20727202284638</v>
      </c>
      <c r="V25" s="62">
        <v>50.021345306221342</v>
      </c>
      <c r="W25" s="62">
        <v>43.506555091783682</v>
      </c>
      <c r="X25" s="62">
        <v>4.1436143999841413</v>
      </c>
      <c r="Y25" s="66">
        <v>347.00303973177171</v>
      </c>
      <c r="Z25" s="66">
        <v>33.048969040124696</v>
      </c>
      <c r="AA25" s="67">
        <v>0</v>
      </c>
      <c r="AB25" s="68">
        <v>62.354076984194492</v>
      </c>
      <c r="AC25" s="69">
        <v>0</v>
      </c>
      <c r="AD25" s="69">
        <v>23.319858435789701</v>
      </c>
      <c r="AE25" s="68">
        <v>20.864835637530799</v>
      </c>
      <c r="AF25" s="68">
        <v>1.9871909696960217</v>
      </c>
      <c r="AG25" s="68">
        <v>0.91304093051127544</v>
      </c>
      <c r="AH25" s="69">
        <v>190.09875992933908</v>
      </c>
      <c r="AI25" s="69">
        <v>811.6505893389384</v>
      </c>
      <c r="AJ25" s="69">
        <v>3229.9375601450606</v>
      </c>
      <c r="AK25" s="69">
        <v>564.88445428212481</v>
      </c>
      <c r="AL25" s="69">
        <v>1962.5126609802246</v>
      </c>
      <c r="AM25" s="69">
        <v>2150.0279557545978</v>
      </c>
      <c r="AN25" s="69">
        <v>599.75852993329374</v>
      </c>
      <c r="AO25" s="69">
        <v>2817.6885387420652</v>
      </c>
      <c r="AP25" s="69">
        <v>331.24430228869119</v>
      </c>
      <c r="AQ25" s="69">
        <v>918.414122136434</v>
      </c>
    </row>
    <row r="26" spans="1:43" x14ac:dyDescent="0.25">
      <c r="A26" s="11">
        <v>41809</v>
      </c>
      <c r="B26" s="59"/>
      <c r="C26" s="60">
        <v>31.251653979222059</v>
      </c>
      <c r="D26" s="60">
        <v>271.38849291801415</v>
      </c>
      <c r="E26" s="60">
        <v>6.0890764395395927</v>
      </c>
      <c r="F26" s="60">
        <v>0</v>
      </c>
      <c r="G26" s="60">
        <v>585.84</v>
      </c>
      <c r="H26" s="61">
        <v>22.07576253116132</v>
      </c>
      <c r="I26" s="59">
        <v>516.0185754458106</v>
      </c>
      <c r="J26" s="60">
        <v>1057.2589529037464</v>
      </c>
      <c r="K26" s="60">
        <v>48.110604669650421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472.9397860062499</v>
      </c>
      <c r="V26" s="62">
        <v>49.039942480552817</v>
      </c>
      <c r="W26" s="62">
        <v>44.966722524065389</v>
      </c>
      <c r="X26" s="62">
        <v>4.6626770497375833</v>
      </c>
      <c r="Y26" s="62">
        <v>316.55130653697859</v>
      </c>
      <c r="Z26" s="62">
        <v>32.82375119210657</v>
      </c>
      <c r="AA26" s="72">
        <v>0</v>
      </c>
      <c r="AB26" s="69">
        <v>63.386907569567711</v>
      </c>
      <c r="AC26" s="69">
        <v>0</v>
      </c>
      <c r="AD26" s="69">
        <v>21.719531672530703</v>
      </c>
      <c r="AE26" s="69">
        <v>19.287337186417084</v>
      </c>
      <c r="AF26" s="69">
        <v>1.9999372736478149</v>
      </c>
      <c r="AG26" s="69">
        <v>0.9060501015571667</v>
      </c>
      <c r="AH26" s="69">
        <v>190.6135921080907</v>
      </c>
      <c r="AI26" s="69">
        <v>813.23594331741333</v>
      </c>
      <c r="AJ26" s="69">
        <v>3247.0890445709224</v>
      </c>
      <c r="AK26" s="69">
        <v>589.90321327845277</v>
      </c>
      <c r="AL26" s="69">
        <v>1853.4298643747964</v>
      </c>
      <c r="AM26" s="69">
        <v>2067.1552519480388</v>
      </c>
      <c r="AN26" s="69">
        <v>607.09648067156479</v>
      </c>
      <c r="AO26" s="69">
        <v>2944.841282145182</v>
      </c>
      <c r="AP26" s="69">
        <v>318.43936999638873</v>
      </c>
      <c r="AQ26" s="69">
        <v>880.46847422917665</v>
      </c>
    </row>
    <row r="27" spans="1:43" x14ac:dyDescent="0.25">
      <c r="A27" s="11">
        <v>41810</v>
      </c>
      <c r="B27" s="59"/>
      <c r="C27" s="60">
        <v>31.183843066294774</v>
      </c>
      <c r="D27" s="60">
        <v>272.41265358924829</v>
      </c>
      <c r="E27" s="60">
        <v>6.0920067528883681</v>
      </c>
      <c r="F27" s="60">
        <v>0</v>
      </c>
      <c r="G27" s="60">
        <v>585.84</v>
      </c>
      <c r="H27" s="61">
        <v>24.84819067617256</v>
      </c>
      <c r="I27" s="59">
        <v>466.75752398172926</v>
      </c>
      <c r="J27" s="60">
        <v>1003.4345555623371</v>
      </c>
      <c r="K27" s="60">
        <v>45.739896114667488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442.51197842222075</v>
      </c>
      <c r="V27" s="62">
        <v>43.871188357194676</v>
      </c>
      <c r="W27" s="62">
        <v>40.655307255764754</v>
      </c>
      <c r="X27" s="62">
        <v>4.0306177669962837</v>
      </c>
      <c r="Y27" s="66">
        <v>294.43946437180352</v>
      </c>
      <c r="Z27" s="66">
        <v>29.191095001098066</v>
      </c>
      <c r="AA27" s="67">
        <v>0</v>
      </c>
      <c r="AB27" s="68">
        <v>54.999034807415732</v>
      </c>
      <c r="AC27" s="69">
        <v>0</v>
      </c>
      <c r="AD27" s="69">
        <v>19.888557206922126</v>
      </c>
      <c r="AE27" s="68">
        <v>17.713524815854253</v>
      </c>
      <c r="AF27" s="68">
        <v>1.7561408991390179</v>
      </c>
      <c r="AG27" s="68">
        <v>0.90980117867218224</v>
      </c>
      <c r="AH27" s="69">
        <v>182.15601778825123</v>
      </c>
      <c r="AI27" s="69">
        <v>818.10476277669272</v>
      </c>
      <c r="AJ27" s="69">
        <v>3216.8302740732825</v>
      </c>
      <c r="AK27" s="69">
        <v>588.22791948318491</v>
      </c>
      <c r="AL27" s="69">
        <v>1919.2188682556148</v>
      </c>
      <c r="AM27" s="69">
        <v>2138.8004080454511</v>
      </c>
      <c r="AN27" s="69">
        <v>617.68690528869615</v>
      </c>
      <c r="AO27" s="69">
        <v>2752.7991311391188</v>
      </c>
      <c r="AP27" s="69">
        <v>325.92963205973314</v>
      </c>
      <c r="AQ27" s="69">
        <v>922.04451189041129</v>
      </c>
    </row>
    <row r="28" spans="1:43" x14ac:dyDescent="0.25">
      <c r="A28" s="11">
        <v>41811</v>
      </c>
      <c r="B28" s="59"/>
      <c r="C28" s="60">
        <v>31.16140320897097</v>
      </c>
      <c r="D28" s="60">
        <v>271.4156171321867</v>
      </c>
      <c r="E28" s="60">
        <v>6.0843482092022878</v>
      </c>
      <c r="F28" s="60">
        <v>0</v>
      </c>
      <c r="G28" s="60">
        <v>540</v>
      </c>
      <c r="H28" s="61">
        <v>24.730404807130448</v>
      </c>
      <c r="I28" s="59">
        <v>486.3442362467452</v>
      </c>
      <c r="J28" s="60">
        <v>894.05660171508828</v>
      </c>
      <c r="K28" s="60">
        <v>40.726130674282757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423.50562789507597</v>
      </c>
      <c r="V28" s="62">
        <v>51.324534979777901</v>
      </c>
      <c r="W28" s="62">
        <v>38.878881948061299</v>
      </c>
      <c r="X28" s="62">
        <v>4.7117214154525957</v>
      </c>
      <c r="Y28" s="66">
        <v>279.66974026440516</v>
      </c>
      <c r="Z28" s="66">
        <v>33.893101818571495</v>
      </c>
      <c r="AA28" s="67">
        <v>0</v>
      </c>
      <c r="AB28" s="68">
        <v>48.034981264008906</v>
      </c>
      <c r="AC28" s="69">
        <v>0</v>
      </c>
      <c r="AD28" s="69">
        <v>18.889596458276099</v>
      </c>
      <c r="AE28" s="68">
        <v>16.503179551887705</v>
      </c>
      <c r="AF28" s="68">
        <v>2.0000159629478773</v>
      </c>
      <c r="AG28" s="68">
        <v>0.89190969952491206</v>
      </c>
      <c r="AH28" s="69">
        <v>174.96938543319703</v>
      </c>
      <c r="AI28" s="69">
        <v>814.47471987406414</v>
      </c>
      <c r="AJ28" s="69">
        <v>3188.1487923940022</v>
      </c>
      <c r="AK28" s="69">
        <v>565.68034365971891</v>
      </c>
      <c r="AL28" s="69">
        <v>1965.1839344024659</v>
      </c>
      <c r="AM28" s="69">
        <v>2083.8111232757565</v>
      </c>
      <c r="AN28" s="69">
        <v>594.8847687403362</v>
      </c>
      <c r="AO28" s="69">
        <v>2571.44064839681</v>
      </c>
      <c r="AP28" s="69">
        <v>311.10352861086523</v>
      </c>
      <c r="AQ28" s="69">
        <v>953.19595804214475</v>
      </c>
    </row>
    <row r="29" spans="1:43" x14ac:dyDescent="0.25">
      <c r="A29" s="11">
        <v>41812</v>
      </c>
      <c r="B29" s="59"/>
      <c r="C29" s="60">
        <v>31.66578809420287</v>
      </c>
      <c r="D29" s="60">
        <v>271.48797761599218</v>
      </c>
      <c r="E29" s="60">
        <v>6.3435503095388626</v>
      </c>
      <c r="F29" s="60">
        <v>0</v>
      </c>
      <c r="G29" s="60">
        <v>600.98</v>
      </c>
      <c r="H29" s="61">
        <v>24.736736527085323</v>
      </c>
      <c r="I29" s="59">
        <v>536.99068276087428</v>
      </c>
      <c r="J29" s="60">
        <v>931.93444595336882</v>
      </c>
      <c r="K29" s="60">
        <v>42.47482105294867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434.32958816469818</v>
      </c>
      <c r="V29" s="62">
        <v>51.229673030169984</v>
      </c>
      <c r="W29" s="62">
        <v>38.286361089503991</v>
      </c>
      <c r="X29" s="62">
        <v>4.5159201988019939</v>
      </c>
      <c r="Y29" s="66">
        <v>283.58502876907824</v>
      </c>
      <c r="Z29" s="66">
        <v>33.449179369705305</v>
      </c>
      <c r="AA29" s="67">
        <v>0</v>
      </c>
      <c r="AB29" s="68">
        <v>48.092500215107044</v>
      </c>
      <c r="AC29" s="69">
        <v>0</v>
      </c>
      <c r="AD29" s="69">
        <v>19.207793572876191</v>
      </c>
      <c r="AE29" s="68">
        <v>16.829592707177067</v>
      </c>
      <c r="AF29" s="68">
        <v>1.9850697606460936</v>
      </c>
      <c r="AG29" s="68">
        <v>0.89449346943954156</v>
      </c>
      <c r="AH29" s="69">
        <v>192.9797902504603</v>
      </c>
      <c r="AI29" s="69">
        <v>828.79119631449385</v>
      </c>
      <c r="AJ29" s="69">
        <v>3179.4788107554123</v>
      </c>
      <c r="AK29" s="69">
        <v>573.24549306233735</v>
      </c>
      <c r="AL29" s="69">
        <v>1906.9142191569008</v>
      </c>
      <c r="AM29" s="69">
        <v>2065.6102133433023</v>
      </c>
      <c r="AN29" s="69">
        <v>599.71525618235262</v>
      </c>
      <c r="AO29" s="69">
        <v>2687.4680506388345</v>
      </c>
      <c r="AP29" s="69">
        <v>331.17211586634312</v>
      </c>
      <c r="AQ29" s="69">
        <v>858.71585543950391</v>
      </c>
    </row>
    <row r="30" spans="1:43" x14ac:dyDescent="0.25">
      <c r="A30" s="11">
        <v>41813</v>
      </c>
      <c r="B30" s="59"/>
      <c r="C30" s="60">
        <v>31.199861268202248</v>
      </c>
      <c r="D30" s="60">
        <v>273.64415086110495</v>
      </c>
      <c r="E30" s="60">
        <v>6.3647977635264485</v>
      </c>
      <c r="F30" s="60">
        <v>0</v>
      </c>
      <c r="G30" s="60">
        <v>600.98</v>
      </c>
      <c r="H30" s="61">
        <v>24.955810482303296</v>
      </c>
      <c r="I30" s="59">
        <v>608.88130788803062</v>
      </c>
      <c r="J30" s="60">
        <v>1068.4203056971241</v>
      </c>
      <c r="K30" s="60">
        <v>48.73378720482193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491.32601238596493</v>
      </c>
      <c r="V30" s="62">
        <v>50.737507261420596</v>
      </c>
      <c r="W30" s="62">
        <v>42.134570486294272</v>
      </c>
      <c r="X30" s="62">
        <v>4.3510887315402824</v>
      </c>
      <c r="Y30" s="66">
        <v>335.2628302797354</v>
      </c>
      <c r="Z30" s="66">
        <v>34.621411968800551</v>
      </c>
      <c r="AA30" s="67">
        <v>0</v>
      </c>
      <c r="AB30" s="68">
        <v>56.172162641420364</v>
      </c>
      <c r="AC30" s="69">
        <v>0</v>
      </c>
      <c r="AD30" s="69">
        <v>21.516203481621215</v>
      </c>
      <c r="AE30" s="68">
        <v>19.238537515267002</v>
      </c>
      <c r="AF30" s="68">
        <v>1.9866960272259651</v>
      </c>
      <c r="AG30" s="68">
        <v>0.90639933250917615</v>
      </c>
      <c r="AH30" s="69">
        <v>184.76138517856597</v>
      </c>
      <c r="AI30" s="69">
        <v>828.83523139953627</v>
      </c>
      <c r="AJ30" s="69">
        <v>3144.544029998779</v>
      </c>
      <c r="AK30" s="69">
        <v>603.03725528717064</v>
      </c>
      <c r="AL30" s="69">
        <v>1999.4968458811443</v>
      </c>
      <c r="AM30" s="69">
        <v>2095.1185591379804</v>
      </c>
      <c r="AN30" s="69">
        <v>587.14276698430376</v>
      </c>
      <c r="AO30" s="69">
        <v>2884.1151070912679</v>
      </c>
      <c r="AP30" s="69">
        <v>325.31550518671668</v>
      </c>
      <c r="AQ30" s="69">
        <v>877.10235478083302</v>
      </c>
    </row>
    <row r="31" spans="1:43" x14ac:dyDescent="0.25">
      <c r="A31" s="11">
        <v>41814</v>
      </c>
      <c r="B31" s="59"/>
      <c r="C31" s="60">
        <v>31.471793353557882</v>
      </c>
      <c r="D31" s="60">
        <v>271.58520258267725</v>
      </c>
      <c r="E31" s="60">
        <v>6.3472636118531121</v>
      </c>
      <c r="F31" s="60">
        <v>0</v>
      </c>
      <c r="G31" s="60">
        <v>600.98</v>
      </c>
      <c r="H31" s="61">
        <v>24.763043556610707</v>
      </c>
      <c r="I31" s="59">
        <v>452.85402208964024</v>
      </c>
      <c r="J31" s="60">
        <v>1056.1112628936753</v>
      </c>
      <c r="K31" s="60">
        <v>48.379159476359881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482.22919065947019</v>
      </c>
      <c r="V31" s="62">
        <v>50.588480756070886</v>
      </c>
      <c r="W31" s="62">
        <v>41.145285485232961</v>
      </c>
      <c r="X31" s="62">
        <v>4.3163655856797805</v>
      </c>
      <c r="Y31" s="66">
        <v>340.73120249382356</v>
      </c>
      <c r="Z31" s="66">
        <v>35.744567550502715</v>
      </c>
      <c r="AA31" s="67">
        <v>0</v>
      </c>
      <c r="AB31" s="68">
        <v>59.638643021053156</v>
      </c>
      <c r="AC31" s="69">
        <v>0</v>
      </c>
      <c r="AD31" s="69">
        <v>21.308273171053987</v>
      </c>
      <c r="AE31" s="68">
        <v>19.064536803366465</v>
      </c>
      <c r="AF31" s="68">
        <v>1.9999742277766015</v>
      </c>
      <c r="AG31" s="68">
        <v>0.90505479928683286</v>
      </c>
      <c r="AH31" s="69">
        <v>179.7192828416824</v>
      </c>
      <c r="AI31" s="69">
        <v>836.03521607716857</v>
      </c>
      <c r="AJ31" s="69">
        <v>3197.1472034454346</v>
      </c>
      <c r="AK31" s="69">
        <v>619.81954520543422</v>
      </c>
      <c r="AL31" s="69">
        <v>2021.324408976237</v>
      </c>
      <c r="AM31" s="69">
        <v>2058.4420405069986</v>
      </c>
      <c r="AN31" s="69">
        <v>607.61974803606665</v>
      </c>
      <c r="AO31" s="69">
        <v>2903.0249305725097</v>
      </c>
      <c r="AP31" s="69">
        <v>327.27403257687894</v>
      </c>
      <c r="AQ31" s="69">
        <v>939.48241281509399</v>
      </c>
    </row>
    <row r="32" spans="1:43" x14ac:dyDescent="0.25">
      <c r="A32" s="11">
        <v>41815</v>
      </c>
      <c r="B32" s="59"/>
      <c r="C32" s="60">
        <v>32.094375640154603</v>
      </c>
      <c r="D32" s="60">
        <v>271.62535411516768</v>
      </c>
      <c r="E32" s="60">
        <v>6.3298454955220356</v>
      </c>
      <c r="F32" s="60">
        <v>0</v>
      </c>
      <c r="G32" s="60">
        <v>540</v>
      </c>
      <c r="H32" s="61">
        <v>24.713389832774808</v>
      </c>
      <c r="I32" s="59">
        <v>434.36774503389995</v>
      </c>
      <c r="J32" s="60">
        <v>934.88445485432953</v>
      </c>
      <c r="K32" s="60">
        <v>42.703547547260804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436.23238271154042</v>
      </c>
      <c r="V32" s="62">
        <v>50.335099155934373</v>
      </c>
      <c r="W32" s="62">
        <v>36.463772075535758</v>
      </c>
      <c r="X32" s="62">
        <v>4.2074079223851442</v>
      </c>
      <c r="Y32" s="66">
        <v>307.04537418506771</v>
      </c>
      <c r="Z32" s="66">
        <v>35.428730116067769</v>
      </c>
      <c r="AA32" s="67">
        <v>0</v>
      </c>
      <c r="AB32" s="68">
        <v>55.407303680313341</v>
      </c>
      <c r="AC32" s="69">
        <v>0</v>
      </c>
      <c r="AD32" s="69">
        <v>19.404387506511465</v>
      </c>
      <c r="AE32" s="68">
        <v>17.196686193776475</v>
      </c>
      <c r="AF32" s="68">
        <v>1.9842564170427586</v>
      </c>
      <c r="AG32" s="68">
        <v>0.89655063062836571</v>
      </c>
      <c r="AH32" s="69">
        <v>173.25900390942891</v>
      </c>
      <c r="AI32" s="69">
        <v>832.48777570724474</v>
      </c>
      <c r="AJ32" s="69">
        <v>3324.5578496297203</v>
      </c>
      <c r="AK32" s="69">
        <v>613.39874718983947</v>
      </c>
      <c r="AL32" s="69">
        <v>1975.3294116973877</v>
      </c>
      <c r="AM32" s="69">
        <v>2082.2747734069821</v>
      </c>
      <c r="AN32" s="69">
        <v>577.24016650517785</v>
      </c>
      <c r="AO32" s="69">
        <v>2662.6977167765303</v>
      </c>
      <c r="AP32" s="69">
        <v>324.94806860287986</v>
      </c>
      <c r="AQ32" s="69">
        <v>961.66791855494182</v>
      </c>
    </row>
    <row r="33" spans="1:43" x14ac:dyDescent="0.25">
      <c r="A33" s="11">
        <v>41816</v>
      </c>
      <c r="B33" s="59"/>
      <c r="C33" s="60">
        <v>32.357666790485361</v>
      </c>
      <c r="D33" s="60">
        <v>272.56352227528924</v>
      </c>
      <c r="E33" s="60">
        <v>6.3364482273658247</v>
      </c>
      <c r="F33" s="60">
        <v>0</v>
      </c>
      <c r="G33" s="60">
        <v>585.84</v>
      </c>
      <c r="H33" s="61">
        <v>24.815498344103471</v>
      </c>
      <c r="I33" s="59">
        <v>540.38090718587239</v>
      </c>
      <c r="J33" s="60">
        <v>1076.3299886703503</v>
      </c>
      <c r="K33" s="60">
        <v>48.987039526303469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514.25658950509705</v>
      </c>
      <c r="V33" s="62">
        <v>51.420475496490532</v>
      </c>
      <c r="W33" s="62">
        <v>44.28424102621095</v>
      </c>
      <c r="X33" s="62">
        <v>4.4279777392067645</v>
      </c>
      <c r="Y33" s="66">
        <v>352.34899765609799</v>
      </c>
      <c r="Z33" s="66">
        <v>35.231348260650357</v>
      </c>
      <c r="AA33" s="67">
        <v>0</v>
      </c>
      <c r="AB33" s="68">
        <v>66.636836258570852</v>
      </c>
      <c r="AC33" s="69">
        <v>0</v>
      </c>
      <c r="AD33" s="69">
        <v>22.106191280815334</v>
      </c>
      <c r="AE33" s="68">
        <v>19.884799923540019</v>
      </c>
      <c r="AF33" s="68">
        <v>1.9882795633304615</v>
      </c>
      <c r="AG33" s="68">
        <v>0.90909923934012382</v>
      </c>
      <c r="AH33" s="69">
        <v>171.00555503368378</v>
      </c>
      <c r="AI33" s="69">
        <v>818.88810917536432</v>
      </c>
      <c r="AJ33" s="69">
        <v>3272.0356548309323</v>
      </c>
      <c r="AK33" s="69">
        <v>635.70218378702805</v>
      </c>
      <c r="AL33" s="69">
        <v>1988.0320824941</v>
      </c>
      <c r="AM33" s="69">
        <v>2103.6794423421225</v>
      </c>
      <c r="AN33" s="69">
        <v>584.56742650667832</v>
      </c>
      <c r="AO33" s="69">
        <v>2927.8812754313149</v>
      </c>
      <c r="AP33" s="69">
        <v>310.05428233146671</v>
      </c>
      <c r="AQ33" s="69">
        <v>971.60342019399002</v>
      </c>
    </row>
    <row r="34" spans="1:43" x14ac:dyDescent="0.25">
      <c r="A34" s="11">
        <v>41817</v>
      </c>
      <c r="B34" s="59"/>
      <c r="C34" s="60">
        <v>32.263170679410457</v>
      </c>
      <c r="D34" s="60">
        <v>271.38549833297714</v>
      </c>
      <c r="E34" s="60">
        <v>6.3242413560549462</v>
      </c>
      <c r="F34" s="60">
        <v>0</v>
      </c>
      <c r="G34" s="60">
        <v>585.84</v>
      </c>
      <c r="H34" s="61">
        <v>24.783822285135567</v>
      </c>
      <c r="I34" s="59">
        <v>590.62759361267001</v>
      </c>
      <c r="J34" s="60">
        <v>1102.3648487726855</v>
      </c>
      <c r="K34" s="60">
        <v>50.018575549125707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498.61696186305676</v>
      </c>
      <c r="V34" s="62">
        <v>44.132130090646328</v>
      </c>
      <c r="W34" s="62">
        <v>45.085219124339687</v>
      </c>
      <c r="X34" s="62">
        <v>3.9904514040722106</v>
      </c>
      <c r="Y34" s="66">
        <v>348.55835125761172</v>
      </c>
      <c r="Z34" s="66">
        <v>30.850580061307458</v>
      </c>
      <c r="AA34" s="67">
        <v>0</v>
      </c>
      <c r="AB34" s="68">
        <v>66.822699117661912</v>
      </c>
      <c r="AC34" s="69">
        <v>0</v>
      </c>
      <c r="AD34" s="69">
        <v>21.649019049273633</v>
      </c>
      <c r="AE34" s="68">
        <v>19.662038538077223</v>
      </c>
      <c r="AF34" s="68">
        <v>1.7402690020161078</v>
      </c>
      <c r="AG34" s="68">
        <v>0.91868778641013216</v>
      </c>
      <c r="AH34" s="69">
        <v>171.55097579956055</v>
      </c>
      <c r="AI34" s="69">
        <v>797.62062053680438</v>
      </c>
      <c r="AJ34" s="69">
        <v>3165.4082815806073</v>
      </c>
      <c r="AK34" s="69">
        <v>670.11323102315271</v>
      </c>
      <c r="AL34" s="69">
        <v>1964.6590869903564</v>
      </c>
      <c r="AM34" s="69">
        <v>2128.0303223927813</v>
      </c>
      <c r="AN34" s="69">
        <v>545.71737033526097</v>
      </c>
      <c r="AO34" s="69">
        <v>2923.9605370839436</v>
      </c>
      <c r="AP34" s="69">
        <v>334.83189417521163</v>
      </c>
      <c r="AQ34" s="69">
        <v>904.54420318603525</v>
      </c>
    </row>
    <row r="35" spans="1:43" x14ac:dyDescent="0.25">
      <c r="A35" s="11">
        <v>41818</v>
      </c>
      <c r="B35" s="59"/>
      <c r="C35" s="60">
        <v>31.849720428387744</v>
      </c>
      <c r="D35" s="60">
        <v>271.38684692382844</v>
      </c>
      <c r="E35" s="60">
        <v>6.3083876023690042</v>
      </c>
      <c r="F35" s="60">
        <v>0</v>
      </c>
      <c r="G35" s="60">
        <v>585.84</v>
      </c>
      <c r="H35" s="61">
        <v>24.788174554705627</v>
      </c>
      <c r="I35" s="59">
        <v>508.66355698903408</v>
      </c>
      <c r="J35" s="60">
        <v>928.86389064788727</v>
      </c>
      <c r="K35" s="60">
        <v>42.353607434034437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434.36641232446914</v>
      </c>
      <c r="V35" s="62">
        <v>51.697345529568622</v>
      </c>
      <c r="W35" s="62">
        <v>38.107774047615308</v>
      </c>
      <c r="X35" s="62">
        <v>4.5355043723561783</v>
      </c>
      <c r="Y35" s="66">
        <v>296.32641562782618</v>
      </c>
      <c r="Z35" s="66">
        <v>35.268125397335908</v>
      </c>
      <c r="AA35" s="67">
        <v>0</v>
      </c>
      <c r="AB35" s="68">
        <v>56.718724632262557</v>
      </c>
      <c r="AC35" s="69">
        <v>0</v>
      </c>
      <c r="AD35" s="69">
        <v>18.919131433301509</v>
      </c>
      <c r="AE35" s="68">
        <v>16.692120533096347</v>
      </c>
      <c r="AF35" s="68">
        <v>1.986659875939208</v>
      </c>
      <c r="AG35" s="68">
        <v>0.89364081420550379</v>
      </c>
      <c r="AH35" s="69">
        <v>174.11283404827117</v>
      </c>
      <c r="AI35" s="69">
        <v>794.92614405949905</v>
      </c>
      <c r="AJ35" s="69">
        <v>3191.2974642435711</v>
      </c>
      <c r="AK35" s="69">
        <v>682.12009700139379</v>
      </c>
      <c r="AL35" s="69">
        <v>1929.8369105021159</v>
      </c>
      <c r="AM35" s="69">
        <v>2059.8252976735434</v>
      </c>
      <c r="AN35" s="69">
        <v>554.55885162353513</v>
      </c>
      <c r="AO35" s="69">
        <v>2735.014622116089</v>
      </c>
      <c r="AP35" s="69">
        <v>300.866489426295</v>
      </c>
      <c r="AQ35" s="69">
        <v>881.74239654541032</v>
      </c>
    </row>
    <row r="36" spans="1:43" x14ac:dyDescent="0.25">
      <c r="A36" s="11">
        <v>41819</v>
      </c>
      <c r="B36" s="59"/>
      <c r="C36" s="60">
        <v>31.63550073901839</v>
      </c>
      <c r="D36" s="60">
        <v>271.45545673370299</v>
      </c>
      <c r="E36" s="60">
        <v>6.3070838103691829</v>
      </c>
      <c r="F36" s="60">
        <v>0</v>
      </c>
      <c r="G36" s="60">
        <v>540</v>
      </c>
      <c r="H36" s="61">
        <v>24.796450022856448</v>
      </c>
      <c r="I36" s="59">
        <v>638.57927608490206</v>
      </c>
      <c r="J36" s="60">
        <v>1187.3349339803058</v>
      </c>
      <c r="K36" s="60">
        <v>53.896297649542568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569.7395140151549</v>
      </c>
      <c r="V36" s="62">
        <v>52.375805215668386</v>
      </c>
      <c r="W36" s="62">
        <v>51.024313361367852</v>
      </c>
      <c r="X36" s="62">
        <v>4.6906339338211014</v>
      </c>
      <c r="Y36" s="66">
        <v>388.40782605502352</v>
      </c>
      <c r="Z36" s="66">
        <v>35.706093997823011</v>
      </c>
      <c r="AA36" s="67">
        <v>0</v>
      </c>
      <c r="AB36" s="68">
        <v>72.082204257117425</v>
      </c>
      <c r="AC36" s="69">
        <v>0</v>
      </c>
      <c r="AD36" s="69">
        <v>24.196929864088681</v>
      </c>
      <c r="AE36" s="68">
        <v>21.754682830101309</v>
      </c>
      <c r="AF36" s="68">
        <v>1.9998946929415959</v>
      </c>
      <c r="AG36" s="68">
        <v>0.91581013423616497</v>
      </c>
      <c r="AH36" s="69">
        <v>172.09258542060851</v>
      </c>
      <c r="AI36" s="69">
        <v>812.76571521759035</v>
      </c>
      <c r="AJ36" s="69">
        <v>3311.6534571329753</v>
      </c>
      <c r="AK36" s="69">
        <v>698.96280778249115</v>
      </c>
      <c r="AL36" s="69">
        <v>2009.4165883382161</v>
      </c>
      <c r="AM36" s="69">
        <v>2140.9700997670493</v>
      </c>
      <c r="AN36" s="69">
        <v>565.48448907534282</v>
      </c>
      <c r="AO36" s="69">
        <v>3108.0658381144208</v>
      </c>
      <c r="AP36" s="69">
        <v>303.35521386464438</v>
      </c>
      <c r="AQ36" s="69">
        <v>932.22692203521717</v>
      </c>
    </row>
    <row r="37" spans="1:43" ht="15.75" thickBot="1" x14ac:dyDescent="0.3">
      <c r="A37" s="11">
        <v>41820</v>
      </c>
      <c r="B37" s="73"/>
      <c r="C37" s="74">
        <v>31.253818074862252</v>
      </c>
      <c r="D37" s="74">
        <v>271.51404372851067</v>
      </c>
      <c r="E37" s="74">
        <v>6.3148565019170473</v>
      </c>
      <c r="F37" s="74">
        <v>0</v>
      </c>
      <c r="G37" s="74">
        <v>540</v>
      </c>
      <c r="H37" s="75">
        <v>24.746367661158228</v>
      </c>
      <c r="I37" s="76">
        <v>631.65667444865051</v>
      </c>
      <c r="J37" s="74">
        <v>1178.9279706954949</v>
      </c>
      <c r="K37" s="74">
        <v>53.766089232762795</v>
      </c>
      <c r="L37" s="74">
        <v>0</v>
      </c>
      <c r="M37" s="74">
        <v>0</v>
      </c>
      <c r="N37" s="75">
        <v>0</v>
      </c>
      <c r="O37" s="76">
        <v>0</v>
      </c>
      <c r="P37" s="74">
        <v>0</v>
      </c>
      <c r="Q37" s="74">
        <v>0</v>
      </c>
      <c r="R37" s="77">
        <v>0</v>
      </c>
      <c r="S37" s="74">
        <v>0</v>
      </c>
      <c r="T37" s="78">
        <v>0</v>
      </c>
      <c r="U37" s="79">
        <v>564.39394381874297</v>
      </c>
      <c r="V37" s="80">
        <v>52.381893380147574</v>
      </c>
      <c r="W37" s="81">
        <v>50.18848762372636</v>
      </c>
      <c r="X37" s="81">
        <v>4.6580372387220237</v>
      </c>
      <c r="Y37" s="80">
        <v>385.29651874782877</v>
      </c>
      <c r="Z37" s="80">
        <v>35.75970540759824</v>
      </c>
      <c r="AA37" s="82">
        <v>0</v>
      </c>
      <c r="AB37" s="83">
        <v>75.966385989718972</v>
      </c>
      <c r="AC37" s="84">
        <v>0</v>
      </c>
      <c r="AD37" s="85">
        <v>24.030118568738303</v>
      </c>
      <c r="AE37" s="83">
        <v>21.549878743696326</v>
      </c>
      <c r="AF37" s="83">
        <v>2.0000630110764179</v>
      </c>
      <c r="AG37" s="83">
        <v>0.91507142429891253</v>
      </c>
      <c r="AH37" s="84">
        <v>185.73539404074353</v>
      </c>
      <c r="AI37" s="84">
        <v>822.42293491363534</v>
      </c>
      <c r="AJ37" s="84">
        <v>3281.4037933349605</v>
      </c>
      <c r="AK37" s="84">
        <v>703.83872728347774</v>
      </c>
      <c r="AL37" s="84">
        <v>2046.8432259877527</v>
      </c>
      <c r="AM37" s="84">
        <v>2256.9107781728117</v>
      </c>
      <c r="AN37" s="84">
        <v>753.56252640088405</v>
      </c>
      <c r="AO37" s="84">
        <v>2979.9536533355708</v>
      </c>
      <c r="AP37" s="84">
        <v>306.20644969940184</v>
      </c>
      <c r="AQ37" s="84">
        <v>968.83112754821764</v>
      </c>
    </row>
    <row r="38" spans="1:43" ht="15.75" thickTop="1" x14ac:dyDescent="0.25">
      <c r="A38" s="46" t="s">
        <v>173</v>
      </c>
      <c r="B38" s="29">
        <f t="shared" ref="B38:AC38" si="0">SUM(B8:B37)</f>
        <v>0</v>
      </c>
      <c r="C38" s="30">
        <f t="shared" si="0"/>
        <v>942.05586908856992</v>
      </c>
      <c r="D38" s="30">
        <f t="shared" si="0"/>
        <v>8110.2017228484119</v>
      </c>
      <c r="E38" s="30">
        <f t="shared" si="0"/>
        <v>183.78419858515278</v>
      </c>
      <c r="F38" s="30">
        <f t="shared" si="0"/>
        <v>0</v>
      </c>
      <c r="G38" s="30">
        <f t="shared" si="0"/>
        <v>17116.38</v>
      </c>
      <c r="H38" s="31">
        <f t="shared" si="0"/>
        <v>563.25927208860674</v>
      </c>
      <c r="I38" s="29">
        <f t="shared" si="0"/>
        <v>15508.346782573059</v>
      </c>
      <c r="J38" s="30">
        <f t="shared" si="0"/>
        <v>30786.895272541045</v>
      </c>
      <c r="K38" s="30">
        <f t="shared" si="0"/>
        <v>1302.9771971662849</v>
      </c>
      <c r="L38" s="30">
        <f t="shared" si="0"/>
        <v>0</v>
      </c>
      <c r="M38" s="30">
        <f t="shared" si="0"/>
        <v>0</v>
      </c>
      <c r="N38" s="31">
        <f t="shared" si="0"/>
        <v>0</v>
      </c>
      <c r="O38" s="263">
        <f t="shared" si="0"/>
        <v>0</v>
      </c>
      <c r="P38" s="264">
        <f t="shared" si="0"/>
        <v>0</v>
      </c>
      <c r="Q38" s="264">
        <f t="shared" si="0"/>
        <v>0</v>
      </c>
      <c r="R38" s="264">
        <f t="shared" si="0"/>
        <v>0</v>
      </c>
      <c r="S38" s="264">
        <f t="shared" si="0"/>
        <v>0</v>
      </c>
      <c r="T38" s="265">
        <f t="shared" si="0"/>
        <v>0</v>
      </c>
      <c r="U38" s="263">
        <f t="shared" si="0"/>
        <v>13676.526804404582</v>
      </c>
      <c r="V38" s="264">
        <f t="shared" si="0"/>
        <v>1460.2406039875686</v>
      </c>
      <c r="W38" s="264">
        <f t="shared" si="0"/>
        <v>1206.0214141329177</v>
      </c>
      <c r="X38" s="264">
        <f t="shared" si="0"/>
        <v>128.78262420494872</v>
      </c>
      <c r="Y38" s="264">
        <f t="shared" si="0"/>
        <v>9393.1549376227831</v>
      </c>
      <c r="Z38" s="264">
        <f t="shared" si="0"/>
        <v>1003.1075327815266</v>
      </c>
      <c r="AA38" s="272">
        <f t="shared" si="0"/>
        <v>0</v>
      </c>
      <c r="AB38" s="275">
        <f t="shared" si="0"/>
        <v>1650.7857373515787</v>
      </c>
      <c r="AC38" s="275">
        <f t="shared" si="0"/>
        <v>0</v>
      </c>
      <c r="AD38" s="278" t="s">
        <v>29</v>
      </c>
      <c r="AE38" s="278" t="s">
        <v>29</v>
      </c>
      <c r="AF38" s="278" t="s">
        <v>29</v>
      </c>
      <c r="AG38" s="278" t="s">
        <v>159</v>
      </c>
      <c r="AH38" s="275">
        <f t="shared" ref="AH38:AQ38" si="1">SUM(AH8:AH37)</f>
        <v>5535.4808693408977</v>
      </c>
      <c r="AI38" s="275">
        <f t="shared" si="1"/>
        <v>23926.024532222749</v>
      </c>
      <c r="AJ38" s="275">
        <f t="shared" si="1"/>
        <v>95706.400596745792</v>
      </c>
      <c r="AK38" s="275">
        <f t="shared" si="1"/>
        <v>17520.594860839843</v>
      </c>
      <c r="AL38" s="275">
        <f t="shared" si="1"/>
        <v>58504.531256548558</v>
      </c>
      <c r="AM38" s="275">
        <f t="shared" si="1"/>
        <v>62990.686938095096</v>
      </c>
      <c r="AN38" s="275">
        <f t="shared" si="1"/>
        <v>18840.216536823908</v>
      </c>
      <c r="AO38" s="275">
        <f t="shared" si="1"/>
        <v>79153.535530980414</v>
      </c>
      <c r="AP38" s="275">
        <f t="shared" si="1"/>
        <v>9454.073055076602</v>
      </c>
      <c r="AQ38" s="275">
        <f t="shared" si="1"/>
        <v>26789.911194833119</v>
      </c>
    </row>
    <row r="39" spans="1:43" ht="15.75" thickBot="1" x14ac:dyDescent="0.3">
      <c r="A39" s="47" t="s">
        <v>174</v>
      </c>
      <c r="B39" s="32">
        <f>Projection!$AB$30</f>
        <v>0.80583665399999982</v>
      </c>
      <c r="C39" s="33">
        <f>Projection!$AB$28</f>
        <v>1.0959093599999998</v>
      </c>
      <c r="D39" s="33">
        <f>Projection!$AB$31</f>
        <v>2.1834120000000001</v>
      </c>
      <c r="E39" s="33">
        <f>Projection!$AB$26</f>
        <v>4.3368000000000002</v>
      </c>
      <c r="F39" s="33">
        <f>Projection!$AB$23</f>
        <v>5.8379999999999994E-2</v>
      </c>
      <c r="G39" s="33">
        <f>Projection!$AB$24</f>
        <v>5.5119999999999995E-2</v>
      </c>
      <c r="H39" s="34">
        <f>Projection!$AB$29</f>
        <v>3.4361216999999997</v>
      </c>
      <c r="I39" s="32">
        <f>Projection!$AB$30</f>
        <v>0.80583665399999982</v>
      </c>
      <c r="J39" s="33">
        <f>Projection!$AB$28</f>
        <v>1.0959093599999998</v>
      </c>
      <c r="K39" s="33">
        <f>Projection!$AB$26</f>
        <v>4.3368000000000002</v>
      </c>
      <c r="L39" s="33">
        <f>Projection!$AB$25</f>
        <v>0</v>
      </c>
      <c r="M39" s="33">
        <f>Projection!$AB$23</f>
        <v>5.8379999999999994E-2</v>
      </c>
      <c r="N39" s="34">
        <f>Projection!$AB$23</f>
        <v>5.8379999999999994E-2</v>
      </c>
      <c r="O39" s="26">
        <v>15.77</v>
      </c>
      <c r="P39" s="27">
        <v>15.77</v>
      </c>
      <c r="Q39" s="27">
        <v>15.77</v>
      </c>
      <c r="R39" s="27">
        <v>15.77</v>
      </c>
      <c r="S39" s="27">
        <f>Projection!$AB$28</f>
        <v>1.0959093599999998</v>
      </c>
      <c r="T39" s="38">
        <f>Projection!$AB$28</f>
        <v>1.0959093599999998</v>
      </c>
      <c r="U39" s="26">
        <f>Projection!$AB$27</f>
        <v>0.21934999999999999</v>
      </c>
      <c r="V39" s="27">
        <f>Projection!$AB$27</f>
        <v>0.21934999999999999</v>
      </c>
      <c r="W39" s="27">
        <f>Projection!$AB$22</f>
        <v>1.1625000000000001</v>
      </c>
      <c r="X39" s="27">
        <f>Projection!$AB$22</f>
        <v>1.1625000000000001</v>
      </c>
      <c r="Y39" s="27">
        <f>Projection!$AB$31</f>
        <v>2.1834120000000001</v>
      </c>
      <c r="Z39" s="27">
        <f>Projection!$AB$31</f>
        <v>2.1834120000000001</v>
      </c>
      <c r="AA39" s="28">
        <v>0</v>
      </c>
      <c r="AB39" s="41">
        <f>Projection!$AB$27</f>
        <v>0.21934999999999999</v>
      </c>
      <c r="AC39" s="41">
        <f>Projection!$AB$30</f>
        <v>0.80583665399999982</v>
      </c>
      <c r="AD39" s="279">
        <f>SUM(AD8:AD37)</f>
        <v>609.46026683946479</v>
      </c>
      <c r="AE39" s="279">
        <f>SUM(AE8:AE37)</f>
        <v>541.92318465257154</v>
      </c>
      <c r="AF39" s="279">
        <f>SUM(AF8:AF37)</f>
        <v>57.918604896793113</v>
      </c>
      <c r="AG39" s="279">
        <f>IF(SUM(AE39:AF39)&gt;0, AE39/(AE39+AF39), "")</f>
        <v>0.90344353143467238</v>
      </c>
      <c r="AH39" s="315">
        <v>7.8E-2</v>
      </c>
      <c r="AI39" s="315">
        <f t="shared" ref="AI39:AQ39" si="2">$AH$39</f>
        <v>7.8E-2</v>
      </c>
      <c r="AJ39" s="315">
        <f t="shared" si="2"/>
        <v>7.8E-2</v>
      </c>
      <c r="AK39" s="315">
        <f t="shared" si="2"/>
        <v>7.8E-2</v>
      </c>
      <c r="AL39" s="315">
        <f t="shared" si="2"/>
        <v>7.8E-2</v>
      </c>
      <c r="AM39" s="315">
        <f t="shared" si="2"/>
        <v>7.8E-2</v>
      </c>
      <c r="AN39" s="315">
        <f t="shared" si="2"/>
        <v>7.8E-2</v>
      </c>
      <c r="AO39" s="315">
        <f t="shared" si="2"/>
        <v>7.8E-2</v>
      </c>
      <c r="AP39" s="315">
        <f t="shared" si="2"/>
        <v>7.8E-2</v>
      </c>
      <c r="AQ39" s="315">
        <f t="shared" si="2"/>
        <v>7.8E-2</v>
      </c>
    </row>
    <row r="40" spans="1:43" ht="16.5" thickTop="1" thickBot="1" x14ac:dyDescent="0.3">
      <c r="A40" s="48" t="s">
        <v>26</v>
      </c>
      <c r="B40" s="35">
        <f t="shared" ref="B40:AC40" si="3">B39*B38</f>
        <v>0</v>
      </c>
      <c r="C40" s="36">
        <f t="shared" si="3"/>
        <v>1032.4078445770983</v>
      </c>
      <c r="D40" s="36">
        <f t="shared" si="3"/>
        <v>17707.911764087898</v>
      </c>
      <c r="E40" s="36">
        <f t="shared" si="3"/>
        <v>797.03531242409065</v>
      </c>
      <c r="F40" s="36">
        <f t="shared" si="3"/>
        <v>0</v>
      </c>
      <c r="G40" s="36">
        <f t="shared" si="3"/>
        <v>943.45486559999995</v>
      </c>
      <c r="H40" s="37">
        <f t="shared" si="3"/>
        <v>1935.4274075498658</v>
      </c>
      <c r="I40" s="35">
        <f t="shared" si="3"/>
        <v>12497.194280340336</v>
      </c>
      <c r="J40" s="36">
        <f t="shared" si="3"/>
        <v>33739.646694517476</v>
      </c>
      <c r="K40" s="36">
        <f t="shared" si="3"/>
        <v>5650.7515086707444</v>
      </c>
      <c r="L40" s="36">
        <f t="shared" si="3"/>
        <v>0</v>
      </c>
      <c r="M40" s="36">
        <f t="shared" si="3"/>
        <v>0</v>
      </c>
      <c r="N40" s="37">
        <f t="shared" si="3"/>
        <v>0</v>
      </c>
      <c r="O40" s="269">
        <f t="shared" si="3"/>
        <v>0</v>
      </c>
      <c r="P40" s="270">
        <f t="shared" si="3"/>
        <v>0</v>
      </c>
      <c r="Q40" s="270">
        <f t="shared" si="3"/>
        <v>0</v>
      </c>
      <c r="R40" s="270">
        <f t="shared" si="3"/>
        <v>0</v>
      </c>
      <c r="S40" s="270">
        <f t="shared" si="3"/>
        <v>0</v>
      </c>
      <c r="T40" s="271">
        <f t="shared" si="3"/>
        <v>0</v>
      </c>
      <c r="U40" s="269">
        <f t="shared" si="3"/>
        <v>2999.946154546145</v>
      </c>
      <c r="V40" s="270">
        <f t="shared" si="3"/>
        <v>320.30377648467316</v>
      </c>
      <c r="W40" s="270">
        <f t="shared" si="3"/>
        <v>1401.9998939295169</v>
      </c>
      <c r="X40" s="270">
        <f t="shared" si="3"/>
        <v>149.70980063825289</v>
      </c>
      <c r="Y40" s="270">
        <f t="shared" si="3"/>
        <v>20509.127208664839</v>
      </c>
      <c r="Z40" s="270">
        <f t="shared" si="3"/>
        <v>2190.1970243655787</v>
      </c>
      <c r="AA40" s="274">
        <f t="shared" si="3"/>
        <v>0</v>
      </c>
      <c r="AB40" s="277">
        <f t="shared" si="3"/>
        <v>362.09985148806879</v>
      </c>
      <c r="AC40" s="277">
        <f t="shared" si="3"/>
        <v>0</v>
      </c>
      <c r="AH40" s="280">
        <f t="shared" ref="AH40:AQ40" si="4">AH39*AH38</f>
        <v>431.76750780859004</v>
      </c>
      <c r="AI40" s="280">
        <f t="shared" si="4"/>
        <v>1866.2299135133744</v>
      </c>
      <c r="AJ40" s="280">
        <f t="shared" si="4"/>
        <v>7465.0992465461723</v>
      </c>
      <c r="AK40" s="280">
        <f t="shared" si="4"/>
        <v>1366.6063991455078</v>
      </c>
      <c r="AL40" s="280">
        <f t="shared" si="4"/>
        <v>4563.3534380107876</v>
      </c>
      <c r="AM40" s="280">
        <f t="shared" si="4"/>
        <v>4913.2735811714174</v>
      </c>
      <c r="AN40" s="280">
        <f t="shared" si="4"/>
        <v>1469.5368898722647</v>
      </c>
      <c r="AO40" s="280">
        <f t="shared" si="4"/>
        <v>6173.9757714164725</v>
      </c>
      <c r="AP40" s="280">
        <f t="shared" si="4"/>
        <v>737.4176982959749</v>
      </c>
      <c r="AQ40" s="280">
        <f t="shared" si="4"/>
        <v>2089.6130731969834</v>
      </c>
    </row>
    <row r="41" spans="1:43" ht="49.5" customHeight="1" thickTop="1" thickBot="1" x14ac:dyDescent="0.3">
      <c r="A41" s="564" t="s">
        <v>234</v>
      </c>
      <c r="B41" s="565"/>
      <c r="C41" s="565"/>
      <c r="D41" s="565"/>
      <c r="E41" s="565"/>
      <c r="F41" s="565"/>
      <c r="G41" s="565"/>
      <c r="H41" s="565"/>
      <c r="I41" s="565"/>
      <c r="J41" s="565"/>
      <c r="K41" s="549"/>
      <c r="L41" s="44"/>
      <c r="M41" s="44"/>
      <c r="N41" s="44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G41" s="298" t="s">
        <v>186</v>
      </c>
      <c r="AH41" s="297">
        <v>352.47</v>
      </c>
      <c r="AI41" s="280" t="s">
        <v>199</v>
      </c>
      <c r="AJ41" s="280">
        <v>768.65</v>
      </c>
      <c r="AK41" s="280">
        <v>72.63</v>
      </c>
      <c r="AL41" s="280">
        <v>1233.07</v>
      </c>
      <c r="AM41" s="280">
        <v>464.03</v>
      </c>
      <c r="AN41" s="280">
        <v>476.06</v>
      </c>
      <c r="AO41" s="280" t="s">
        <v>199</v>
      </c>
      <c r="AP41" s="280">
        <v>47.14</v>
      </c>
      <c r="AQ41" s="280">
        <v>200.66</v>
      </c>
    </row>
    <row r="42" spans="1:43" ht="38.25" customHeight="1" thickTop="1" thickBot="1" x14ac:dyDescent="0.3">
      <c r="A42" s="552" t="s">
        <v>49</v>
      </c>
      <c r="B42" s="548"/>
      <c r="C42" s="291"/>
      <c r="D42" s="548" t="s">
        <v>47</v>
      </c>
      <c r="E42" s="548"/>
      <c r="F42" s="291"/>
      <c r="G42" s="548" t="s">
        <v>48</v>
      </c>
      <c r="H42" s="548"/>
      <c r="I42" s="292"/>
      <c r="J42" s="548" t="s">
        <v>50</v>
      </c>
      <c r="K42" s="549"/>
      <c r="L42" s="44"/>
      <c r="M42" s="44"/>
      <c r="N42" s="44"/>
      <c r="O42" s="45"/>
      <c r="P42" s="45"/>
      <c r="Q42" s="45"/>
      <c r="R42" s="558" t="s">
        <v>168</v>
      </c>
      <c r="S42" s="559"/>
      <c r="T42" s="559"/>
      <c r="U42" s="560"/>
      <c r="AC42" s="45"/>
    </row>
    <row r="43" spans="1:43" ht="24.75" thickTop="1" thickBot="1" x14ac:dyDescent="0.3">
      <c r="A43" s="284" t="s">
        <v>135</v>
      </c>
      <c r="B43" s="285">
        <f>SUM(B40:AC40)</f>
        <v>102237.21338788456</v>
      </c>
      <c r="C43" s="12"/>
      <c r="D43" s="284" t="s">
        <v>135</v>
      </c>
      <c r="E43" s="285">
        <f>SUM(B40:H40)+P40+R40+T40+V40+X40+Z40</f>
        <v>25076.447795727454</v>
      </c>
      <c r="F43" s="12"/>
      <c r="G43" s="284" t="s">
        <v>135</v>
      </c>
      <c r="H43" s="285">
        <f>SUM(I40:N40)+O40+Q40+S40+U40+W40+Y40</f>
        <v>76798.665740669065</v>
      </c>
      <c r="I43" s="12"/>
      <c r="J43" s="284" t="s">
        <v>200</v>
      </c>
      <c r="K43" s="285">
        <v>83794.67</v>
      </c>
      <c r="L43" s="12"/>
      <c r="M43" s="12"/>
      <c r="N43" s="12"/>
      <c r="O43" s="12"/>
      <c r="P43" s="12"/>
      <c r="Q43" s="12"/>
      <c r="R43" s="322" t="s">
        <v>135</v>
      </c>
      <c r="S43" s="323"/>
      <c r="T43" s="316" t="s">
        <v>169</v>
      </c>
      <c r="U43" s="257" t="s">
        <v>170</v>
      </c>
    </row>
    <row r="44" spans="1:43" ht="24" thickBot="1" x14ac:dyDescent="0.4">
      <c r="A44" s="286" t="s">
        <v>185</v>
      </c>
      <c r="B44" s="287">
        <f>SUM(AH40:AQ40)</f>
        <v>31076.873518977547</v>
      </c>
      <c r="C44" s="12"/>
      <c r="D44" s="286" t="s">
        <v>185</v>
      </c>
      <c r="E44" s="287">
        <f>AH40*(1-$AG$39)+AI40+AJ40*0.5+AL40+AM40*(1-$AG$39)+AN40*(1-$AG$39)+AO40*(1-$AG$39)+AP40*0.5+AQ40*0.5</f>
        <v>12829.777242440619</v>
      </c>
      <c r="F44" s="24"/>
      <c r="G44" s="286" t="s">
        <v>185</v>
      </c>
      <c r="H44" s="287">
        <f>AH40*AG39+AJ40*0.5+AK40+AM40*AG39+AN40*AG39+AO40*AG39+AP40*0.5+AQ40*0.5</f>
        <v>18247.096276536926</v>
      </c>
      <c r="I44" s="12"/>
      <c r="J44" s="12"/>
      <c r="K44" s="290"/>
      <c r="L44" s="12"/>
      <c r="M44" s="12"/>
      <c r="N44" s="12"/>
      <c r="O44" s="12"/>
      <c r="P44" s="12"/>
      <c r="Q44" s="12"/>
      <c r="R44" s="320" t="s">
        <v>141</v>
      </c>
      <c r="S44" s="321"/>
      <c r="T44" s="256">
        <f>$W$38+$X$38</f>
        <v>1334.8040383378664</v>
      </c>
      <c r="U44" s="258">
        <f>(T44*8.34*0.895)/27000</f>
        <v>0.36901399197649393</v>
      </c>
    </row>
    <row r="45" spans="1:43" ht="32.25" thickBot="1" x14ac:dyDescent="0.3">
      <c r="A45" s="288" t="s">
        <v>186</v>
      </c>
      <c r="B45" s="289">
        <f>SUM(AH41:AQ41)</f>
        <v>3614.7099999999991</v>
      </c>
      <c r="C45" s="12"/>
      <c r="D45" s="288" t="s">
        <v>186</v>
      </c>
      <c r="E45" s="289">
        <f>AH41*(1-$AG$39)+AJ41*0.5+AL41+AM41*(1-$AG$39)+AN41*(1-$AG$39)+AP41*0.5+AQ41*0.5</f>
        <v>1866.1000290087998</v>
      </c>
      <c r="F45" s="23"/>
      <c r="G45" s="288" t="s">
        <v>186</v>
      </c>
      <c r="H45" s="289">
        <f>AH41*AG39+AJ41*0.5+AK41+AM41*AG39+AN41*AG39+AP41*0.5+AQ41*0.5</f>
        <v>1748.6099709911998</v>
      </c>
      <c r="I45" s="12"/>
      <c r="J45" s="550" t="s">
        <v>201</v>
      </c>
      <c r="K45" s="551"/>
      <c r="L45" s="12"/>
      <c r="M45" s="12"/>
      <c r="N45" s="12"/>
      <c r="O45" s="12"/>
      <c r="P45" s="12"/>
      <c r="Q45" s="12"/>
      <c r="R45" s="320" t="s">
        <v>145</v>
      </c>
      <c r="S45" s="321"/>
      <c r="T45" s="256">
        <f>$M$38+$N$38+$F$38</f>
        <v>0</v>
      </c>
      <c r="U45" s="259">
        <f>(((T45*8.34)*0.005)/(8.34*1.055))/400</f>
        <v>0</v>
      </c>
    </row>
    <row r="46" spans="1:43" ht="24.75" thickTop="1" thickBot="1" x14ac:dyDescent="0.4">
      <c r="A46" s="288" t="s">
        <v>187</v>
      </c>
      <c r="B46" s="289">
        <f>K43</f>
        <v>83794.67</v>
      </c>
      <c r="C46" s="12"/>
      <c r="D46" s="288" t="s">
        <v>189</v>
      </c>
      <c r="E46" s="289">
        <f>K43*0.5</f>
        <v>41897.334999999999</v>
      </c>
      <c r="F46" s="24"/>
      <c r="G46" s="288" t="s">
        <v>187</v>
      </c>
      <c r="H46" s="289">
        <f>K43*0.5</f>
        <v>41897.334999999999</v>
      </c>
      <c r="I46" s="12"/>
      <c r="J46" s="284" t="s">
        <v>200</v>
      </c>
      <c r="K46" s="285">
        <v>37020.800000000003</v>
      </c>
      <c r="L46" s="12"/>
      <c r="M46" s="12"/>
      <c r="N46" s="12"/>
      <c r="O46" s="12"/>
      <c r="P46" s="12"/>
      <c r="Q46" s="12"/>
      <c r="R46" s="320" t="s">
        <v>148</v>
      </c>
      <c r="S46" s="321"/>
      <c r="T46" s="256">
        <f>$G$38</f>
        <v>17116.38</v>
      </c>
      <c r="U46" s="258">
        <f>T46/40000</f>
        <v>0.4279095</v>
      </c>
    </row>
    <row r="47" spans="1:43" ht="24" thickBot="1" x14ac:dyDescent="0.3">
      <c r="A47" s="288" t="s">
        <v>188</v>
      </c>
      <c r="B47" s="289">
        <f>K46</f>
        <v>37020.800000000003</v>
      </c>
      <c r="C47" s="12"/>
      <c r="D47" s="288" t="s">
        <v>188</v>
      </c>
      <c r="E47" s="289">
        <f>K46*0.5</f>
        <v>18510.400000000001</v>
      </c>
      <c r="F47" s="23"/>
      <c r="G47" s="288" t="s">
        <v>188</v>
      </c>
      <c r="H47" s="289">
        <f>K46*0.5</f>
        <v>18510.400000000001</v>
      </c>
      <c r="I47" s="12"/>
      <c r="J47" s="12"/>
      <c r="K47" s="86"/>
      <c r="L47" s="12"/>
      <c r="M47" s="12"/>
      <c r="N47" s="12"/>
      <c r="O47" s="12"/>
      <c r="P47" s="12"/>
      <c r="Q47" s="12"/>
      <c r="R47" s="320" t="s">
        <v>150</v>
      </c>
      <c r="S47" s="321"/>
      <c r="T47" s="256">
        <f>$L$38</f>
        <v>0</v>
      </c>
      <c r="U47" s="258">
        <f>T47*9.34*0.107</f>
        <v>0</v>
      </c>
    </row>
    <row r="48" spans="1:43" ht="48" thickTop="1" thickBot="1" x14ac:dyDescent="0.3">
      <c r="A48" s="293" t="s">
        <v>196</v>
      </c>
      <c r="B48" s="294">
        <f>AD39</f>
        <v>609.46026683946479</v>
      </c>
      <c r="C48" s="12"/>
      <c r="D48" s="293" t="s">
        <v>197</v>
      </c>
      <c r="E48" s="294">
        <f>AF39</f>
        <v>57.918604896793113</v>
      </c>
      <c r="F48" s="23"/>
      <c r="G48" s="293" t="s">
        <v>198</v>
      </c>
      <c r="H48" s="294">
        <f>AE39</f>
        <v>541.92318465257154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152</v>
      </c>
      <c r="S48" s="321"/>
      <c r="T48" s="256">
        <f>$E$38+$K$38</f>
        <v>1486.7613957514377</v>
      </c>
      <c r="U48" s="258">
        <f>(T48*8.34*1.04)/45000</f>
        <v>0.28656830315977044</v>
      </c>
    </row>
    <row r="49" spans="1:25" ht="48" thickTop="1" thickBot="1" x14ac:dyDescent="0.3">
      <c r="A49" s="293" t="s">
        <v>192</v>
      </c>
      <c r="B49" s="295">
        <f>(SUM(B43:B47)/AD39)</f>
        <v>422.905775701295</v>
      </c>
      <c r="C49" s="12"/>
      <c r="D49" s="293" t="s">
        <v>190</v>
      </c>
      <c r="E49" s="295">
        <f>SUM(E43:E47)/AF39</f>
        <v>1729.6697709775763</v>
      </c>
      <c r="F49" s="23"/>
      <c r="G49" s="293" t="s">
        <v>191</v>
      </c>
      <c r="H49" s="295">
        <f>SUM(H43:H47)/AE39</f>
        <v>290.08189987106732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153</v>
      </c>
      <c r="S49" s="321"/>
      <c r="T49" s="256">
        <f>$U$38+$V$38+$AB$38</f>
        <v>16787.553145743732</v>
      </c>
      <c r="U49" s="258">
        <f>T49/2000/8</f>
        <v>1.0492220716089833</v>
      </c>
    </row>
    <row r="50" spans="1:25" ht="47.25" customHeight="1" thickTop="1" thickBot="1" x14ac:dyDescent="0.3">
      <c r="A50" s="283" t="s">
        <v>193</v>
      </c>
      <c r="B50" s="296">
        <f>B49/1000</f>
        <v>0.42290577570129501</v>
      </c>
      <c r="C50" s="12"/>
      <c r="D50" s="283" t="s">
        <v>194</v>
      </c>
      <c r="E50" s="296">
        <f>E49/1000</f>
        <v>1.7296697709775763</v>
      </c>
      <c r="F50" s="12"/>
      <c r="G50" s="283" t="s">
        <v>195</v>
      </c>
      <c r="H50" s="296">
        <f>H49/1000</f>
        <v>0.29008189987106731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154</v>
      </c>
      <c r="S50" s="321"/>
      <c r="T50" s="256">
        <f>$C$38+$J$38+$S$38+$T$38</f>
        <v>31728.951141629615</v>
      </c>
      <c r="U50" s="258">
        <f>(T50*8.34*1.4)/45000</f>
        <v>8.2326051895481633</v>
      </c>
    </row>
    <row r="51" spans="1:25" ht="16.5" thickTop="1" thickBot="1" x14ac:dyDescent="0.3">
      <c r="A51" s="305"/>
      <c r="B51" s="12"/>
      <c r="C51" s="12"/>
      <c r="D51" s="12"/>
      <c r="E51" s="12"/>
      <c r="F51" s="12"/>
      <c r="G51" s="12"/>
      <c r="H51" s="12"/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155</v>
      </c>
      <c r="S51" s="321"/>
      <c r="T51" s="256">
        <f>$H$38</f>
        <v>563.25927208860674</v>
      </c>
      <c r="U51" s="258">
        <f>(T51*8.34*1.135)/45000</f>
        <v>0.11848346541474537</v>
      </c>
    </row>
    <row r="52" spans="1:25" ht="48" customHeight="1" thickTop="1" thickBot="1" x14ac:dyDescent="0.3">
      <c r="A52" s="561" t="s">
        <v>51</v>
      </c>
      <c r="B52" s="562"/>
      <c r="C52" s="562"/>
      <c r="D52" s="562"/>
      <c r="E52" s="563"/>
      <c r="F52" s="12"/>
      <c r="G52" s="12"/>
      <c r="H52" s="12"/>
      <c r="I52" s="373">
        <f>E43/E48</f>
        <v>432.96014882285101</v>
      </c>
      <c r="J52" s="12"/>
      <c r="K52" s="86"/>
      <c r="L52" s="12"/>
      <c r="M52" s="12"/>
      <c r="N52" s="12"/>
      <c r="O52" s="12"/>
      <c r="P52" s="12"/>
      <c r="Q52" s="12"/>
      <c r="R52" s="320" t="s">
        <v>156</v>
      </c>
      <c r="S52" s="321"/>
      <c r="T52" s="256">
        <f>$B$38+$I$38+$AC$38</f>
        <v>15508.346782573059</v>
      </c>
      <c r="U52" s="258">
        <f>(T52*8.34*1.029*0.03)/3300</f>
        <v>1.2099132810862947</v>
      </c>
    </row>
    <row r="53" spans="1:25" ht="54" customHeight="1" thickBot="1" x14ac:dyDescent="0.3">
      <c r="A53" s="545" t="s">
        <v>202</v>
      </c>
      <c r="B53" s="546"/>
      <c r="C53" s="546"/>
      <c r="D53" s="546"/>
      <c r="E53" s="547"/>
      <c r="F53" s="87"/>
      <c r="G53" s="87"/>
      <c r="H53" s="87"/>
      <c r="I53" s="87"/>
      <c r="J53" s="87"/>
      <c r="K53" s="88"/>
      <c r="L53" s="12"/>
      <c r="M53" s="12"/>
      <c r="N53" s="12"/>
      <c r="O53" s="12"/>
      <c r="P53" s="12"/>
      <c r="Q53" s="12"/>
      <c r="R53" s="555" t="s">
        <v>158</v>
      </c>
      <c r="S53" s="556"/>
      <c r="T53" s="260">
        <f>$D$38+$Y$38+$Z$38</f>
        <v>18506.464193252723</v>
      </c>
      <c r="U53" s="261">
        <f>(T53*1.54*8.34)/45000</f>
        <v>5.2819916336102368</v>
      </c>
    </row>
    <row r="54" spans="1:25" ht="24" thickTop="1" x14ac:dyDescent="0.25">
      <c r="A54" s="591"/>
      <c r="B54" s="59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x14ac:dyDescent="0.25">
      <c r="A55" s="593"/>
      <c r="B55" s="59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89"/>
      <c r="B56" s="59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90"/>
      <c r="B57" s="59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9"/>
      <c r="B58" s="59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90"/>
      <c r="B59" s="590"/>
      <c r="C59" s="12"/>
      <c r="D59" s="12"/>
      <c r="E59" s="12"/>
      <c r="F59" s="12"/>
      <c r="G59" s="12"/>
      <c r="H59" s="12"/>
      <c r="I59" s="12"/>
      <c r="J59" s="12"/>
      <c r="K59" s="12"/>
    </row>
    <row r="60" spans="1:25" x14ac:dyDescent="0.25">
      <c r="A60" s="12"/>
      <c r="B60" s="12"/>
      <c r="C60" s="12"/>
    </row>
    <row r="61" spans="1:25" x14ac:dyDescent="0.25">
      <c r="A61" s="12"/>
      <c r="B61" s="12"/>
      <c r="C61" s="12"/>
    </row>
  </sheetData>
  <sheetProtection algorithmName="SHA-512" hashValue="qHIH1B32yL46lDbPnIIAwQ+F2HzCi3CmPkT6MpoLaLODt3iBDevCSBfpFTEOAeQC8YVCUaTUOlJ927f1p1bkgw==" saltValue="O8SM0GEAnByi1dlQooc74Q==" spinCount="100000" sheet="1" objects="1" scenarios="1" selectLockedCells="1" selectUnlockedCells="1"/>
  <mergeCells count="34">
    <mergeCell ref="R42:U42"/>
    <mergeCell ref="A52:E52"/>
    <mergeCell ref="A53:E53"/>
    <mergeCell ref="R53:S53"/>
    <mergeCell ref="AM4:AM5"/>
    <mergeCell ref="A41:K41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6:B57"/>
    <mergeCell ref="A58:B59"/>
    <mergeCell ref="A54:B54"/>
    <mergeCell ref="A55:B55"/>
    <mergeCell ref="J42:K42"/>
    <mergeCell ref="J45:K45"/>
    <mergeCell ref="A42:B42"/>
    <mergeCell ref="D42:E42"/>
    <mergeCell ref="G42:H42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topLeftCell="AH1" zoomScale="60" zoomScaleNormal="60" workbookViewId="0">
      <selection activeCell="AH39" sqref="AH39:AQ39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41821</v>
      </c>
      <c r="B8" s="49"/>
      <c r="C8" s="50">
        <v>30.696972211201835</v>
      </c>
      <c r="D8" s="50">
        <v>271.82536317507396</v>
      </c>
      <c r="E8" s="50">
        <v>6.3096628288428018</v>
      </c>
      <c r="F8" s="50">
        <v>0</v>
      </c>
      <c r="G8" s="50">
        <v>540</v>
      </c>
      <c r="H8" s="51">
        <v>24.851811305681831</v>
      </c>
      <c r="I8" s="49">
        <v>596.17969783147146</v>
      </c>
      <c r="J8" s="50">
        <v>1204.5365323384599</v>
      </c>
      <c r="K8" s="50">
        <v>55.217270294825354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545.28446598242977</v>
      </c>
      <c r="V8" s="54">
        <v>49.57338082865423</v>
      </c>
      <c r="W8" s="54">
        <v>49.466354648737486</v>
      </c>
      <c r="X8" s="54">
        <v>4.4971287285600932</v>
      </c>
      <c r="Y8" s="54">
        <v>383.15572093990033</v>
      </c>
      <c r="Z8" s="54">
        <v>34.833789802923313</v>
      </c>
      <c r="AA8" s="55">
        <v>0</v>
      </c>
      <c r="AB8" s="56">
        <v>76.09663489659745</v>
      </c>
      <c r="AC8" s="57">
        <v>0</v>
      </c>
      <c r="AD8" s="57">
        <v>23.977066104941891</v>
      </c>
      <c r="AE8" s="58">
        <v>21.510441055148394</v>
      </c>
      <c r="AF8" s="58">
        <v>1.955576130887891</v>
      </c>
      <c r="AG8" s="58">
        <v>0.91666348339454984</v>
      </c>
      <c r="AH8" s="57">
        <v>199.04406342506408</v>
      </c>
      <c r="AI8" s="57">
        <v>811.87758239110315</v>
      </c>
      <c r="AJ8" s="57">
        <v>3198.0318472544354</v>
      </c>
      <c r="AK8" s="57">
        <v>683.93271245956419</v>
      </c>
      <c r="AL8" s="57">
        <v>2214.6724806467691</v>
      </c>
      <c r="AM8" s="57">
        <v>2270.554466247559</v>
      </c>
      <c r="AN8" s="57">
        <v>573.68150256474814</v>
      </c>
      <c r="AO8" s="57">
        <v>2946.9711657206221</v>
      </c>
      <c r="AP8" s="57">
        <v>295.26081972122188</v>
      </c>
      <c r="AQ8" s="57">
        <v>869.47873849868779</v>
      </c>
    </row>
    <row r="9" spans="1:47" x14ac:dyDescent="0.25">
      <c r="A9" s="11">
        <v>41822</v>
      </c>
      <c r="B9" s="59"/>
      <c r="C9" s="60">
        <v>31.845717479785336</v>
      </c>
      <c r="D9" s="60">
        <v>271.46280412673866</v>
      </c>
      <c r="E9" s="60">
        <v>6.3000298192103719</v>
      </c>
      <c r="F9" s="60">
        <v>0</v>
      </c>
      <c r="G9" s="60">
        <v>585.6</v>
      </c>
      <c r="H9" s="61">
        <v>24.750237669547385</v>
      </c>
      <c r="I9" s="59">
        <v>533.96015510559118</v>
      </c>
      <c r="J9" s="60">
        <v>1095.7858527501412</v>
      </c>
      <c r="K9" s="60">
        <v>49.910549255212054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500.27551557515108</v>
      </c>
      <c r="V9" s="62">
        <v>49.939027449551318</v>
      </c>
      <c r="W9" s="62">
        <v>45.336431190281232</v>
      </c>
      <c r="X9" s="62">
        <v>4.5256208053141149</v>
      </c>
      <c r="Y9" s="66">
        <v>352.90346485568944</v>
      </c>
      <c r="Z9" s="66">
        <v>35.227899966698715</v>
      </c>
      <c r="AA9" s="67">
        <v>0</v>
      </c>
      <c r="AB9" s="68">
        <v>67.630981879764803</v>
      </c>
      <c r="AC9" s="69">
        <v>0</v>
      </c>
      <c r="AD9" s="69">
        <v>22.498023868931643</v>
      </c>
      <c r="AE9" s="68">
        <v>20.031456549463599</v>
      </c>
      <c r="AF9" s="68">
        <v>1.9996010744761004</v>
      </c>
      <c r="AG9" s="68">
        <v>0.90923717287620065</v>
      </c>
      <c r="AH9" s="69">
        <v>195.91445378462475</v>
      </c>
      <c r="AI9" s="69">
        <v>819.57235886255887</v>
      </c>
      <c r="AJ9" s="69">
        <v>3239.0798815409344</v>
      </c>
      <c r="AK9" s="69">
        <v>663.37329896291089</v>
      </c>
      <c r="AL9" s="69">
        <v>2239.8838113149004</v>
      </c>
      <c r="AM9" s="69">
        <v>2197.2127405802407</v>
      </c>
      <c r="AN9" s="69">
        <v>567.42837243080146</v>
      </c>
      <c r="AO9" s="69">
        <v>2812.3376038869224</v>
      </c>
      <c r="AP9" s="69">
        <v>304.68680284818015</v>
      </c>
      <c r="AQ9" s="69">
        <v>922.31015930175772</v>
      </c>
    </row>
    <row r="10" spans="1:47" x14ac:dyDescent="0.25">
      <c r="A10" s="11">
        <v>41823</v>
      </c>
      <c r="B10" s="59"/>
      <c r="C10" s="60">
        <v>31.871549983819236</v>
      </c>
      <c r="D10" s="60">
        <v>272.57745307286569</v>
      </c>
      <c r="E10" s="60">
        <v>6.2964824189742448</v>
      </c>
      <c r="F10" s="60">
        <v>0</v>
      </c>
      <c r="G10" s="60">
        <v>585.6</v>
      </c>
      <c r="H10" s="61">
        <v>24.870948919653909</v>
      </c>
      <c r="I10" s="59">
        <v>610.87415018081651</v>
      </c>
      <c r="J10" s="60">
        <v>1314.960910860698</v>
      </c>
      <c r="K10" s="60">
        <v>60.082566012938734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637.34929953788253</v>
      </c>
      <c r="V10" s="62">
        <v>48.471862330950792</v>
      </c>
      <c r="W10" s="62">
        <v>55.029487424416118</v>
      </c>
      <c r="X10" s="62">
        <v>4.1851175493769297</v>
      </c>
      <c r="Y10" s="66">
        <v>420.8578108823416</v>
      </c>
      <c r="Z10" s="66">
        <v>32.00719273526348</v>
      </c>
      <c r="AA10" s="67">
        <v>0</v>
      </c>
      <c r="AB10" s="68">
        <v>81.431893648041324</v>
      </c>
      <c r="AC10" s="69">
        <v>0</v>
      </c>
      <c r="AD10" s="69">
        <v>25.677953808175179</v>
      </c>
      <c r="AE10" s="68">
        <v>23.402476878744213</v>
      </c>
      <c r="AF10" s="68">
        <v>1.7798115386527136</v>
      </c>
      <c r="AG10" s="68">
        <v>0.92932288324427459</v>
      </c>
      <c r="AH10" s="69">
        <v>187.2942008972168</v>
      </c>
      <c r="AI10" s="69">
        <v>835.60145705540981</v>
      </c>
      <c r="AJ10" s="69">
        <v>3291.2728429158528</v>
      </c>
      <c r="AK10" s="69">
        <v>669.73668270111091</v>
      </c>
      <c r="AL10" s="69">
        <v>2158.5616245269775</v>
      </c>
      <c r="AM10" s="69">
        <v>2266.8450469970703</v>
      </c>
      <c r="AN10" s="69">
        <v>585.44929776191702</v>
      </c>
      <c r="AO10" s="69">
        <v>3145.6889456431077</v>
      </c>
      <c r="AP10" s="69">
        <v>354.65820569992064</v>
      </c>
      <c r="AQ10" s="69">
        <v>938.90967737833671</v>
      </c>
    </row>
    <row r="11" spans="1:47" x14ac:dyDescent="0.25">
      <c r="A11" s="11">
        <v>41824</v>
      </c>
      <c r="B11" s="59"/>
      <c r="C11" s="60">
        <v>31.453942652542878</v>
      </c>
      <c r="D11" s="60">
        <v>271.83914691607112</v>
      </c>
      <c r="E11" s="60">
        <v>6.2893587996562301</v>
      </c>
      <c r="F11" s="60">
        <v>0</v>
      </c>
      <c r="G11" s="60">
        <v>540</v>
      </c>
      <c r="H11" s="61">
        <v>24.804333313306167</v>
      </c>
      <c r="I11" s="59">
        <v>494.31620780626935</v>
      </c>
      <c r="J11" s="60">
        <v>1082.9701218287132</v>
      </c>
      <c r="K11" s="60">
        <v>49.398173413674002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506.44939688729693</v>
      </c>
      <c r="V11" s="62">
        <v>51.826998486578148</v>
      </c>
      <c r="W11" s="62">
        <v>44.706173325792108</v>
      </c>
      <c r="X11" s="62">
        <v>4.5749620624232676</v>
      </c>
      <c r="Y11" s="66">
        <v>339.4740069620097</v>
      </c>
      <c r="Z11" s="66">
        <v>34.739736986927383</v>
      </c>
      <c r="AA11" s="67">
        <v>0</v>
      </c>
      <c r="AB11" s="68">
        <v>60.961482392416663</v>
      </c>
      <c r="AC11" s="69">
        <v>0</v>
      </c>
      <c r="AD11" s="69">
        <v>17.72587630086473</v>
      </c>
      <c r="AE11" s="68">
        <v>19.276424909212892</v>
      </c>
      <c r="AF11" s="68">
        <v>1.9726338914344423</v>
      </c>
      <c r="AG11" s="68">
        <v>0.90716605803856376</v>
      </c>
      <c r="AH11" s="69">
        <v>186.26706081231436</v>
      </c>
      <c r="AI11" s="69">
        <v>847.01369771957411</v>
      </c>
      <c r="AJ11" s="69">
        <v>3283.5126431783046</v>
      </c>
      <c r="AK11" s="69">
        <v>667.4346572875977</v>
      </c>
      <c r="AL11" s="69">
        <v>2162.2158223470051</v>
      </c>
      <c r="AM11" s="69">
        <v>2221.7507596333821</v>
      </c>
      <c r="AN11" s="69">
        <v>599.20780992507935</v>
      </c>
      <c r="AO11" s="69">
        <v>2675.2142759958906</v>
      </c>
      <c r="AP11" s="69">
        <v>354.91411252021777</v>
      </c>
      <c r="AQ11" s="69">
        <v>962.21808687845851</v>
      </c>
    </row>
    <row r="12" spans="1:47" x14ac:dyDescent="0.25">
      <c r="A12" s="11">
        <v>41825</v>
      </c>
      <c r="B12" s="59"/>
      <c r="C12" s="60">
        <v>31.301403540372711</v>
      </c>
      <c r="D12" s="60">
        <v>271.69786705970768</v>
      </c>
      <c r="E12" s="60">
        <v>6.2955030252536179</v>
      </c>
      <c r="F12" s="60">
        <v>0</v>
      </c>
      <c r="G12" s="60">
        <v>585.6</v>
      </c>
      <c r="H12" s="61">
        <v>24.75999369025228</v>
      </c>
      <c r="I12" s="59">
        <v>509.6024489084885</v>
      </c>
      <c r="J12" s="60">
        <v>1081.9330752690614</v>
      </c>
      <c r="K12" s="60">
        <v>49.209450451533087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480.31134822616127</v>
      </c>
      <c r="V12" s="62">
        <v>48.052377436066763</v>
      </c>
      <c r="W12" s="62">
        <v>45.061757103549709</v>
      </c>
      <c r="X12" s="62">
        <v>4.5081686457521712</v>
      </c>
      <c r="Y12" s="66">
        <v>350.34222244957687</v>
      </c>
      <c r="Z12" s="66">
        <v>35.049716745419559</v>
      </c>
      <c r="AA12" s="67">
        <v>0</v>
      </c>
      <c r="AB12" s="68">
        <v>66.692461660172626</v>
      </c>
      <c r="AC12" s="69">
        <v>0</v>
      </c>
      <c r="AD12" s="69">
        <v>22.224617820315881</v>
      </c>
      <c r="AE12" s="68">
        <v>19.993285881889012</v>
      </c>
      <c r="AF12" s="68">
        <v>2.0002128263922354</v>
      </c>
      <c r="AG12" s="68">
        <v>0.90905435952129376</v>
      </c>
      <c r="AH12" s="69">
        <v>201.56589088439941</v>
      </c>
      <c r="AI12" s="69">
        <v>845.36814177831013</v>
      </c>
      <c r="AJ12" s="69">
        <v>3268.530648295085</v>
      </c>
      <c r="AK12" s="69">
        <v>666.8761687914531</v>
      </c>
      <c r="AL12" s="69">
        <v>2145.2552265167237</v>
      </c>
      <c r="AM12" s="69">
        <v>2203.5006524403889</v>
      </c>
      <c r="AN12" s="69">
        <v>593.21467668215416</v>
      </c>
      <c r="AO12" s="69">
        <v>2963.8005901336669</v>
      </c>
      <c r="AP12" s="69">
        <v>335.97404810587568</v>
      </c>
      <c r="AQ12" s="69">
        <v>1002.8706824620564</v>
      </c>
    </row>
    <row r="13" spans="1:47" x14ac:dyDescent="0.25">
      <c r="A13" s="11">
        <v>41826</v>
      </c>
      <c r="B13" s="59"/>
      <c r="C13" s="60">
        <v>31.336604009071923</v>
      </c>
      <c r="D13" s="60">
        <v>271.54804395039838</v>
      </c>
      <c r="E13" s="60">
        <v>6.2917399083574601</v>
      </c>
      <c r="F13" s="60">
        <v>0</v>
      </c>
      <c r="G13" s="60">
        <v>540</v>
      </c>
      <c r="H13" s="61">
        <v>24.730262241760894</v>
      </c>
      <c r="I13" s="59">
        <v>572.93835137685176</v>
      </c>
      <c r="J13" s="60">
        <v>1176.2048831939696</v>
      </c>
      <c r="K13" s="60">
        <v>53.74584067662564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522.56178042496185</v>
      </c>
      <c r="V13" s="62">
        <v>48.007598237148684</v>
      </c>
      <c r="W13" s="62">
        <v>49.235097545322951</v>
      </c>
      <c r="X13" s="62">
        <v>4.5232140402623706</v>
      </c>
      <c r="Y13" s="66">
        <v>376.56934629111066</v>
      </c>
      <c r="Z13" s="66">
        <v>34.595315926985066</v>
      </c>
      <c r="AA13" s="67">
        <v>0</v>
      </c>
      <c r="AB13" s="68">
        <v>73.246887715658659</v>
      </c>
      <c r="AC13" s="69">
        <v>0</v>
      </c>
      <c r="AD13" s="69">
        <v>23.997806710667053</v>
      </c>
      <c r="AE13" s="68">
        <v>21.768773866538915</v>
      </c>
      <c r="AF13" s="68">
        <v>1.9998909010342565</v>
      </c>
      <c r="AG13" s="68">
        <v>0.91586019153408049</v>
      </c>
      <c r="AH13" s="69">
        <v>206.38323211669922</v>
      </c>
      <c r="AI13" s="69">
        <v>868.42295929590864</v>
      </c>
      <c r="AJ13" s="69">
        <v>3292.3662775675457</v>
      </c>
      <c r="AK13" s="69">
        <v>674.68098211288452</v>
      </c>
      <c r="AL13" s="69">
        <v>2212.7526821136476</v>
      </c>
      <c r="AM13" s="69">
        <v>2179.3100060780844</v>
      </c>
      <c r="AN13" s="69">
        <v>627.36200399398797</v>
      </c>
      <c r="AO13" s="69">
        <v>3116.5453662872305</v>
      </c>
      <c r="AP13" s="69">
        <v>344.6767182668051</v>
      </c>
      <c r="AQ13" s="69">
        <v>975.11981709798158</v>
      </c>
    </row>
    <row r="14" spans="1:47" x14ac:dyDescent="0.25">
      <c r="A14" s="11">
        <v>41827</v>
      </c>
      <c r="B14" s="59"/>
      <c r="C14" s="60">
        <v>31.151206245024703</v>
      </c>
      <c r="D14" s="60">
        <v>271.42385274569193</v>
      </c>
      <c r="E14" s="60">
        <v>6.2912511577208914</v>
      </c>
      <c r="F14" s="60">
        <v>0</v>
      </c>
      <c r="G14" s="60">
        <v>585.6</v>
      </c>
      <c r="H14" s="61">
        <v>24.755018320679667</v>
      </c>
      <c r="I14" s="59">
        <v>579.0463650703432</v>
      </c>
      <c r="J14" s="60">
        <v>1188.507036844888</v>
      </c>
      <c r="K14" s="60">
        <v>54.012713678677876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525.86885008677791</v>
      </c>
      <c r="V14" s="62">
        <v>47.808324142318249</v>
      </c>
      <c r="W14" s="62">
        <v>49.559214256212407</v>
      </c>
      <c r="X14" s="62">
        <v>4.5055777291402936</v>
      </c>
      <c r="Y14" s="66">
        <v>378.92052671734683</v>
      </c>
      <c r="Z14" s="66">
        <v>34.448808600265032</v>
      </c>
      <c r="AA14" s="67">
        <v>0</v>
      </c>
      <c r="AB14" s="68">
        <v>74.356027942234292</v>
      </c>
      <c r="AC14" s="69">
        <v>0</v>
      </c>
      <c r="AD14" s="69">
        <v>24.118447813722838</v>
      </c>
      <c r="AE14" s="68">
        <v>21.887928829983007</v>
      </c>
      <c r="AF14" s="68">
        <v>1.989897663904491</v>
      </c>
      <c r="AG14" s="68">
        <v>0.91666336697714568</v>
      </c>
      <c r="AH14" s="69">
        <v>207.09100507100425</v>
      </c>
      <c r="AI14" s="69">
        <v>880.04860986073834</v>
      </c>
      <c r="AJ14" s="69">
        <v>3349.4910497029618</v>
      </c>
      <c r="AK14" s="69">
        <v>678.5673410733541</v>
      </c>
      <c r="AL14" s="69">
        <v>2218.8985542297364</v>
      </c>
      <c r="AM14" s="69">
        <v>2169.3658073425295</v>
      </c>
      <c r="AN14" s="69">
        <v>740.90862094561271</v>
      </c>
      <c r="AO14" s="69">
        <v>3094.5463965098061</v>
      </c>
      <c r="AP14" s="69">
        <v>345.61665954589841</v>
      </c>
      <c r="AQ14" s="69">
        <v>1055.3342567125958</v>
      </c>
    </row>
    <row r="15" spans="1:47" x14ac:dyDescent="0.25">
      <c r="A15" s="11">
        <v>41828</v>
      </c>
      <c r="B15" s="59"/>
      <c r="C15" s="60">
        <v>31.632212497790427</v>
      </c>
      <c r="D15" s="60">
        <v>272.33309847513766</v>
      </c>
      <c r="E15" s="60">
        <v>6.2741540099183775</v>
      </c>
      <c r="F15" s="60">
        <v>0</v>
      </c>
      <c r="G15" s="60">
        <v>690.96</v>
      </c>
      <c r="H15" s="61">
        <v>24.882542111476276</v>
      </c>
      <c r="I15" s="59">
        <v>464.13492612838706</v>
      </c>
      <c r="J15" s="60">
        <v>901.67003650665345</v>
      </c>
      <c r="K15" s="60">
        <v>40.884124676386527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397.61286022197783</v>
      </c>
      <c r="V15" s="62">
        <v>47.881604948989704</v>
      </c>
      <c r="W15" s="62">
        <v>37.495140970235774</v>
      </c>
      <c r="X15" s="62">
        <v>4.5152652417761816</v>
      </c>
      <c r="Y15" s="66">
        <v>272.82560163718091</v>
      </c>
      <c r="Z15" s="66">
        <v>32.854389242513406</v>
      </c>
      <c r="AA15" s="67">
        <v>0</v>
      </c>
      <c r="AB15" s="68">
        <v>59.558789534040642</v>
      </c>
      <c r="AC15" s="69">
        <v>0</v>
      </c>
      <c r="AD15" s="69">
        <v>18.822929105493746</v>
      </c>
      <c r="AE15" s="68">
        <v>16.60960168550853</v>
      </c>
      <c r="AF15" s="68">
        <v>2.0001726951728847</v>
      </c>
      <c r="AG15" s="68">
        <v>0.89252031463373138</v>
      </c>
      <c r="AH15" s="69">
        <v>192.17820925712584</v>
      </c>
      <c r="AI15" s="69">
        <v>847.21466846466046</v>
      </c>
      <c r="AJ15" s="69">
        <v>3283.5119889577227</v>
      </c>
      <c r="AK15" s="69">
        <v>651.66106805801405</v>
      </c>
      <c r="AL15" s="69">
        <v>2118.2017573038738</v>
      </c>
      <c r="AM15" s="69">
        <v>2172.3919934590658</v>
      </c>
      <c r="AN15" s="69">
        <v>600.26609241167705</v>
      </c>
      <c r="AO15" s="69">
        <v>2626.8578290303549</v>
      </c>
      <c r="AP15" s="69">
        <v>354.71192024548844</v>
      </c>
      <c r="AQ15" s="69">
        <v>947.30885645548494</v>
      </c>
    </row>
    <row r="16" spans="1:47" x14ac:dyDescent="0.25">
      <c r="A16" s="11">
        <v>41829</v>
      </c>
      <c r="B16" s="59"/>
      <c r="C16" s="60">
        <v>31.468709657589496</v>
      </c>
      <c r="D16" s="60">
        <v>272.37235129674264</v>
      </c>
      <c r="E16" s="60">
        <v>6.2673211867610741</v>
      </c>
      <c r="F16" s="60">
        <v>0</v>
      </c>
      <c r="G16" s="60">
        <v>720</v>
      </c>
      <c r="H16" s="61">
        <v>24.886839614311842</v>
      </c>
      <c r="I16" s="59">
        <v>525.40051031112671</v>
      </c>
      <c r="J16" s="60">
        <v>959.91155662536573</v>
      </c>
      <c r="K16" s="60">
        <v>44.020559239387481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420.61475719425982</v>
      </c>
      <c r="V16" s="62">
        <v>47.532165722577467</v>
      </c>
      <c r="W16" s="62">
        <v>39.570150336912533</v>
      </c>
      <c r="X16" s="62">
        <v>4.47168082267918</v>
      </c>
      <c r="Y16" s="66">
        <v>297.7848728418013</v>
      </c>
      <c r="Z16" s="66">
        <v>33.651600861583667</v>
      </c>
      <c r="AA16" s="67">
        <v>0</v>
      </c>
      <c r="AB16" s="68">
        <v>58.364558498065293</v>
      </c>
      <c r="AC16" s="69">
        <v>0</v>
      </c>
      <c r="AD16" s="69">
        <v>19.773722552590907</v>
      </c>
      <c r="AE16" s="68">
        <v>17.585448972762752</v>
      </c>
      <c r="AF16" s="68">
        <v>1.9872685410636755</v>
      </c>
      <c r="AG16" s="68">
        <v>0.89846741824890475</v>
      </c>
      <c r="AH16" s="69">
        <v>191.65719281832378</v>
      </c>
      <c r="AI16" s="69">
        <v>862.87847979863477</v>
      </c>
      <c r="AJ16" s="69">
        <v>3309.0619880676263</v>
      </c>
      <c r="AK16" s="69">
        <v>656.38979272842403</v>
      </c>
      <c r="AL16" s="69">
        <v>2051.7172458648679</v>
      </c>
      <c r="AM16" s="69">
        <v>2169.1658901214605</v>
      </c>
      <c r="AN16" s="69">
        <v>620.61026864051814</v>
      </c>
      <c r="AO16" s="69">
        <v>2613.8177556355786</v>
      </c>
      <c r="AP16" s="69">
        <v>419.69697621663414</v>
      </c>
      <c r="AQ16" s="69">
        <v>953.64562676747641</v>
      </c>
    </row>
    <row r="17" spans="1:43" x14ac:dyDescent="0.25">
      <c r="A17" s="11">
        <v>41830</v>
      </c>
      <c r="B17" s="49"/>
      <c r="C17" s="50">
        <v>31.240479201078347</v>
      </c>
      <c r="D17" s="50">
        <v>263.74460124969471</v>
      </c>
      <c r="E17" s="50">
        <v>6.2711968719959241</v>
      </c>
      <c r="F17" s="50">
        <v>0</v>
      </c>
      <c r="G17" s="50">
        <v>660</v>
      </c>
      <c r="H17" s="51">
        <v>24.740160970886535</v>
      </c>
      <c r="I17" s="49">
        <v>663.28900858561303</v>
      </c>
      <c r="J17" s="50">
        <v>1198.3016066233301</v>
      </c>
      <c r="K17" s="50">
        <v>54.448307514190681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503.30333898282976</v>
      </c>
      <c r="V17" s="66">
        <v>42.069946204783761</v>
      </c>
      <c r="W17" s="62">
        <v>47.068498586101462</v>
      </c>
      <c r="X17" s="62">
        <v>3.9343454534975431</v>
      </c>
      <c r="Y17" s="66">
        <v>354.20318719334034</v>
      </c>
      <c r="Z17" s="66">
        <v>29.607014054192753</v>
      </c>
      <c r="AA17" s="67">
        <v>0</v>
      </c>
      <c r="AB17" s="68">
        <v>67.74381513065623</v>
      </c>
      <c r="AC17" s="69">
        <v>0</v>
      </c>
      <c r="AD17" s="69">
        <v>22.879676340023735</v>
      </c>
      <c r="AE17" s="68">
        <v>20.841735455820373</v>
      </c>
      <c r="AF17" s="68">
        <v>1.7421118071911108</v>
      </c>
      <c r="AG17" s="68">
        <v>0.92286027323411834</v>
      </c>
      <c r="AH17" s="69">
        <v>210.32843200365701</v>
      </c>
      <c r="AI17" s="69">
        <v>874.03441476821888</v>
      </c>
      <c r="AJ17" s="69">
        <v>3296.2956005096435</v>
      </c>
      <c r="AK17" s="69">
        <v>668.13120775222774</v>
      </c>
      <c r="AL17" s="69">
        <v>1978.3998697916668</v>
      </c>
      <c r="AM17" s="69">
        <v>2196.7539023081458</v>
      </c>
      <c r="AN17" s="69">
        <v>649.60425125757854</v>
      </c>
      <c r="AO17" s="69">
        <v>2891.2356152852381</v>
      </c>
      <c r="AP17" s="69">
        <v>671.31492805480957</v>
      </c>
      <c r="AQ17" s="69">
        <v>1011.9271124839784</v>
      </c>
    </row>
    <row r="18" spans="1:43" x14ac:dyDescent="0.25">
      <c r="A18" s="11">
        <v>41831</v>
      </c>
      <c r="B18" s="59"/>
      <c r="C18" s="60">
        <v>30.941566079854969</v>
      </c>
      <c r="D18" s="60">
        <v>258.45165662765515</v>
      </c>
      <c r="E18" s="60">
        <v>6.2847198123733223</v>
      </c>
      <c r="F18" s="60">
        <v>0</v>
      </c>
      <c r="G18" s="60">
        <v>690.96</v>
      </c>
      <c r="H18" s="61">
        <v>24.765487219889938</v>
      </c>
      <c r="I18" s="59">
        <v>665.69120175043849</v>
      </c>
      <c r="J18" s="60">
        <v>1257.6726682027183</v>
      </c>
      <c r="K18" s="60">
        <v>54.711558369795561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535.7560479295596</v>
      </c>
      <c r="V18" s="62">
        <v>48.705604444705237</v>
      </c>
      <c r="W18" s="62">
        <v>51.182176287000786</v>
      </c>
      <c r="X18" s="62">
        <v>4.6529737601423955</v>
      </c>
      <c r="Y18" s="66">
        <v>371.39879708341977</v>
      </c>
      <c r="Z18" s="66">
        <v>33.763879982112179</v>
      </c>
      <c r="AA18" s="67">
        <v>0</v>
      </c>
      <c r="AB18" s="68">
        <v>73.417478571998089</v>
      </c>
      <c r="AC18" s="69">
        <v>0</v>
      </c>
      <c r="AD18" s="69">
        <v>24.346712606482978</v>
      </c>
      <c r="AE18" s="68">
        <v>21.860137654411407</v>
      </c>
      <c r="AF18" s="68">
        <v>1.9873060170149615</v>
      </c>
      <c r="AG18" s="68">
        <v>0.91666586807389683</v>
      </c>
      <c r="AH18" s="69">
        <v>202.93979682922364</v>
      </c>
      <c r="AI18" s="69">
        <v>885.24926643371589</v>
      </c>
      <c r="AJ18" s="69">
        <v>3290.8096131642656</v>
      </c>
      <c r="AK18" s="69">
        <v>666.2435483296714</v>
      </c>
      <c r="AL18" s="69">
        <v>2081.2291289011637</v>
      </c>
      <c r="AM18" s="69">
        <v>2166.9122264862053</v>
      </c>
      <c r="AN18" s="69">
        <v>660.28881162007644</v>
      </c>
      <c r="AO18" s="69">
        <v>3054.9701985677084</v>
      </c>
      <c r="AP18" s="69">
        <v>439.33438250223799</v>
      </c>
      <c r="AQ18" s="69">
        <v>972.85797929763817</v>
      </c>
    </row>
    <row r="19" spans="1:43" x14ac:dyDescent="0.25">
      <c r="A19" s="11">
        <v>41832</v>
      </c>
      <c r="B19" s="59"/>
      <c r="C19" s="60">
        <v>30.929981370766722</v>
      </c>
      <c r="D19" s="60">
        <v>257.53761660257959</v>
      </c>
      <c r="E19" s="60">
        <v>6.2726861412326453</v>
      </c>
      <c r="F19" s="60">
        <v>0</v>
      </c>
      <c r="G19" s="60">
        <v>690.96</v>
      </c>
      <c r="H19" s="61">
        <v>24.636785491307574</v>
      </c>
      <c r="I19" s="59">
        <v>567.0461594581601</v>
      </c>
      <c r="J19" s="60">
        <v>1084.4375293731694</v>
      </c>
      <c r="K19" s="60">
        <v>46.389152558644639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453.80879622712388</v>
      </c>
      <c r="V19" s="62">
        <v>48.784185344495633</v>
      </c>
      <c r="W19" s="62">
        <v>43.711567475751892</v>
      </c>
      <c r="X19" s="62">
        <v>4.6989684359671582</v>
      </c>
      <c r="Y19" s="66">
        <v>314.42548947779306</v>
      </c>
      <c r="Z19" s="66">
        <v>33.800559802374352</v>
      </c>
      <c r="AA19" s="67">
        <v>0</v>
      </c>
      <c r="AB19" s="68">
        <v>64.686168588532979</v>
      </c>
      <c r="AC19" s="69">
        <v>0</v>
      </c>
      <c r="AD19" s="69">
        <v>21.037808337476513</v>
      </c>
      <c r="AE19" s="68">
        <v>18.601147313502707</v>
      </c>
      <c r="AF19" s="68">
        <v>1.9996126688298532</v>
      </c>
      <c r="AG19" s="68">
        <v>0.90293500479862177</v>
      </c>
      <c r="AH19" s="69">
        <v>191.36598874727886</v>
      </c>
      <c r="AI19" s="69">
        <v>867.92725721995009</v>
      </c>
      <c r="AJ19" s="69">
        <v>3269.9326721191414</v>
      </c>
      <c r="AK19" s="69">
        <v>652.73306614557907</v>
      </c>
      <c r="AL19" s="69">
        <v>2094.8194951375326</v>
      </c>
      <c r="AM19" s="69">
        <v>2108.7167317708331</v>
      </c>
      <c r="AN19" s="69">
        <v>611.94644889831534</v>
      </c>
      <c r="AO19" s="69">
        <v>2915.7433032989497</v>
      </c>
      <c r="AP19" s="69">
        <v>410.96247030893966</v>
      </c>
      <c r="AQ19" s="69">
        <v>899.00740922292073</v>
      </c>
    </row>
    <row r="20" spans="1:43" x14ac:dyDescent="0.25">
      <c r="A20" s="11">
        <v>41833</v>
      </c>
      <c r="B20" s="59"/>
      <c r="C20" s="60">
        <v>30.635186334450836</v>
      </c>
      <c r="D20" s="60">
        <v>257.98917371431992</v>
      </c>
      <c r="E20" s="60">
        <v>6.2566413432359536</v>
      </c>
      <c r="F20" s="60">
        <v>0</v>
      </c>
      <c r="G20" s="60">
        <v>690.96</v>
      </c>
      <c r="H20" s="61">
        <v>24.68342619240283</v>
      </c>
      <c r="I20" s="59">
        <v>497.58619098663343</v>
      </c>
      <c r="J20" s="60">
        <v>937.4791412353519</v>
      </c>
      <c r="K20" s="60">
        <v>40.108147066831556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386.46625777655646</v>
      </c>
      <c r="V20" s="62">
        <v>48.316940325755624</v>
      </c>
      <c r="W20" s="62">
        <v>36.554009811194724</v>
      </c>
      <c r="X20" s="62">
        <v>4.5700701553503631</v>
      </c>
      <c r="Y20" s="66">
        <v>268.48964506378013</v>
      </c>
      <c r="Z20" s="66">
        <v>33.567220676042432</v>
      </c>
      <c r="AA20" s="67">
        <v>0</v>
      </c>
      <c r="AB20" s="68">
        <v>53.449810091654619</v>
      </c>
      <c r="AC20" s="69">
        <v>0</v>
      </c>
      <c r="AD20" s="69">
        <v>18.240510287549771</v>
      </c>
      <c r="AE20" s="68">
        <v>15.874523264452684</v>
      </c>
      <c r="AF20" s="68">
        <v>1.9846710491135344</v>
      </c>
      <c r="AG20" s="68">
        <v>0.88887118790090458</v>
      </c>
      <c r="AH20" s="69">
        <v>200.27462652524312</v>
      </c>
      <c r="AI20" s="69">
        <v>866.93580331802366</v>
      </c>
      <c r="AJ20" s="69">
        <v>3251.6921610514323</v>
      </c>
      <c r="AK20" s="69">
        <v>641.43294280370071</v>
      </c>
      <c r="AL20" s="69">
        <v>2086.9616998036704</v>
      </c>
      <c r="AM20" s="69">
        <v>2126.2030543009441</v>
      </c>
      <c r="AN20" s="69">
        <v>600.65127488772089</v>
      </c>
      <c r="AO20" s="69">
        <v>2679.4701727549232</v>
      </c>
      <c r="AP20" s="69">
        <v>587.05161779721595</v>
      </c>
      <c r="AQ20" s="69">
        <v>900.24599494934068</v>
      </c>
    </row>
    <row r="21" spans="1:43" x14ac:dyDescent="0.25">
      <c r="A21" s="11">
        <v>41834</v>
      </c>
      <c r="B21" s="59"/>
      <c r="C21" s="60">
        <v>27.417191217343007</v>
      </c>
      <c r="D21" s="60">
        <v>258.32596610387156</v>
      </c>
      <c r="E21" s="60">
        <v>6.3635796234011739</v>
      </c>
      <c r="F21" s="60">
        <v>0</v>
      </c>
      <c r="G21" s="60">
        <v>690.96</v>
      </c>
      <c r="H21" s="61">
        <v>24.763721950848893</v>
      </c>
      <c r="I21" s="59">
        <v>518.421105257671</v>
      </c>
      <c r="J21" s="60">
        <v>962.56364065806019</v>
      </c>
      <c r="K21" s="60">
        <v>41.229436959822912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400.49034476772425</v>
      </c>
      <c r="V21" s="62">
        <v>48.761861250508481</v>
      </c>
      <c r="W21" s="62">
        <v>38.204444459363252</v>
      </c>
      <c r="X21" s="62">
        <v>4.6515973336652641</v>
      </c>
      <c r="Y21" s="66">
        <v>277.38859033972443</v>
      </c>
      <c r="Z21" s="66">
        <v>33.773558167712025</v>
      </c>
      <c r="AA21" s="67">
        <v>0</v>
      </c>
      <c r="AB21" s="68">
        <v>54.275568657450869</v>
      </c>
      <c r="AC21" s="69">
        <v>0</v>
      </c>
      <c r="AD21" s="69">
        <v>18.818661120202794</v>
      </c>
      <c r="AE21" s="68">
        <v>16.426546035977584</v>
      </c>
      <c r="AF21" s="68">
        <v>2.0000206474290541</v>
      </c>
      <c r="AG21" s="68">
        <v>0.89145994032463471</v>
      </c>
      <c r="AH21" s="69">
        <v>218.61643981933594</v>
      </c>
      <c r="AI21" s="69">
        <v>881.8311545689902</v>
      </c>
      <c r="AJ21" s="69">
        <v>3249.8056973775228</v>
      </c>
      <c r="AK21" s="69">
        <v>652.44734512964897</v>
      </c>
      <c r="AL21" s="69">
        <v>2224.952881876628</v>
      </c>
      <c r="AM21" s="69">
        <v>2157.1870005289711</v>
      </c>
      <c r="AN21" s="69">
        <v>617.03273258209231</v>
      </c>
      <c r="AO21" s="69">
        <v>2703.6612581888835</v>
      </c>
      <c r="AP21" s="69">
        <v>579.40216735204046</v>
      </c>
      <c r="AQ21" s="69">
        <v>964.78271331787118</v>
      </c>
    </row>
    <row r="22" spans="1:43" x14ac:dyDescent="0.25">
      <c r="A22" s="11">
        <v>41835</v>
      </c>
      <c r="B22" s="59"/>
      <c r="C22" s="60">
        <v>22.029611219962522</v>
      </c>
      <c r="D22" s="60">
        <v>258.31113371849051</v>
      </c>
      <c r="E22" s="60">
        <v>6.3893841728568121</v>
      </c>
      <c r="F22" s="60">
        <v>0</v>
      </c>
      <c r="G22" s="60">
        <v>645.84</v>
      </c>
      <c r="H22" s="61">
        <v>24.747545031706476</v>
      </c>
      <c r="I22" s="59">
        <v>570.59767192204708</v>
      </c>
      <c r="J22" s="60">
        <v>1041.0917434056591</v>
      </c>
      <c r="K22" s="60">
        <v>44.63025803963346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434.45103601211372</v>
      </c>
      <c r="V22" s="62">
        <v>48.743987609341303</v>
      </c>
      <c r="W22" s="62">
        <v>41.425231774538766</v>
      </c>
      <c r="X22" s="62">
        <v>4.647775737553788</v>
      </c>
      <c r="Y22" s="66">
        <v>301.13687526010887</v>
      </c>
      <c r="Z22" s="66">
        <v>33.786574089295584</v>
      </c>
      <c r="AA22" s="67">
        <v>0</v>
      </c>
      <c r="AB22" s="68">
        <v>57.906166807810919</v>
      </c>
      <c r="AC22" s="69">
        <v>0</v>
      </c>
      <c r="AD22" s="69">
        <v>20.240213076273609</v>
      </c>
      <c r="AE22" s="68">
        <v>17.824478864935728</v>
      </c>
      <c r="AF22" s="68">
        <v>1.9998483256261987</v>
      </c>
      <c r="AG22" s="68">
        <v>0.89912150327208595</v>
      </c>
      <c r="AH22" s="69">
        <v>190.39905970891317</v>
      </c>
      <c r="AI22" s="69">
        <v>867.21302204132064</v>
      </c>
      <c r="AJ22" s="69">
        <v>3262.196574783326</v>
      </c>
      <c r="AK22" s="69">
        <v>646.74887030919388</v>
      </c>
      <c r="AL22" s="69">
        <v>2067.356253814698</v>
      </c>
      <c r="AM22" s="69">
        <v>2159.7450620015461</v>
      </c>
      <c r="AN22" s="69">
        <v>497.84199239412936</v>
      </c>
      <c r="AO22" s="69">
        <v>2715.8762023925779</v>
      </c>
      <c r="AP22" s="69">
        <v>512.06542952855432</v>
      </c>
      <c r="AQ22" s="69">
        <v>955.18458150227855</v>
      </c>
    </row>
    <row r="23" spans="1:43" x14ac:dyDescent="0.25">
      <c r="A23" s="11">
        <v>41836</v>
      </c>
      <c r="B23" s="59"/>
      <c r="C23" s="60">
        <v>20.659127086401039</v>
      </c>
      <c r="D23" s="60">
        <v>251.82188817660023</v>
      </c>
      <c r="E23" s="60">
        <v>6.3550631786386234</v>
      </c>
      <c r="F23" s="60">
        <v>0</v>
      </c>
      <c r="G23" s="60">
        <v>645.84</v>
      </c>
      <c r="H23" s="61">
        <v>24.797627171874019</v>
      </c>
      <c r="I23" s="59">
        <v>513.01081965764376</v>
      </c>
      <c r="J23" s="60">
        <v>936.34968217213918</v>
      </c>
      <c r="K23" s="60">
        <v>40.110501404603383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384.66445363299238</v>
      </c>
      <c r="V23" s="62">
        <v>42.051556863359117</v>
      </c>
      <c r="W23" s="62">
        <v>36.453928357577311</v>
      </c>
      <c r="X23" s="62">
        <v>3.9851471243143801</v>
      </c>
      <c r="Y23" s="66">
        <v>266.18552634530965</v>
      </c>
      <c r="Z23" s="66">
        <v>29.099428584042435</v>
      </c>
      <c r="AA23" s="67">
        <v>0</v>
      </c>
      <c r="AB23" s="68">
        <v>59.987506948577462</v>
      </c>
      <c r="AC23" s="69">
        <v>0</v>
      </c>
      <c r="AD23" s="69">
        <v>17.84584610925782</v>
      </c>
      <c r="AE23" s="68">
        <v>15.757626642088237</v>
      </c>
      <c r="AF23" s="68">
        <v>1.7226253336201749</v>
      </c>
      <c r="AG23" s="68">
        <v>0.90145306051571583</v>
      </c>
      <c r="AH23" s="69">
        <v>182.25291268030801</v>
      </c>
      <c r="AI23" s="69">
        <v>857.76271092096977</v>
      </c>
      <c r="AJ23" s="69">
        <v>3238.3233716328941</v>
      </c>
      <c r="AK23" s="69">
        <v>644.63301016489663</v>
      </c>
      <c r="AL23" s="69">
        <v>1852.7951758066815</v>
      </c>
      <c r="AM23" s="69">
        <v>2102.0954533894856</v>
      </c>
      <c r="AN23" s="69">
        <v>431.3232402324677</v>
      </c>
      <c r="AO23" s="69">
        <v>2710.8771227518719</v>
      </c>
      <c r="AP23" s="69">
        <v>526.74054708480844</v>
      </c>
      <c r="AQ23" s="69">
        <v>905.7463748296102</v>
      </c>
    </row>
    <row r="24" spans="1:43" x14ac:dyDescent="0.25">
      <c r="A24" s="11">
        <v>41837</v>
      </c>
      <c r="B24" s="59"/>
      <c r="C24" s="60">
        <v>20.32078688343363</v>
      </c>
      <c r="D24" s="60">
        <v>245.7919880549112</v>
      </c>
      <c r="E24" s="60">
        <v>6.3514336372415219</v>
      </c>
      <c r="F24" s="60">
        <v>0</v>
      </c>
      <c r="G24" s="60">
        <v>645.84</v>
      </c>
      <c r="H24" s="61">
        <v>24.73220610519251</v>
      </c>
      <c r="I24" s="59">
        <v>475.82419633865373</v>
      </c>
      <c r="J24" s="60">
        <v>813.63903792699136</v>
      </c>
      <c r="K24" s="60">
        <v>36.28878290156522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336.99752201225999</v>
      </c>
      <c r="V24" s="62">
        <v>48.049270431333021</v>
      </c>
      <c r="W24" s="62">
        <v>32.030886540941893</v>
      </c>
      <c r="X24" s="62">
        <v>4.5669793664093206</v>
      </c>
      <c r="Y24" s="66">
        <v>233.24355995784057</v>
      </c>
      <c r="Z24" s="66">
        <v>33.255980108878667</v>
      </c>
      <c r="AA24" s="67">
        <v>0</v>
      </c>
      <c r="AB24" s="68">
        <v>61.535646424028918</v>
      </c>
      <c r="AC24" s="69">
        <v>0</v>
      </c>
      <c r="AD24" s="69">
        <v>16.11307905415692</v>
      </c>
      <c r="AE24" s="68">
        <v>13.782917497258495</v>
      </c>
      <c r="AF24" s="68">
        <v>1.9651750737040505</v>
      </c>
      <c r="AG24" s="68">
        <v>0.87521186678013441</v>
      </c>
      <c r="AH24" s="69">
        <v>201.32539887428283</v>
      </c>
      <c r="AI24" s="69">
        <v>867.73290313084931</v>
      </c>
      <c r="AJ24" s="69">
        <v>3192.8115573883051</v>
      </c>
      <c r="AK24" s="69">
        <v>628.23014144897456</v>
      </c>
      <c r="AL24" s="69">
        <v>1739.9977382024128</v>
      </c>
      <c r="AM24" s="69">
        <v>2090.8124811808275</v>
      </c>
      <c r="AN24" s="69">
        <v>405.76020223299662</v>
      </c>
      <c r="AO24" s="69">
        <v>2553.0294322331752</v>
      </c>
      <c r="AP24" s="69">
        <v>508.29903510411589</v>
      </c>
      <c r="AQ24" s="69">
        <v>830.8811210314434</v>
      </c>
    </row>
    <row r="25" spans="1:43" x14ac:dyDescent="0.25">
      <c r="A25" s="11">
        <v>41838</v>
      </c>
      <c r="B25" s="59"/>
      <c r="C25" s="60">
        <v>20.373744616905963</v>
      </c>
      <c r="D25" s="60">
        <v>245.70119129816706</v>
      </c>
      <c r="E25" s="60">
        <v>6.35884787638983</v>
      </c>
      <c r="F25" s="60">
        <v>0</v>
      </c>
      <c r="G25" s="60">
        <v>645.84</v>
      </c>
      <c r="H25" s="61">
        <v>24.771783574422198</v>
      </c>
      <c r="I25" s="59">
        <v>534.77593743006355</v>
      </c>
      <c r="J25" s="60">
        <v>940.17737458546947</v>
      </c>
      <c r="K25" s="60">
        <v>45.588547424475344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411.99865666879555</v>
      </c>
      <c r="V25" s="62">
        <v>49.066253117852725</v>
      </c>
      <c r="W25" s="62">
        <v>38.1415191258004</v>
      </c>
      <c r="X25" s="62">
        <v>4.5423969263822261</v>
      </c>
      <c r="Y25" s="66">
        <v>277.37299031441904</v>
      </c>
      <c r="Z25" s="66">
        <v>33.033246906345511</v>
      </c>
      <c r="AA25" s="67">
        <v>0</v>
      </c>
      <c r="AB25" s="68">
        <v>69.516367003653585</v>
      </c>
      <c r="AC25" s="69">
        <v>0</v>
      </c>
      <c r="AD25" s="69">
        <v>18.77993395063611</v>
      </c>
      <c r="AE25" s="68">
        <v>16.55895289215232</v>
      </c>
      <c r="AF25" s="68">
        <v>1.9720592793730858</v>
      </c>
      <c r="AG25" s="68">
        <v>0.8935805955379309</v>
      </c>
      <c r="AH25" s="69">
        <v>206.31680777867635</v>
      </c>
      <c r="AI25" s="69">
        <v>875.07252737681063</v>
      </c>
      <c r="AJ25" s="69">
        <v>3291.8791572570804</v>
      </c>
      <c r="AK25" s="69">
        <v>646.54780553181956</v>
      </c>
      <c r="AL25" s="69">
        <v>1790.9158553441366</v>
      </c>
      <c r="AM25" s="69">
        <v>2132.1512868245441</v>
      </c>
      <c r="AN25" s="69">
        <v>451.98411850929261</v>
      </c>
      <c r="AO25" s="69">
        <v>2154.1647902170816</v>
      </c>
      <c r="AP25" s="69">
        <v>556.73868780136115</v>
      </c>
      <c r="AQ25" s="69">
        <v>949.02928962707529</v>
      </c>
    </row>
    <row r="26" spans="1:43" x14ac:dyDescent="0.25">
      <c r="A26" s="11">
        <v>41839</v>
      </c>
      <c r="B26" s="59"/>
      <c r="C26" s="60">
        <v>20.922956317663221</v>
      </c>
      <c r="D26" s="60">
        <v>245.69879849751806</v>
      </c>
      <c r="E26" s="60">
        <v>6.3460276275873317</v>
      </c>
      <c r="F26" s="60">
        <v>0</v>
      </c>
      <c r="G26" s="60">
        <v>690.96</v>
      </c>
      <c r="H26" s="61">
        <v>24.760600257913286</v>
      </c>
      <c r="I26" s="59">
        <v>592.69080937703359</v>
      </c>
      <c r="J26" s="60">
        <v>1081.3023364384972</v>
      </c>
      <c r="K26" s="60">
        <v>54.258052162329257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488.19491694902041</v>
      </c>
      <c r="V26" s="62">
        <v>48.82048489119078</v>
      </c>
      <c r="W26" s="62">
        <v>46.752111929308583</v>
      </c>
      <c r="X26" s="62">
        <v>4.6753063066291922</v>
      </c>
      <c r="Y26" s="66">
        <v>330.06840623357078</v>
      </c>
      <c r="Z26" s="66">
        <v>33.007512123007565</v>
      </c>
      <c r="AA26" s="67">
        <v>0</v>
      </c>
      <c r="AB26" s="68">
        <v>83.663986778259257</v>
      </c>
      <c r="AC26" s="69">
        <v>0</v>
      </c>
      <c r="AD26" s="69">
        <v>22.239566749996612</v>
      </c>
      <c r="AE26" s="68">
        <v>20.001516220690394</v>
      </c>
      <c r="AF26" s="68">
        <v>2.0001923136678017</v>
      </c>
      <c r="AG26" s="68">
        <v>0.90908922775045975</v>
      </c>
      <c r="AH26" s="69">
        <v>200.57320713996887</v>
      </c>
      <c r="AI26" s="69">
        <v>911.22247091929125</v>
      </c>
      <c r="AJ26" s="69">
        <v>3305.0263581593836</v>
      </c>
      <c r="AK26" s="69">
        <v>660.68328123092647</v>
      </c>
      <c r="AL26" s="69">
        <v>1748.678472391764</v>
      </c>
      <c r="AM26" s="69">
        <v>2118.4322185516357</v>
      </c>
      <c r="AN26" s="69">
        <v>492.50362122853596</v>
      </c>
      <c r="AO26" s="69">
        <v>2693.3877067565923</v>
      </c>
      <c r="AP26" s="69">
        <v>538.68218536376946</v>
      </c>
      <c r="AQ26" s="69">
        <v>944.22941029866536</v>
      </c>
    </row>
    <row r="27" spans="1:43" x14ac:dyDescent="0.25">
      <c r="A27" s="11">
        <v>41840</v>
      </c>
      <c r="B27" s="59"/>
      <c r="C27" s="60">
        <v>22.126606553792943</v>
      </c>
      <c r="D27" s="60">
        <v>245.6481610616047</v>
      </c>
      <c r="E27" s="60">
        <v>6.3540447279810959</v>
      </c>
      <c r="F27" s="60">
        <v>0</v>
      </c>
      <c r="G27" s="60">
        <v>690.96</v>
      </c>
      <c r="H27" s="61">
        <v>24.753288133939101</v>
      </c>
      <c r="I27" s="59">
        <v>595.9257307688398</v>
      </c>
      <c r="J27" s="60">
        <v>1136.0536424001048</v>
      </c>
      <c r="K27" s="60">
        <v>54.297682726383236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480.67391445089385</v>
      </c>
      <c r="V27" s="62">
        <v>48.068579687187075</v>
      </c>
      <c r="W27" s="62">
        <v>46.942075852104857</v>
      </c>
      <c r="X27" s="62">
        <v>4.6943236276022269</v>
      </c>
      <c r="Y27" s="62">
        <v>320.59501937443179</v>
      </c>
      <c r="Z27" s="62">
        <v>32.060294459123426</v>
      </c>
      <c r="AA27" s="72">
        <v>0</v>
      </c>
      <c r="AB27" s="69">
        <v>83.077564578586433</v>
      </c>
      <c r="AC27" s="69">
        <v>0</v>
      </c>
      <c r="AD27" s="69">
        <v>22.227209096484732</v>
      </c>
      <c r="AE27" s="69">
        <v>19.998815940934534</v>
      </c>
      <c r="AF27" s="69">
        <v>1.9999310318396917</v>
      </c>
      <c r="AG27" s="69">
        <v>0.90908886609247264</v>
      </c>
      <c r="AH27" s="69">
        <v>214.29369029998779</v>
      </c>
      <c r="AI27" s="69">
        <v>926.0007464726765</v>
      </c>
      <c r="AJ27" s="69">
        <v>3306.9781904856363</v>
      </c>
      <c r="AK27" s="69">
        <v>659.22716480890904</v>
      </c>
      <c r="AL27" s="69">
        <v>1793.4321461995444</v>
      </c>
      <c r="AM27" s="69">
        <v>2127.8193172454835</v>
      </c>
      <c r="AN27" s="69">
        <v>527.49971545537312</v>
      </c>
      <c r="AO27" s="69">
        <v>2730.5847433725994</v>
      </c>
      <c r="AP27" s="69">
        <v>543.51323699951172</v>
      </c>
      <c r="AQ27" s="69">
        <v>964.54244365692102</v>
      </c>
    </row>
    <row r="28" spans="1:43" x14ac:dyDescent="0.25">
      <c r="A28" s="11">
        <v>41841</v>
      </c>
      <c r="B28" s="59"/>
      <c r="C28" s="60">
        <v>21.921634425719677</v>
      </c>
      <c r="D28" s="60">
        <v>246.32218704223649</v>
      </c>
      <c r="E28" s="60">
        <v>6.3688964396715191</v>
      </c>
      <c r="F28" s="60">
        <v>0</v>
      </c>
      <c r="G28" s="60">
        <v>690.96</v>
      </c>
      <c r="H28" s="61">
        <v>24.804707380135863</v>
      </c>
      <c r="I28" s="59">
        <v>602.11580575307107</v>
      </c>
      <c r="J28" s="60">
        <v>1189.0571285247804</v>
      </c>
      <c r="K28" s="60">
        <v>54.301221334934333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479.8853339096691</v>
      </c>
      <c r="V28" s="62">
        <v>47.976497924908657</v>
      </c>
      <c r="W28" s="62">
        <v>46.490434141159035</v>
      </c>
      <c r="X28" s="62">
        <v>4.6478774396578375</v>
      </c>
      <c r="Y28" s="66">
        <v>321.59005751161482</v>
      </c>
      <c r="Z28" s="66">
        <v>32.150940311465042</v>
      </c>
      <c r="AA28" s="67">
        <v>0</v>
      </c>
      <c r="AB28" s="68">
        <v>83.125436041091291</v>
      </c>
      <c r="AC28" s="69">
        <v>0</v>
      </c>
      <c r="AD28" s="69">
        <v>22.228198309739433</v>
      </c>
      <c r="AE28" s="68">
        <v>20.000621100420823</v>
      </c>
      <c r="AF28" s="68">
        <v>1.9995604968870475</v>
      </c>
      <c r="AG28" s="68">
        <v>0.90911163673613815</v>
      </c>
      <c r="AH28" s="69">
        <v>208.69514915148417</v>
      </c>
      <c r="AI28" s="69">
        <v>933.4393232981364</v>
      </c>
      <c r="AJ28" s="69">
        <v>3349.2163630167652</v>
      </c>
      <c r="AK28" s="69">
        <v>658.71102457046504</v>
      </c>
      <c r="AL28" s="69">
        <v>1892.2050653457641</v>
      </c>
      <c r="AM28" s="69">
        <v>2189.9498395284018</v>
      </c>
      <c r="AN28" s="69">
        <v>529.03691201210029</v>
      </c>
      <c r="AO28" s="69">
        <v>2731.5962411244714</v>
      </c>
      <c r="AP28" s="69">
        <v>544.62086668014524</v>
      </c>
      <c r="AQ28" s="69">
        <v>1002.440373134613</v>
      </c>
    </row>
    <row r="29" spans="1:43" x14ac:dyDescent="0.25">
      <c r="A29" s="11">
        <v>41842</v>
      </c>
      <c r="B29" s="59"/>
      <c r="C29" s="60">
        <v>21.577910333871756</v>
      </c>
      <c r="D29" s="60">
        <v>246.12262824376415</v>
      </c>
      <c r="E29" s="60">
        <v>6.4035793716708813</v>
      </c>
      <c r="F29" s="60">
        <v>0</v>
      </c>
      <c r="G29" s="60">
        <v>690.96</v>
      </c>
      <c r="H29" s="61">
        <v>24.773406463861498</v>
      </c>
      <c r="I29" s="59">
        <v>655.42910683949947</v>
      </c>
      <c r="J29" s="60">
        <v>1250.4330142339074</v>
      </c>
      <c r="K29" s="60">
        <v>56.812158079942023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489.1817814151766</v>
      </c>
      <c r="V29" s="62">
        <v>43.25126556154931</v>
      </c>
      <c r="W29" s="62">
        <v>46.892275712495618</v>
      </c>
      <c r="X29" s="62">
        <v>4.1460053229276186</v>
      </c>
      <c r="Y29" s="66">
        <v>336.97404964936072</v>
      </c>
      <c r="Z29" s="66">
        <v>29.793738570091065</v>
      </c>
      <c r="AA29" s="67">
        <v>0</v>
      </c>
      <c r="AB29" s="68">
        <v>83.206187534333139</v>
      </c>
      <c r="AC29" s="69">
        <v>0</v>
      </c>
      <c r="AD29" s="69">
        <v>22.411205989784609</v>
      </c>
      <c r="AE29" s="68">
        <v>20.352436554605692</v>
      </c>
      <c r="AF29" s="68">
        <v>1.7994714269637457</v>
      </c>
      <c r="AG29" s="68">
        <v>0.91876675235104266</v>
      </c>
      <c r="AH29" s="69">
        <v>215.59587842623392</v>
      </c>
      <c r="AI29" s="69">
        <v>939.72131017049173</v>
      </c>
      <c r="AJ29" s="69">
        <v>3332.2090104420977</v>
      </c>
      <c r="AK29" s="69">
        <v>660.7306297938029</v>
      </c>
      <c r="AL29" s="69">
        <v>1938.798317337036</v>
      </c>
      <c r="AM29" s="69">
        <v>2226.5782675425216</v>
      </c>
      <c r="AN29" s="69">
        <v>543.5323835372925</v>
      </c>
      <c r="AO29" s="69">
        <v>2719.5239448547363</v>
      </c>
      <c r="AP29" s="69">
        <v>545.33316272099819</v>
      </c>
      <c r="AQ29" s="69">
        <v>1008.5540516853331</v>
      </c>
    </row>
    <row r="30" spans="1:43" x14ac:dyDescent="0.25">
      <c r="A30" s="11">
        <v>41843</v>
      </c>
      <c r="B30" s="59"/>
      <c r="C30" s="60">
        <v>21.159704079230469</v>
      </c>
      <c r="D30" s="60">
        <v>245.76846520106062</v>
      </c>
      <c r="E30" s="60">
        <v>6.0959682042400072</v>
      </c>
      <c r="F30" s="60">
        <v>0</v>
      </c>
      <c r="G30" s="60">
        <v>690.96</v>
      </c>
      <c r="H30" s="61">
        <v>24.737645896275854</v>
      </c>
      <c r="I30" s="59">
        <v>670.98257503509615</v>
      </c>
      <c r="J30" s="60">
        <v>1249.4457972844443</v>
      </c>
      <c r="K30" s="60">
        <v>56.712262964248559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497.78616963641321</v>
      </c>
      <c r="V30" s="62">
        <v>47.408442273244752</v>
      </c>
      <c r="W30" s="62">
        <v>48.095697188720948</v>
      </c>
      <c r="X30" s="62">
        <v>4.5805653568647164</v>
      </c>
      <c r="Y30" s="66">
        <v>364.60775961619254</v>
      </c>
      <c r="Z30" s="66">
        <v>34.724721132302278</v>
      </c>
      <c r="AA30" s="67">
        <v>0</v>
      </c>
      <c r="AB30" s="68">
        <v>83.337897120581275</v>
      </c>
      <c r="AC30" s="69">
        <v>0</v>
      </c>
      <c r="AD30" s="69">
        <v>22.982518724600503</v>
      </c>
      <c r="AE30" s="68">
        <v>20.722696900560674</v>
      </c>
      <c r="AF30" s="68">
        <v>1.9735999906822492</v>
      </c>
      <c r="AG30" s="68">
        <v>0.91304308362992292</v>
      </c>
      <c r="AH30" s="69">
        <v>215.06058988571166</v>
      </c>
      <c r="AI30" s="69">
        <v>942.32638403574629</v>
      </c>
      <c r="AJ30" s="69">
        <v>3321.6781022389732</v>
      </c>
      <c r="AK30" s="69">
        <v>652.35510835647574</v>
      </c>
      <c r="AL30" s="69">
        <v>1929.6636032104491</v>
      </c>
      <c r="AM30" s="69">
        <v>2233.9221229553227</v>
      </c>
      <c r="AN30" s="69">
        <v>536.83868487676</v>
      </c>
      <c r="AO30" s="69">
        <v>2853.5285003662111</v>
      </c>
      <c r="AP30" s="69">
        <v>535.47181679407754</v>
      </c>
      <c r="AQ30" s="69">
        <v>1004.9382369359333</v>
      </c>
    </row>
    <row r="31" spans="1:43" x14ac:dyDescent="0.25">
      <c r="A31" s="11">
        <v>41844</v>
      </c>
      <c r="B31" s="59"/>
      <c r="C31" s="60">
        <v>20.86598123113324</v>
      </c>
      <c r="D31" s="60">
        <v>245.21937899589548</v>
      </c>
      <c r="E31" s="60">
        <v>6.0457539781928116</v>
      </c>
      <c r="F31" s="60">
        <v>0</v>
      </c>
      <c r="G31" s="60">
        <v>690.96</v>
      </c>
      <c r="H31" s="61">
        <v>24.764702485998473</v>
      </c>
      <c r="I31" s="59">
        <v>719.77230587005511</v>
      </c>
      <c r="J31" s="60">
        <v>1283.5290784835806</v>
      </c>
      <c r="K31" s="60">
        <v>58.423491867383326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510.80440028462692</v>
      </c>
      <c r="V31" s="62">
        <v>48.599657726748404</v>
      </c>
      <c r="W31" s="62">
        <v>48.812517855360916</v>
      </c>
      <c r="X31" s="62">
        <v>4.6441879890413533</v>
      </c>
      <c r="Y31" s="66">
        <v>374.95395453805105</v>
      </c>
      <c r="Z31" s="66">
        <v>35.674386993702818</v>
      </c>
      <c r="AA31" s="67">
        <v>0</v>
      </c>
      <c r="AB31" s="68">
        <v>85.993450705209952</v>
      </c>
      <c r="AC31" s="69">
        <v>0</v>
      </c>
      <c r="AD31" s="69">
        <v>23.170981425046971</v>
      </c>
      <c r="AE31" s="68">
        <v>20.760210881569336</v>
      </c>
      <c r="AF31" s="68">
        <v>1.9751966557398368</v>
      </c>
      <c r="AG31" s="68">
        <v>0.91312244337390891</v>
      </c>
      <c r="AH31" s="69">
        <v>216.25785827636719</v>
      </c>
      <c r="AI31" s="69">
        <v>944.16831595102951</v>
      </c>
      <c r="AJ31" s="69">
        <v>3300.9651184082031</v>
      </c>
      <c r="AK31" s="69">
        <v>657.94166742960601</v>
      </c>
      <c r="AL31" s="69">
        <v>1922.0595592498778</v>
      </c>
      <c r="AM31" s="69">
        <v>2237.500136311849</v>
      </c>
      <c r="AN31" s="69">
        <v>806.50251312255864</v>
      </c>
      <c r="AO31" s="69">
        <v>2963.3912317911786</v>
      </c>
      <c r="AP31" s="69">
        <v>554.10783176422115</v>
      </c>
      <c r="AQ31" s="69">
        <v>986.63497378031423</v>
      </c>
    </row>
    <row r="32" spans="1:43" x14ac:dyDescent="0.25">
      <c r="A32" s="11">
        <v>41845</v>
      </c>
      <c r="B32" s="59"/>
      <c r="C32" s="60">
        <v>20.427120675643319</v>
      </c>
      <c r="D32" s="60">
        <v>245.15915463765481</v>
      </c>
      <c r="E32" s="60">
        <v>6.0419068286816371</v>
      </c>
      <c r="F32" s="60">
        <v>0</v>
      </c>
      <c r="G32" s="60">
        <v>690.96</v>
      </c>
      <c r="H32" s="61">
        <v>24.70868165691693</v>
      </c>
      <c r="I32" s="59">
        <v>717.13691116968585</v>
      </c>
      <c r="J32" s="60">
        <v>1262.7831956227615</v>
      </c>
      <c r="K32" s="60">
        <v>60.069023593266714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513.49740466284459</v>
      </c>
      <c r="V32" s="62">
        <v>48.907408213540222</v>
      </c>
      <c r="W32" s="62">
        <v>49.583663491827672</v>
      </c>
      <c r="X32" s="62">
        <v>4.7225330626741036</v>
      </c>
      <c r="Y32" s="66">
        <v>388.63120618139453</v>
      </c>
      <c r="Z32" s="66">
        <v>37.014685707542533</v>
      </c>
      <c r="AA32" s="67">
        <v>0</v>
      </c>
      <c r="AB32" s="68">
        <v>99.097238180374418</v>
      </c>
      <c r="AC32" s="69">
        <v>0</v>
      </c>
      <c r="AD32" s="69">
        <v>23.481652977731475</v>
      </c>
      <c r="AE32" s="68">
        <v>20.984119525194949</v>
      </c>
      <c r="AF32" s="68">
        <v>1.9986058163122968</v>
      </c>
      <c r="AG32" s="68">
        <v>0.91303878079668932</v>
      </c>
      <c r="AH32" s="69">
        <v>214.14148602485656</v>
      </c>
      <c r="AI32" s="69">
        <v>947.05589593251534</v>
      </c>
      <c r="AJ32" s="69">
        <v>3308.6007108052572</v>
      </c>
      <c r="AK32" s="69">
        <v>662.40476055145268</v>
      </c>
      <c r="AL32" s="69">
        <v>1931.5585268656409</v>
      </c>
      <c r="AM32" s="69">
        <v>2219.0495344797769</v>
      </c>
      <c r="AN32" s="69">
        <v>956.07233591079716</v>
      </c>
      <c r="AO32" s="69">
        <v>3003.6046443939217</v>
      </c>
      <c r="AP32" s="69">
        <v>547.42467311223356</v>
      </c>
      <c r="AQ32" s="69">
        <v>994.50476827621458</v>
      </c>
    </row>
    <row r="33" spans="1:43" x14ac:dyDescent="0.25">
      <c r="A33" s="11">
        <v>41846</v>
      </c>
      <c r="B33" s="59"/>
      <c r="C33" s="60">
        <v>19.889088720083173</v>
      </c>
      <c r="D33" s="60">
        <v>245.07330807050096</v>
      </c>
      <c r="E33" s="60">
        <v>6.0284534494082189</v>
      </c>
      <c r="F33" s="60">
        <v>0</v>
      </c>
      <c r="G33" s="60">
        <v>690.96</v>
      </c>
      <c r="H33" s="61">
        <v>24.755142536759386</v>
      </c>
      <c r="I33" s="59">
        <v>693.89791933695551</v>
      </c>
      <c r="J33" s="60">
        <v>1263.5972642898544</v>
      </c>
      <c r="K33" s="60">
        <v>62.601298733552163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512.44455171333232</v>
      </c>
      <c r="V33" s="62">
        <v>48.772133475808268</v>
      </c>
      <c r="W33" s="62">
        <v>49.455793563590532</v>
      </c>
      <c r="X33" s="62">
        <v>4.7069766997635982</v>
      </c>
      <c r="Y33" s="66">
        <v>387.09364327427966</v>
      </c>
      <c r="Z33" s="66">
        <v>36.8418061511003</v>
      </c>
      <c r="AA33" s="67">
        <v>0</v>
      </c>
      <c r="AB33" s="68">
        <v>105.23749418788718</v>
      </c>
      <c r="AC33" s="69">
        <v>0</v>
      </c>
      <c r="AD33" s="69">
        <v>23.494151132636599</v>
      </c>
      <c r="AE33" s="68">
        <v>20.98919860381438</v>
      </c>
      <c r="AF33" s="68">
        <v>1.9976561218825262</v>
      </c>
      <c r="AG33" s="68">
        <v>0.913095717281871</v>
      </c>
      <c r="AH33" s="69">
        <v>210.29935455322266</v>
      </c>
      <c r="AI33" s="69">
        <v>943.1290768941243</v>
      </c>
      <c r="AJ33" s="69">
        <v>3296.3494534810384</v>
      </c>
      <c r="AK33" s="69">
        <v>658.78150018056238</v>
      </c>
      <c r="AL33" s="69">
        <v>1914.9009414672851</v>
      </c>
      <c r="AM33" s="69">
        <v>2149.1598490397128</v>
      </c>
      <c r="AN33" s="69">
        <v>942.01749658584583</v>
      </c>
      <c r="AO33" s="69">
        <v>2999.6310471852621</v>
      </c>
      <c r="AP33" s="69">
        <v>527.98858307202659</v>
      </c>
      <c r="AQ33" s="69">
        <v>915.43566716512066</v>
      </c>
    </row>
    <row r="34" spans="1:43" x14ac:dyDescent="0.25">
      <c r="A34" s="11">
        <v>41847</v>
      </c>
      <c r="B34" s="59"/>
      <c r="C34" s="60">
        <v>20.906187444925401</v>
      </c>
      <c r="D34" s="60">
        <v>244.94131689071659</v>
      </c>
      <c r="E34" s="60">
        <v>6.0146773606538755</v>
      </c>
      <c r="F34" s="60">
        <v>0</v>
      </c>
      <c r="G34" s="60">
        <v>690.96</v>
      </c>
      <c r="H34" s="61">
        <v>24.700138464570028</v>
      </c>
      <c r="I34" s="59">
        <v>679.64110447565838</v>
      </c>
      <c r="J34" s="60">
        <v>1264.4096683502196</v>
      </c>
      <c r="K34" s="60">
        <v>62.59912992318462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512.18740415095021</v>
      </c>
      <c r="V34" s="62">
        <v>48.77834915003389</v>
      </c>
      <c r="W34" s="62">
        <v>50.32900219096954</v>
      </c>
      <c r="X34" s="62">
        <v>4.7931003795642209</v>
      </c>
      <c r="Y34" s="66">
        <v>387.33369699474184</v>
      </c>
      <c r="Z34" s="66">
        <v>36.887862052958091</v>
      </c>
      <c r="AA34" s="67">
        <v>0</v>
      </c>
      <c r="AB34" s="68">
        <v>105.23821478420049</v>
      </c>
      <c r="AC34" s="69">
        <v>0</v>
      </c>
      <c r="AD34" s="69">
        <v>23.496823411517671</v>
      </c>
      <c r="AE34" s="68">
        <v>21.001729416041769</v>
      </c>
      <c r="AF34" s="68">
        <v>2.0001071520070139</v>
      </c>
      <c r="AG34" s="68">
        <v>0.91304576284202854</v>
      </c>
      <c r="AH34" s="69">
        <v>210.29935455322266</v>
      </c>
      <c r="AI34" s="69">
        <v>908.40076096852624</v>
      </c>
      <c r="AJ34" s="69">
        <v>3253.4641984303789</v>
      </c>
      <c r="AK34" s="69">
        <v>662.18538029988611</v>
      </c>
      <c r="AL34" s="69">
        <v>1947.4635115305584</v>
      </c>
      <c r="AM34" s="69">
        <v>2149.9272341410319</v>
      </c>
      <c r="AN34" s="69">
        <v>919.16971912384031</v>
      </c>
      <c r="AO34" s="69">
        <v>3006.9772071838379</v>
      </c>
      <c r="AP34" s="69">
        <v>359.51322951316837</v>
      </c>
      <c r="AQ34" s="69">
        <v>911.51116186777756</v>
      </c>
    </row>
    <row r="35" spans="1:43" x14ac:dyDescent="0.25">
      <c r="A35" s="11">
        <v>41848</v>
      </c>
      <c r="B35" s="59"/>
      <c r="C35" s="60">
        <v>6.6231298943360484</v>
      </c>
      <c r="D35" s="60">
        <v>75.600711691379587</v>
      </c>
      <c r="E35" s="60">
        <v>5.2478980392217602</v>
      </c>
      <c r="F35" s="60">
        <v>0</v>
      </c>
      <c r="G35" s="60">
        <v>690.96</v>
      </c>
      <c r="H35" s="61">
        <v>7.6803121417760849</v>
      </c>
      <c r="I35" s="59">
        <v>662.12826128006066</v>
      </c>
      <c r="J35" s="60">
        <v>1235.6231544494644</v>
      </c>
      <c r="K35" s="60">
        <v>61.403312400976709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485.21481741386606</v>
      </c>
      <c r="V35" s="62">
        <v>14.682501913590382</v>
      </c>
      <c r="W35" s="62">
        <v>47.482935140567193</v>
      </c>
      <c r="X35" s="62">
        <v>1.4368239819634634</v>
      </c>
      <c r="Y35" s="66">
        <v>366.17166501049161</v>
      </c>
      <c r="Z35" s="66">
        <v>11.080280278484093</v>
      </c>
      <c r="AA35" s="67">
        <v>0</v>
      </c>
      <c r="AB35" s="68">
        <v>105.89654223124074</v>
      </c>
      <c r="AC35" s="69">
        <v>0</v>
      </c>
      <c r="AD35" s="69">
        <v>20.90568199886216</v>
      </c>
      <c r="AE35" s="68">
        <v>19.879926687023573</v>
      </c>
      <c r="AF35" s="68">
        <v>0.60156254745059345</v>
      </c>
      <c r="AG35" s="68">
        <v>0.97062896449746183</v>
      </c>
      <c r="AH35" s="69">
        <v>213.30203803380331</v>
      </c>
      <c r="AI35" s="69">
        <v>648.12402407328273</v>
      </c>
      <c r="AJ35" s="69">
        <v>1974.1447666168212</v>
      </c>
      <c r="AK35" s="69">
        <v>628.30277334849029</v>
      </c>
      <c r="AL35" s="69">
        <v>1740.2587389628093</v>
      </c>
      <c r="AM35" s="69">
        <v>2180.0661256154376</v>
      </c>
      <c r="AN35" s="69">
        <v>898.86575845082621</v>
      </c>
      <c r="AO35" s="69">
        <v>2591.2724442799886</v>
      </c>
      <c r="AP35" s="69">
        <v>417.57671265602102</v>
      </c>
      <c r="AQ35" s="69">
        <v>927.54347648620626</v>
      </c>
    </row>
    <row r="36" spans="1:43" x14ac:dyDescent="0.25">
      <c r="A36" s="11">
        <v>41849</v>
      </c>
      <c r="B36" s="59"/>
      <c r="C36" s="60">
        <v>23.120840275287641</v>
      </c>
      <c r="D36" s="60">
        <v>292.33102536002787</v>
      </c>
      <c r="E36" s="60">
        <v>21.672533534963918</v>
      </c>
      <c r="F36" s="60">
        <v>0</v>
      </c>
      <c r="G36" s="60">
        <v>929.10130729675211</v>
      </c>
      <c r="H36" s="61">
        <v>0</v>
      </c>
      <c r="I36" s="59">
        <v>670.90937925974617</v>
      </c>
      <c r="J36" s="60">
        <v>1249.0858085632337</v>
      </c>
      <c r="K36" s="60">
        <v>61.912415015697398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512.90502908494398</v>
      </c>
      <c r="V36" s="62">
        <v>0</v>
      </c>
      <c r="W36" s="62">
        <v>50.727098298072818</v>
      </c>
      <c r="X36" s="62">
        <v>0</v>
      </c>
      <c r="Y36" s="66">
        <v>389.30494243304071</v>
      </c>
      <c r="Z36" s="66">
        <v>0</v>
      </c>
      <c r="AA36" s="67">
        <v>0</v>
      </c>
      <c r="AB36" s="68">
        <v>106.55250474082018</v>
      </c>
      <c r="AC36" s="69">
        <v>0</v>
      </c>
      <c r="AD36" s="69">
        <v>21.391632219155621</v>
      </c>
      <c r="AE36" s="68">
        <v>20.998572368285853</v>
      </c>
      <c r="AF36" s="68">
        <v>0</v>
      </c>
      <c r="AG36" s="68">
        <v>1</v>
      </c>
      <c r="AH36" s="69">
        <v>188.36271996498107</v>
      </c>
      <c r="AI36" s="69">
        <v>658.93688681920366</v>
      </c>
      <c r="AJ36" s="69">
        <v>2214.4700365066528</v>
      </c>
      <c r="AK36" s="69">
        <v>604.67762962977099</v>
      </c>
      <c r="AL36" s="69">
        <v>1285.2444026947023</v>
      </c>
      <c r="AM36" s="69">
        <v>2178.535552215576</v>
      </c>
      <c r="AN36" s="69">
        <v>898.3673132578532</v>
      </c>
      <c r="AO36" s="69">
        <v>2640.8651129404698</v>
      </c>
      <c r="AP36" s="69">
        <v>366.41531117757165</v>
      </c>
      <c r="AQ36" s="69">
        <v>941.40635312398285</v>
      </c>
    </row>
    <row r="37" spans="1:43" x14ac:dyDescent="0.25">
      <c r="A37" s="11">
        <v>41850</v>
      </c>
      <c r="B37" s="59"/>
      <c r="C37" s="60">
        <v>24.132777551809941</v>
      </c>
      <c r="D37" s="60">
        <v>246.24025271733666</v>
      </c>
      <c r="E37" s="60">
        <v>6.236249916255491</v>
      </c>
      <c r="F37" s="60">
        <v>0</v>
      </c>
      <c r="G37" s="60">
        <v>1048.5037321726475</v>
      </c>
      <c r="H37" s="61">
        <v>15.110787452260663</v>
      </c>
      <c r="I37" s="59">
        <v>521.81856352488217</v>
      </c>
      <c r="J37" s="60">
        <v>971.68321717580136</v>
      </c>
      <c r="K37" s="60">
        <v>48.25485651493063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386.56404761488335</v>
      </c>
      <c r="V37" s="62">
        <v>22.414378322346924</v>
      </c>
      <c r="W37" s="62">
        <v>37.993279290088999</v>
      </c>
      <c r="X37" s="62">
        <v>2.2029874246428895</v>
      </c>
      <c r="Y37" s="66">
        <v>297.21508043896512</v>
      </c>
      <c r="Z37" s="66">
        <v>17.233602807011902</v>
      </c>
      <c r="AA37" s="67">
        <v>0</v>
      </c>
      <c r="AB37" s="68">
        <v>82.687731975978423</v>
      </c>
      <c r="AC37" s="69">
        <v>0</v>
      </c>
      <c r="AD37" s="69">
        <v>17.135066817866445</v>
      </c>
      <c r="AE37" s="68">
        <v>15.855889569669568</v>
      </c>
      <c r="AF37" s="68">
        <v>0.91938169016172189</v>
      </c>
      <c r="AG37" s="68">
        <v>0.94519422810388765</v>
      </c>
      <c r="AH37" s="69">
        <v>203.10006022453308</v>
      </c>
      <c r="AI37" s="69">
        <v>831.02905886967972</v>
      </c>
      <c r="AJ37" s="69">
        <v>3199.8951676686597</v>
      </c>
      <c r="AK37" s="69">
        <v>582.01500819524131</v>
      </c>
      <c r="AL37" s="69">
        <v>1740.3631915410358</v>
      </c>
      <c r="AM37" s="69">
        <v>2167.5244883219402</v>
      </c>
      <c r="AN37" s="69">
        <v>702.77321492830913</v>
      </c>
      <c r="AO37" s="69">
        <v>2168.5006980896001</v>
      </c>
      <c r="AP37" s="69">
        <v>310.18105185826619</v>
      </c>
      <c r="AQ37" s="69">
        <v>788.93376487096157</v>
      </c>
    </row>
    <row r="38" spans="1:43" ht="15.75" thickBot="1" x14ac:dyDescent="0.3">
      <c r="A38" s="11">
        <v>41850</v>
      </c>
      <c r="B38" s="73"/>
      <c r="C38" s="74">
        <v>24.132777551809941</v>
      </c>
      <c r="D38" s="74">
        <v>246.24025271733666</v>
      </c>
      <c r="E38" s="74">
        <v>6.236249916255491</v>
      </c>
      <c r="F38" s="74">
        <v>0</v>
      </c>
      <c r="G38" s="74">
        <v>1048.5037321726475</v>
      </c>
      <c r="H38" s="75">
        <v>15.110787452260663</v>
      </c>
      <c r="I38" s="76">
        <v>521.81856352488217</v>
      </c>
      <c r="J38" s="74">
        <v>971.68321717580136</v>
      </c>
      <c r="K38" s="74">
        <v>48.25485651493063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386.56404761488335</v>
      </c>
      <c r="V38" s="80">
        <v>22.414378322346924</v>
      </c>
      <c r="W38" s="81">
        <v>37.993279290088999</v>
      </c>
      <c r="X38" s="81">
        <v>2.2029874246428895</v>
      </c>
      <c r="Y38" s="80">
        <v>297.21508043896512</v>
      </c>
      <c r="Z38" s="80">
        <v>17.233602807011902</v>
      </c>
      <c r="AA38" s="82">
        <v>0</v>
      </c>
      <c r="AB38" s="83">
        <v>82.687731975978423</v>
      </c>
      <c r="AC38" s="84">
        <v>0</v>
      </c>
      <c r="AD38" s="85">
        <v>17.135066817866445</v>
      </c>
      <c r="AE38" s="83">
        <v>15.855889569669568</v>
      </c>
      <c r="AF38" s="83">
        <v>0.91938169016172189</v>
      </c>
      <c r="AG38" s="83">
        <v>0.94519422810388765</v>
      </c>
      <c r="AH38" s="84">
        <v>203.10006022453308</v>
      </c>
      <c r="AI38" s="84">
        <v>831.02905886967972</v>
      </c>
      <c r="AJ38" s="84">
        <v>3199.8951676686597</v>
      </c>
      <c r="AK38" s="84">
        <v>582.01500819524131</v>
      </c>
      <c r="AL38" s="84">
        <v>1740.3631915410358</v>
      </c>
      <c r="AM38" s="84">
        <v>2167.5244883219402</v>
      </c>
      <c r="AN38" s="84">
        <v>702.77321492830913</v>
      </c>
      <c r="AO38" s="84">
        <v>2168.5006980896001</v>
      </c>
      <c r="AP38" s="84">
        <v>310.18105185826619</v>
      </c>
      <c r="AQ38" s="84">
        <v>788.93376487096157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785.11270734270227</v>
      </c>
      <c r="D39" s="30">
        <f t="shared" si="0"/>
        <v>7815.1208374917487</v>
      </c>
      <c r="E39" s="30">
        <f t="shared" si="0"/>
        <v>208.61129520684491</v>
      </c>
      <c r="F39" s="30">
        <f t="shared" si="0"/>
        <v>0</v>
      </c>
      <c r="G39" s="30">
        <f t="shared" si="0"/>
        <v>21316.268771642041</v>
      </c>
      <c r="H39" s="31">
        <f t="shared" si="0"/>
        <v>706.59093121786907</v>
      </c>
      <c r="I39" s="29">
        <f t="shared" si="0"/>
        <v>18196.962140321735</v>
      </c>
      <c r="J39" s="30">
        <f t="shared" si="0"/>
        <v>34586.878953393287</v>
      </c>
      <c r="K39" s="30">
        <f t="shared" si="0"/>
        <v>1599.8857017705832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14640.168547048359</v>
      </c>
      <c r="V39" s="264">
        <f t="shared" si="0"/>
        <v>1353.7370226374655</v>
      </c>
      <c r="W39" s="264">
        <f t="shared" si="0"/>
        <v>1387.7822331640864</v>
      </c>
      <c r="X39" s="264">
        <f t="shared" si="0"/>
        <v>128.01066493454115</v>
      </c>
      <c r="Y39" s="264">
        <f t="shared" si="0"/>
        <v>10398.432796307794</v>
      </c>
      <c r="Z39" s="264">
        <f t="shared" si="0"/>
        <v>954.79934663337679</v>
      </c>
      <c r="AA39" s="272">
        <f t="shared" si="0"/>
        <v>0</v>
      </c>
      <c r="AB39" s="275">
        <f t="shared" si="0"/>
        <v>2370.6602272258961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6284.2962187925978</v>
      </c>
      <c r="AI39" s="275">
        <f t="shared" si="1"/>
        <v>26826.34032828013</v>
      </c>
      <c r="AJ39" s="275">
        <f t="shared" si="1"/>
        <v>99221.498216692591</v>
      </c>
      <c r="AK39" s="275">
        <f t="shared" si="1"/>
        <v>20189.831578381851</v>
      </c>
      <c r="AL39" s="275">
        <f t="shared" si="1"/>
        <v>60964.576971880604</v>
      </c>
      <c r="AM39" s="275">
        <f t="shared" si="1"/>
        <v>67436.663735961905</v>
      </c>
      <c r="AN39" s="275">
        <f t="shared" si="1"/>
        <v>19890.514601389565</v>
      </c>
      <c r="AO39" s="275">
        <f t="shared" si="1"/>
        <v>85646.172244962087</v>
      </c>
      <c r="AP39" s="275">
        <f t="shared" si="1"/>
        <v>14003.115242274602</v>
      </c>
      <c r="AQ39" s="275">
        <f t="shared" si="1"/>
        <v>29196.466923968008</v>
      </c>
    </row>
    <row r="40" spans="1:43" ht="15.75" thickBot="1" x14ac:dyDescent="0.3">
      <c r="A40" s="47" t="s">
        <v>174</v>
      </c>
      <c r="B40" s="32">
        <f>Projection!$AC$30</f>
        <v>0.80583665399999982</v>
      </c>
      <c r="C40" s="33">
        <f>Projection!$AC$28</f>
        <v>1.0959093599999998</v>
      </c>
      <c r="D40" s="33">
        <f>Projection!$AC$31</f>
        <v>2.1834120000000001</v>
      </c>
      <c r="E40" s="33">
        <f>Projection!$AC$26</f>
        <v>4.3368000000000002</v>
      </c>
      <c r="F40" s="33">
        <f>Projection!$AC$23</f>
        <v>5.8379999999999994E-2</v>
      </c>
      <c r="G40" s="33">
        <f>Projection!$AC$24</f>
        <v>5.5119999999999995E-2</v>
      </c>
      <c r="H40" s="34">
        <f>Projection!$AC$29</f>
        <v>3.4361216999999997</v>
      </c>
      <c r="I40" s="32">
        <f>Projection!$AC$30</f>
        <v>0.80583665399999982</v>
      </c>
      <c r="J40" s="33">
        <f>Projection!$AC$28</f>
        <v>1.0959093599999998</v>
      </c>
      <c r="K40" s="33">
        <f>Projection!$AC$26</f>
        <v>4.3368000000000002</v>
      </c>
      <c r="L40" s="33">
        <f>Projection!$AC$25</f>
        <v>0</v>
      </c>
      <c r="M40" s="33">
        <f>Projection!$AC$23</f>
        <v>5.8379999999999994E-2</v>
      </c>
      <c r="N40" s="34">
        <f>Projection!$AC$23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1.0959093599999998</v>
      </c>
      <c r="T40" s="38">
        <f>Projection!$AC$28</f>
        <v>1.0959093599999998</v>
      </c>
      <c r="U40" s="26">
        <f>Projection!$AC$27</f>
        <v>0.21934999999999999</v>
      </c>
      <c r="V40" s="27">
        <f>Projection!$AC$27</f>
        <v>0.21934999999999999</v>
      </c>
      <c r="W40" s="27">
        <f>Projection!$AC$22</f>
        <v>1.1625000000000001</v>
      </c>
      <c r="X40" s="27">
        <f>Projection!$AC$22</f>
        <v>1.1625000000000001</v>
      </c>
      <c r="Y40" s="27">
        <f>Projection!$AC$31</f>
        <v>2.1834120000000001</v>
      </c>
      <c r="Z40" s="27">
        <f>Projection!$AC$31</f>
        <v>2.1834120000000001</v>
      </c>
      <c r="AA40" s="28">
        <v>0</v>
      </c>
      <c r="AB40" s="41">
        <f>Projection!$AC$27</f>
        <v>0.21934999999999999</v>
      </c>
      <c r="AC40" s="41">
        <f>Projection!$AC$30</f>
        <v>0.80583665399999982</v>
      </c>
      <c r="AD40" s="279">
        <f>SUM(AD8:AD38)</f>
        <v>659.41864063905348</v>
      </c>
      <c r="AE40" s="279">
        <f>SUM(AE8:AE38)</f>
        <v>596.99552758833192</v>
      </c>
      <c r="AF40" s="279">
        <f>SUM(AF8:AF38)</f>
        <v>55.243142398676973</v>
      </c>
      <c r="AG40" s="279">
        <f>IF(SUM(AE40:AF40)&gt;0, AE40/(AE40+AF40), "")</f>
        <v>0.91530225829790612</v>
      </c>
      <c r="AH40" s="315">
        <v>7.8E-2</v>
      </c>
      <c r="AI40" s="315">
        <f t="shared" ref="AI40:AQ40" si="2">$AH$40</f>
        <v>7.8E-2</v>
      </c>
      <c r="AJ40" s="315">
        <f t="shared" si="2"/>
        <v>7.8E-2</v>
      </c>
      <c r="AK40" s="315">
        <f t="shared" si="2"/>
        <v>7.8E-2</v>
      </c>
      <c r="AL40" s="315">
        <f t="shared" si="2"/>
        <v>7.8E-2</v>
      </c>
      <c r="AM40" s="315">
        <f t="shared" si="2"/>
        <v>7.8E-2</v>
      </c>
      <c r="AN40" s="315">
        <f t="shared" si="2"/>
        <v>7.8E-2</v>
      </c>
      <c r="AO40" s="315">
        <f t="shared" si="2"/>
        <v>7.8E-2</v>
      </c>
      <c r="AP40" s="315">
        <f t="shared" si="2"/>
        <v>7.8E-2</v>
      </c>
      <c r="AQ40" s="315">
        <f t="shared" si="2"/>
        <v>7.8E-2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860.41236463180803</v>
      </c>
      <c r="D41" s="36">
        <f t="shared" si="3"/>
        <v>17063.628618029536</v>
      </c>
      <c r="E41" s="36">
        <f t="shared" si="3"/>
        <v>904.70546505304503</v>
      </c>
      <c r="F41" s="36">
        <f t="shared" si="3"/>
        <v>0</v>
      </c>
      <c r="G41" s="36">
        <f t="shared" si="3"/>
        <v>1174.9527346929092</v>
      </c>
      <c r="H41" s="37">
        <f t="shared" si="3"/>
        <v>2427.9324317809273</v>
      </c>
      <c r="I41" s="35">
        <f t="shared" si="3"/>
        <v>14663.779084121543</v>
      </c>
      <c r="J41" s="36">
        <f t="shared" si="3"/>
        <v>37904.084378210704</v>
      </c>
      <c r="K41" s="36">
        <f t="shared" si="3"/>
        <v>6938.3843114386655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3211.3209707950573</v>
      </c>
      <c r="V41" s="270">
        <f t="shared" si="3"/>
        <v>296.94221591552804</v>
      </c>
      <c r="W41" s="270">
        <f t="shared" si="3"/>
        <v>1613.2968460532506</v>
      </c>
      <c r="X41" s="270">
        <f t="shared" si="3"/>
        <v>148.81239798640411</v>
      </c>
      <c r="Y41" s="270">
        <f t="shared" si="3"/>
        <v>22704.062948651994</v>
      </c>
      <c r="Z41" s="270">
        <f t="shared" si="3"/>
        <v>2084.7203510314748</v>
      </c>
      <c r="AA41" s="274">
        <f t="shared" si="3"/>
        <v>0</v>
      </c>
      <c r="AB41" s="277">
        <f t="shared" si="3"/>
        <v>520.00432084200031</v>
      </c>
      <c r="AC41" s="277">
        <f t="shared" si="3"/>
        <v>0</v>
      </c>
      <c r="AH41" s="280">
        <f t="shared" ref="AH41:AQ41" si="4">AH40*AH39</f>
        <v>490.17510506582261</v>
      </c>
      <c r="AI41" s="280">
        <f t="shared" si="4"/>
        <v>2092.4545456058499</v>
      </c>
      <c r="AJ41" s="280">
        <f t="shared" si="4"/>
        <v>7739.2768609020222</v>
      </c>
      <c r="AK41" s="280">
        <f t="shared" si="4"/>
        <v>1574.8068631137844</v>
      </c>
      <c r="AL41" s="280">
        <f t="shared" si="4"/>
        <v>4755.2370038066874</v>
      </c>
      <c r="AM41" s="280">
        <f t="shared" si="4"/>
        <v>5260.0597714050282</v>
      </c>
      <c r="AN41" s="280">
        <f t="shared" si="4"/>
        <v>1551.4601389083859</v>
      </c>
      <c r="AO41" s="280">
        <f t="shared" si="4"/>
        <v>6680.4014351070427</v>
      </c>
      <c r="AP41" s="280">
        <f t="shared" si="4"/>
        <v>1092.2429888974189</v>
      </c>
      <c r="AQ41" s="280">
        <f t="shared" si="4"/>
        <v>2277.3244200695044</v>
      </c>
    </row>
    <row r="42" spans="1:43" ht="49.5" customHeight="1" thickTop="1" thickBot="1" x14ac:dyDescent="0.3">
      <c r="A42" s="564" t="s">
        <v>230</v>
      </c>
      <c r="B42" s="565"/>
      <c r="C42" s="565"/>
      <c r="D42" s="565"/>
      <c r="E42" s="565"/>
      <c r="F42" s="565"/>
      <c r="G42" s="565"/>
      <c r="H42" s="565"/>
      <c r="I42" s="565"/>
      <c r="J42" s="565"/>
      <c r="K42" s="54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224.9</v>
      </c>
      <c r="AI42" s="280" t="s">
        <v>199</v>
      </c>
      <c r="AJ42" s="280">
        <v>398.6</v>
      </c>
      <c r="AK42" s="280">
        <v>34.64</v>
      </c>
      <c r="AL42" s="280">
        <v>426.78</v>
      </c>
      <c r="AM42" s="280">
        <v>846.88</v>
      </c>
      <c r="AN42" s="280">
        <v>271.36</v>
      </c>
      <c r="AO42" s="280" t="s">
        <v>199</v>
      </c>
      <c r="AP42" s="280">
        <v>34.64</v>
      </c>
      <c r="AQ42" s="280">
        <v>155.78</v>
      </c>
    </row>
    <row r="43" spans="1:43" ht="38.25" customHeight="1" thickTop="1" thickBot="1" x14ac:dyDescent="0.3">
      <c r="A43" s="552" t="s">
        <v>49</v>
      </c>
      <c r="B43" s="548"/>
      <c r="C43" s="291"/>
      <c r="D43" s="548" t="s">
        <v>47</v>
      </c>
      <c r="E43" s="548"/>
      <c r="F43" s="291"/>
      <c r="G43" s="548" t="s">
        <v>48</v>
      </c>
      <c r="H43" s="548"/>
      <c r="I43" s="292"/>
      <c r="J43" s="548" t="s">
        <v>50</v>
      </c>
      <c r="K43" s="549"/>
      <c r="L43" s="44"/>
      <c r="M43" s="44"/>
      <c r="N43" s="44"/>
      <c r="O43" s="45"/>
      <c r="P43" s="45"/>
      <c r="Q43" s="45"/>
      <c r="R43" s="558" t="s">
        <v>168</v>
      </c>
      <c r="S43" s="559"/>
      <c r="T43" s="559"/>
      <c r="U43" s="560"/>
      <c r="AC43" s="45"/>
    </row>
    <row r="44" spans="1:43" ht="24.75" thickTop="1" thickBot="1" x14ac:dyDescent="0.3">
      <c r="A44" s="284" t="s">
        <v>135</v>
      </c>
      <c r="B44" s="285">
        <f>SUM(B41:AC41)</f>
        <v>112517.03943923484</v>
      </c>
      <c r="C44" s="12"/>
      <c r="D44" s="284" t="s">
        <v>135</v>
      </c>
      <c r="E44" s="285">
        <f>SUM(B41:H41)+P41+R41+T41+V41+X41+Z41</f>
        <v>24962.106579121632</v>
      </c>
      <c r="F44" s="12"/>
      <c r="G44" s="284" t="s">
        <v>135</v>
      </c>
      <c r="H44" s="285">
        <f>SUM(I41:N41)+O41+Q41+S41+U41+W41+Y41</f>
        <v>87034.928539271219</v>
      </c>
      <c r="I44" s="12"/>
      <c r="J44" s="284" t="s">
        <v>200</v>
      </c>
      <c r="K44" s="285">
        <v>88826.21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33513.439132881555</v>
      </c>
      <c r="C45" s="12"/>
      <c r="D45" s="286" t="s">
        <v>185</v>
      </c>
      <c r="E45" s="287">
        <f>AH41*(1-$AG$40)+AI41+AJ41*0.5+AL41+AM41*(1-$AG$40)+AN41*(1-$AG$40)+AO41*(1-$AG$40)+AP41*0.5+AQ41*0.5</f>
        <v>13586.365677964059</v>
      </c>
      <c r="F45" s="24"/>
      <c r="G45" s="286" t="s">
        <v>185</v>
      </c>
      <c r="H45" s="287">
        <f>AH41*AG40+AJ41*0.5+AK41+AM41*AG40+AN41*AG40+AO41*AG40+AP41*0.5+AQ41*0.5</f>
        <v>19927.073454917489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1515.7928980986276</v>
      </c>
      <c r="U45" s="258">
        <f>(T45*8.34*0.895)/27000</f>
        <v>0.41904936775102175</v>
      </c>
    </row>
    <row r="46" spans="1:43" ht="32.25" thickBot="1" x14ac:dyDescent="0.3">
      <c r="A46" s="288" t="s">
        <v>186</v>
      </c>
      <c r="B46" s="289">
        <f>SUM(AH42:AQ42)</f>
        <v>2393.5800000000004</v>
      </c>
      <c r="C46" s="12"/>
      <c r="D46" s="288" t="s">
        <v>186</v>
      </c>
      <c r="E46" s="289">
        <f>AH42*(1-$AG$40)+AJ42*0.5+AL42+AM42*(1-$AG$40)+AN42*(1-$AG$40)+AP42*0.5+AQ42*0.5</f>
        <v>835.0509247897503</v>
      </c>
      <c r="F46" s="23"/>
      <c r="G46" s="288" t="s">
        <v>186</v>
      </c>
      <c r="H46" s="289">
        <f>AH42*AG40+AJ42*0.5+AK42+AM42*AG40+AN42*AG40+AP42*0.5+AQ42*0.5</f>
        <v>1558.5290752102496</v>
      </c>
      <c r="I46" s="12"/>
      <c r="J46" s="550" t="s">
        <v>201</v>
      </c>
      <c r="K46" s="551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88826.21</v>
      </c>
      <c r="C47" s="12"/>
      <c r="D47" s="288" t="s">
        <v>189</v>
      </c>
      <c r="E47" s="289">
        <f>K44*0.5</f>
        <v>44413.105000000003</v>
      </c>
      <c r="F47" s="24"/>
      <c r="G47" s="288" t="s">
        <v>187</v>
      </c>
      <c r="H47" s="289">
        <f>K44*0.5</f>
        <v>44413.105000000003</v>
      </c>
      <c r="I47" s="12"/>
      <c r="J47" s="284" t="s">
        <v>200</v>
      </c>
      <c r="K47" s="285">
        <v>30844.2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21316.268771642041</v>
      </c>
      <c r="U47" s="258">
        <f>T47/40000</f>
        <v>0.53290671929105105</v>
      </c>
    </row>
    <row r="48" spans="1:43" ht="24" thickBot="1" x14ac:dyDescent="0.3">
      <c r="A48" s="288" t="s">
        <v>188</v>
      </c>
      <c r="B48" s="289">
        <f>K47</f>
        <v>30844.2</v>
      </c>
      <c r="C48" s="12"/>
      <c r="D48" s="288" t="s">
        <v>188</v>
      </c>
      <c r="E48" s="289">
        <f>K47*0.5</f>
        <v>15422.1</v>
      </c>
      <c r="F48" s="23"/>
      <c r="G48" s="288" t="s">
        <v>188</v>
      </c>
      <c r="H48" s="289">
        <f>K47*0.5</f>
        <v>15422.1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659.41864063905348</v>
      </c>
      <c r="C49" s="12"/>
      <c r="D49" s="293" t="s">
        <v>197</v>
      </c>
      <c r="E49" s="294">
        <f>AF40</f>
        <v>55.243142398676973</v>
      </c>
      <c r="F49" s="23"/>
      <c r="G49" s="293" t="s">
        <v>198</v>
      </c>
      <c r="H49" s="294">
        <f>AE40</f>
        <v>596.99552758833192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1808.4969969774281</v>
      </c>
      <c r="U49" s="258">
        <f>(T49*8.34*1.04)/45000</f>
        <v>0.34858176784407602</v>
      </c>
    </row>
    <row r="50" spans="1:25" ht="48" thickTop="1" thickBot="1" x14ac:dyDescent="0.3">
      <c r="A50" s="293" t="s">
        <v>192</v>
      </c>
      <c r="B50" s="295">
        <f>(SUM(B44:B48)/AD40)</f>
        <v>406.56185926485432</v>
      </c>
      <c r="C50" s="12"/>
      <c r="D50" s="293" t="s">
        <v>190</v>
      </c>
      <c r="E50" s="295">
        <f>SUM(E44:E48)/AF40</f>
        <v>1796.037007921035</v>
      </c>
      <c r="F50" s="23"/>
      <c r="G50" s="293" t="s">
        <v>191</v>
      </c>
      <c r="H50" s="295">
        <f>SUM(H44:H48)/AE40</f>
        <v>282.00502062302121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18364.56579691172</v>
      </c>
      <c r="U50" s="258">
        <f>T50/2000/8</f>
        <v>1.1477853623069825</v>
      </c>
    </row>
    <row r="51" spans="1:25" ht="47.25" customHeight="1" thickTop="1" thickBot="1" x14ac:dyDescent="0.3">
      <c r="A51" s="283" t="s">
        <v>193</v>
      </c>
      <c r="B51" s="296">
        <f>B50/1000</f>
        <v>0.40656185926485433</v>
      </c>
      <c r="C51" s="12"/>
      <c r="D51" s="283" t="s">
        <v>194</v>
      </c>
      <c r="E51" s="296">
        <f>E50/1000</f>
        <v>1.796037007921035</v>
      </c>
      <c r="F51" s="12"/>
      <c r="G51" s="283" t="s">
        <v>195</v>
      </c>
      <c r="H51" s="296">
        <f>H50/1000</f>
        <v>0.28200502062302119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35371.991660735992</v>
      </c>
      <c r="U51" s="258">
        <f>(T51*8.34*1.4)/45000</f>
        <v>9.1778527695722989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706.59093121786907</v>
      </c>
      <c r="U52" s="258">
        <f>(T52*8.34*1.135)/45000</f>
        <v>0.14863375768478279</v>
      </c>
    </row>
    <row r="53" spans="1:25" ht="48" customHeight="1" thickTop="1" thickBot="1" x14ac:dyDescent="0.3">
      <c r="A53" s="561" t="s">
        <v>51</v>
      </c>
      <c r="B53" s="562"/>
      <c r="C53" s="562"/>
      <c r="D53" s="562"/>
      <c r="E53" s="563"/>
      <c r="F53" s="12"/>
      <c r="G53" s="12"/>
      <c r="H53" s="12">
        <f>H44/H49</f>
        <v>145.78824215126716</v>
      </c>
      <c r="I53" s="373">
        <f>E44/E49</f>
        <v>451.85891850568322</v>
      </c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18196.962140321735</v>
      </c>
      <c r="U53" s="258">
        <f>(T53*8.34*1.029*0.03)/3300</f>
        <v>1.4196707410321951</v>
      </c>
    </row>
    <row r="54" spans="1:25" ht="51.75" customHeight="1" thickBot="1" x14ac:dyDescent="0.3">
      <c r="A54" s="545" t="s">
        <v>202</v>
      </c>
      <c r="B54" s="546"/>
      <c r="C54" s="546"/>
      <c r="D54" s="546"/>
      <c r="E54" s="54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5" t="s">
        <v>158</v>
      </c>
      <c r="S54" s="556"/>
      <c r="T54" s="260">
        <f>$D$39+$Y$39+$Z$39</f>
        <v>19168.352980432919</v>
      </c>
      <c r="U54" s="261">
        <f>(T54*1.54*8.34)/45000</f>
        <v>5.4709035186552937</v>
      </c>
    </row>
    <row r="55" spans="1:25" ht="24" thickTop="1" x14ac:dyDescent="0.25">
      <c r="A55" s="591"/>
      <c r="B55" s="59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3"/>
      <c r="B56" s="5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9"/>
      <c r="B57" s="59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90"/>
      <c r="B58" s="59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9"/>
      <c r="B59" s="59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90"/>
      <c r="B60" s="59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</row>
    <row r="62" spans="1:25" x14ac:dyDescent="0.25">
      <c r="A62" s="12"/>
      <c r="B62" s="12"/>
    </row>
  </sheetData>
  <sheetProtection algorithmName="SHA-512" hashValue="DxVjhfAqVwXGI1Rh2D1w6IcY/jHmFHcg9f00Nlli+BF4os7IjCYbxV6FW8m4yOQVopI00e4mH1gIgZ7WdvCjzg==" saltValue="FOYgp3n/EH37l66UIljxwA==" spinCount="100000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1"/>
  <sheetViews>
    <sheetView topLeftCell="AH1" zoomScale="60" zoomScaleNormal="60" workbookViewId="0">
      <selection activeCell="AH39" sqref="AH39:AQ39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41852</v>
      </c>
      <c r="B8" s="49"/>
      <c r="C8" s="50">
        <v>30.747975558042398</v>
      </c>
      <c r="D8" s="50">
        <v>245.72186845143619</v>
      </c>
      <c r="E8" s="50">
        <v>6.1805958350499566</v>
      </c>
      <c r="F8" s="50">
        <v>0</v>
      </c>
      <c r="G8" s="50">
        <v>998.15441322326478</v>
      </c>
      <c r="H8" s="51">
        <v>24.744423322876312</v>
      </c>
      <c r="I8" s="49">
        <v>540.26507314046137</v>
      </c>
      <c r="J8" s="50">
        <v>1123.5472279230755</v>
      </c>
      <c r="K8" s="50">
        <v>60.248859365781122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408.95044860889743</v>
      </c>
      <c r="V8" s="54">
        <v>50.266353341764237</v>
      </c>
      <c r="W8" s="54">
        <v>40.112038583935508</v>
      </c>
      <c r="X8" s="54">
        <v>4.9303917175718066</v>
      </c>
      <c r="Y8" s="54">
        <v>315.67587385506476</v>
      </c>
      <c r="Z8" s="54">
        <v>38.801461327761572</v>
      </c>
      <c r="AA8" s="55">
        <v>0</v>
      </c>
      <c r="AB8" s="56">
        <v>83.601821104685442</v>
      </c>
      <c r="AC8" s="57">
        <v>0</v>
      </c>
      <c r="AD8" s="57">
        <v>18.459904141558543</v>
      </c>
      <c r="AE8" s="58">
        <v>16.270560672919132</v>
      </c>
      <c r="AF8" s="58">
        <v>1.999904278466105</v>
      </c>
      <c r="AG8" s="58">
        <v>0.89053894995077976</v>
      </c>
      <c r="AH8" s="57">
        <v>199.23753476142883</v>
      </c>
      <c r="AI8" s="57">
        <v>821.25488560994484</v>
      </c>
      <c r="AJ8" s="57">
        <v>3162.0975589752197</v>
      </c>
      <c r="AK8" s="57">
        <v>592.93585049311321</v>
      </c>
      <c r="AL8" s="57">
        <v>2106.7650369008379</v>
      </c>
      <c r="AM8" s="57">
        <v>2087.5078895568849</v>
      </c>
      <c r="AN8" s="57">
        <v>435.37016684214291</v>
      </c>
      <c r="AO8" s="57">
        <v>2194.897001139323</v>
      </c>
      <c r="AP8" s="57">
        <v>273.25137491623565</v>
      </c>
      <c r="AQ8" s="57">
        <v>912.81428391138718</v>
      </c>
    </row>
    <row r="9" spans="1:47" x14ac:dyDescent="0.25">
      <c r="A9" s="11">
        <v>41853</v>
      </c>
      <c r="B9" s="59"/>
      <c r="C9" s="60">
        <v>31.326885769764345</v>
      </c>
      <c r="D9" s="60">
        <v>245.54898004531893</v>
      </c>
      <c r="E9" s="60">
        <v>6.1808616643150573</v>
      </c>
      <c r="F9" s="60">
        <v>0</v>
      </c>
      <c r="G9" s="60">
        <v>1007.228718948364</v>
      </c>
      <c r="H9" s="61">
        <v>24.774191321929255</v>
      </c>
      <c r="I9" s="59">
        <v>555.26096293131525</v>
      </c>
      <c r="J9" s="60">
        <v>1123.2532443364457</v>
      </c>
      <c r="K9" s="60">
        <v>59.804929097493535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408.99801075832687</v>
      </c>
      <c r="V9" s="62">
        <v>49.566932534079221</v>
      </c>
      <c r="W9" s="62">
        <v>39.839580238283297</v>
      </c>
      <c r="X9" s="62">
        <v>4.8282038883163931</v>
      </c>
      <c r="Y9" s="66">
        <v>320.72504820975109</v>
      </c>
      <c r="Z9" s="66">
        <v>38.869032143033181</v>
      </c>
      <c r="AA9" s="67">
        <v>0</v>
      </c>
      <c r="AB9" s="68">
        <v>83.341203689574769</v>
      </c>
      <c r="AC9" s="69">
        <v>0</v>
      </c>
      <c r="AD9" s="69">
        <v>18.702813778983227</v>
      </c>
      <c r="AE9" s="68">
        <v>16.502040030628002</v>
      </c>
      <c r="AF9" s="68">
        <v>1.9999009368193115</v>
      </c>
      <c r="AG9" s="68">
        <v>0.89190858730238209</v>
      </c>
      <c r="AH9" s="69">
        <v>198.21679563522338</v>
      </c>
      <c r="AI9" s="69">
        <v>831.24971405665076</v>
      </c>
      <c r="AJ9" s="69">
        <v>3272.5293689727778</v>
      </c>
      <c r="AK9" s="69">
        <v>599.46677271525061</v>
      </c>
      <c r="AL9" s="69">
        <v>1931.1257453918456</v>
      </c>
      <c r="AM9" s="69">
        <v>2072.9623099009195</v>
      </c>
      <c r="AN9" s="69">
        <v>454.82705190976458</v>
      </c>
      <c r="AO9" s="69">
        <v>2373.7830975850425</v>
      </c>
      <c r="AP9" s="69">
        <v>408.06043004989618</v>
      </c>
      <c r="AQ9" s="69">
        <v>898.45716737111422</v>
      </c>
    </row>
    <row r="10" spans="1:47" x14ac:dyDescent="0.25">
      <c r="A10" s="11">
        <v>41854</v>
      </c>
      <c r="B10" s="59"/>
      <c r="C10" s="60">
        <v>30.983229279518213</v>
      </c>
      <c r="D10" s="60">
        <v>245.42447727521247</v>
      </c>
      <c r="E10" s="60">
        <v>6.1887931178013531</v>
      </c>
      <c r="F10" s="60">
        <v>0</v>
      </c>
      <c r="G10" s="60">
        <v>681.43510742187459</v>
      </c>
      <c r="H10" s="61">
        <v>24.424492837985376</v>
      </c>
      <c r="I10" s="59">
        <v>568.48514575958268</v>
      </c>
      <c r="J10" s="60">
        <v>1124.1054133097332</v>
      </c>
      <c r="K10" s="60">
        <v>59.864778085549631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409.89584070916055</v>
      </c>
      <c r="V10" s="62">
        <v>49.690737723560218</v>
      </c>
      <c r="W10" s="62">
        <v>39.356202089601915</v>
      </c>
      <c r="X10" s="62">
        <v>4.7710626007972943</v>
      </c>
      <c r="Y10" s="66">
        <v>322.55041987271909</v>
      </c>
      <c r="Z10" s="66">
        <v>39.102051606061373</v>
      </c>
      <c r="AA10" s="67">
        <v>0</v>
      </c>
      <c r="AB10" s="68">
        <v>83.34187607765169</v>
      </c>
      <c r="AC10" s="69">
        <v>0</v>
      </c>
      <c r="AD10" s="69">
        <v>18.703399925761719</v>
      </c>
      <c r="AE10" s="68">
        <v>16.498606484986155</v>
      </c>
      <c r="AF10" s="68">
        <v>2.0000884279071816</v>
      </c>
      <c r="AG10" s="68">
        <v>0.89187948461633659</v>
      </c>
      <c r="AH10" s="69">
        <v>196.27741327285767</v>
      </c>
      <c r="AI10" s="69">
        <v>837.58695421218863</v>
      </c>
      <c r="AJ10" s="69">
        <v>3258.1482424418136</v>
      </c>
      <c r="AK10" s="69">
        <v>605.22933657964063</v>
      </c>
      <c r="AL10" s="69">
        <v>1906.1098522186282</v>
      </c>
      <c r="AM10" s="69">
        <v>2134.2134596506758</v>
      </c>
      <c r="AN10" s="69">
        <v>475.81303852399185</v>
      </c>
      <c r="AO10" s="69">
        <v>2379.4883308410645</v>
      </c>
      <c r="AP10" s="69">
        <v>404.29875685373952</v>
      </c>
      <c r="AQ10" s="69">
        <v>928.36516412099184</v>
      </c>
    </row>
    <row r="11" spans="1:47" x14ac:dyDescent="0.25">
      <c r="A11" s="11">
        <v>41855</v>
      </c>
      <c r="B11" s="59"/>
      <c r="C11" s="60">
        <v>31.381708333889545</v>
      </c>
      <c r="D11" s="60">
        <v>251.82877507209807</v>
      </c>
      <c r="E11" s="60">
        <v>6.279556411008044</v>
      </c>
      <c r="F11" s="60">
        <v>0</v>
      </c>
      <c r="G11" s="60">
        <v>986.44597358703618</v>
      </c>
      <c r="H11" s="61">
        <v>22.973246905207667</v>
      </c>
      <c r="I11" s="59">
        <v>599.35828959147091</v>
      </c>
      <c r="J11" s="60">
        <v>1125.9169712702424</v>
      </c>
      <c r="K11" s="60">
        <v>59.961489518483475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409.04174054426829</v>
      </c>
      <c r="V11" s="62">
        <v>49.579415109796031</v>
      </c>
      <c r="W11" s="62">
        <v>39.586216707301922</v>
      </c>
      <c r="X11" s="62">
        <v>4.7981936223578563</v>
      </c>
      <c r="Y11" s="66">
        <v>331.47160669580541</v>
      </c>
      <c r="Z11" s="66">
        <v>40.17724050268118</v>
      </c>
      <c r="AA11" s="67">
        <v>0</v>
      </c>
      <c r="AB11" s="68">
        <v>83.34257063335815</v>
      </c>
      <c r="AC11" s="69">
        <v>0</v>
      </c>
      <c r="AD11" s="69">
        <v>18.705203198062044</v>
      </c>
      <c r="AE11" s="68">
        <v>16.500456689732147</v>
      </c>
      <c r="AF11" s="68">
        <v>1.9999988036255316</v>
      </c>
      <c r="AG11" s="68">
        <v>0.89189461825177219</v>
      </c>
      <c r="AH11" s="69">
        <v>213.26174303690593</v>
      </c>
      <c r="AI11" s="69">
        <v>846.91397031148279</v>
      </c>
      <c r="AJ11" s="69">
        <v>3326.1976523081466</v>
      </c>
      <c r="AK11" s="69">
        <v>618.4087255795796</v>
      </c>
      <c r="AL11" s="69">
        <v>2060.053102874756</v>
      </c>
      <c r="AM11" s="69">
        <v>2178.0177125295004</v>
      </c>
      <c r="AN11" s="69">
        <v>489.4045300006868</v>
      </c>
      <c r="AO11" s="69">
        <v>2211.4536275227865</v>
      </c>
      <c r="AP11" s="69">
        <v>412.70133058230084</v>
      </c>
      <c r="AQ11" s="69">
        <v>991.37356268564861</v>
      </c>
    </row>
    <row r="12" spans="1:47" x14ac:dyDescent="0.25">
      <c r="A12" s="11">
        <v>41856</v>
      </c>
      <c r="B12" s="59"/>
      <c r="C12" s="60">
        <v>31.692291448512989</v>
      </c>
      <c r="D12" s="60">
        <v>258.09676613807477</v>
      </c>
      <c r="E12" s="60">
        <v>6.4096849858760132</v>
      </c>
      <c r="F12" s="60">
        <v>0</v>
      </c>
      <c r="G12" s="60">
        <v>991.95004380544026</v>
      </c>
      <c r="H12" s="61">
        <v>20.589911838372551</v>
      </c>
      <c r="I12" s="59">
        <v>618.68776102066795</v>
      </c>
      <c r="J12" s="60">
        <v>1123.1807589213208</v>
      </c>
      <c r="K12" s="60">
        <v>59.984534569581349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408.83360753887661</v>
      </c>
      <c r="V12" s="62">
        <v>49.887343414287457</v>
      </c>
      <c r="W12" s="62">
        <v>41.133911927285993</v>
      </c>
      <c r="X12" s="62">
        <v>5.0193074944173652</v>
      </c>
      <c r="Y12" s="66">
        <v>336.89307930144213</v>
      </c>
      <c r="Z12" s="66">
        <v>41.108902084106788</v>
      </c>
      <c r="AA12" s="67">
        <v>0</v>
      </c>
      <c r="AB12" s="68">
        <v>83.342882664998371</v>
      </c>
      <c r="AC12" s="69">
        <v>0</v>
      </c>
      <c r="AD12" s="69">
        <v>18.822868594858988</v>
      </c>
      <c r="AE12" s="68">
        <v>16.462324436442582</v>
      </c>
      <c r="AF12" s="68">
        <v>2.0087918835785343</v>
      </c>
      <c r="AG12" s="68">
        <v>0.89124686084071836</v>
      </c>
      <c r="AH12" s="69">
        <v>212.71584320068359</v>
      </c>
      <c r="AI12" s="69">
        <v>826.47118867238362</v>
      </c>
      <c r="AJ12" s="69">
        <v>3229.8108165740969</v>
      </c>
      <c r="AK12" s="69">
        <v>678.26527268091832</v>
      </c>
      <c r="AL12" s="69">
        <v>2040.0493343353271</v>
      </c>
      <c r="AM12" s="69">
        <v>1900.73445409139</v>
      </c>
      <c r="AN12" s="69">
        <v>357.9540855089823</v>
      </c>
      <c r="AO12" s="69">
        <v>2324.467529296875</v>
      </c>
      <c r="AP12" s="69">
        <v>399.19600001970923</v>
      </c>
      <c r="AQ12" s="69">
        <v>894.51409854888914</v>
      </c>
    </row>
    <row r="13" spans="1:47" x14ac:dyDescent="0.25">
      <c r="A13" s="11">
        <v>41857</v>
      </c>
      <c r="B13" s="59"/>
      <c r="C13" s="60">
        <v>27.042115215460448</v>
      </c>
      <c r="D13" s="60">
        <v>260.19105629920955</v>
      </c>
      <c r="E13" s="60">
        <v>6.3891718561450785</v>
      </c>
      <c r="F13" s="60">
        <v>0</v>
      </c>
      <c r="G13" s="60">
        <v>615.8479288419079</v>
      </c>
      <c r="H13" s="61">
        <v>19.713801567753197</v>
      </c>
      <c r="I13" s="59">
        <v>742.0472345352166</v>
      </c>
      <c r="J13" s="60">
        <v>1403.1309044520069</v>
      </c>
      <c r="K13" s="60">
        <v>73.28670088052742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516.89325162298303</v>
      </c>
      <c r="V13" s="62">
        <v>38.797517614961571</v>
      </c>
      <c r="W13" s="62">
        <v>47.888462859423832</v>
      </c>
      <c r="X13" s="62">
        <v>3.5944626390616969</v>
      </c>
      <c r="Y13" s="66">
        <v>417.11501311173839</v>
      </c>
      <c r="Z13" s="66">
        <v>31.308257590624034</v>
      </c>
      <c r="AA13" s="67">
        <v>0</v>
      </c>
      <c r="AB13" s="68">
        <v>82.00004628764232</v>
      </c>
      <c r="AC13" s="69">
        <v>0</v>
      </c>
      <c r="AD13" s="69">
        <v>21.651019440094604</v>
      </c>
      <c r="AE13" s="68">
        <v>19.822238146902546</v>
      </c>
      <c r="AF13" s="68">
        <v>1.487838410073411</v>
      </c>
      <c r="AG13" s="68">
        <v>0.93018146105221944</v>
      </c>
      <c r="AH13" s="69">
        <v>199.28681038220725</v>
      </c>
      <c r="AI13" s="69">
        <v>841.21895211537674</v>
      </c>
      <c r="AJ13" s="69">
        <v>3276.892691548665</v>
      </c>
      <c r="AK13" s="69">
        <v>634.89199641545611</v>
      </c>
      <c r="AL13" s="69">
        <v>2072.1574792226156</v>
      </c>
      <c r="AM13" s="69">
        <v>2405.0973644256592</v>
      </c>
      <c r="AN13" s="69">
        <v>475.50144100189209</v>
      </c>
      <c r="AO13" s="69">
        <v>2523.4729423522949</v>
      </c>
      <c r="AP13" s="69">
        <v>401.96690929730732</v>
      </c>
      <c r="AQ13" s="69">
        <v>975.27507365544636</v>
      </c>
    </row>
    <row r="14" spans="1:47" x14ac:dyDescent="0.25">
      <c r="A14" s="11">
        <v>41858</v>
      </c>
      <c r="B14" s="59"/>
      <c r="C14" s="60">
        <v>27.70109444856644</v>
      </c>
      <c r="D14" s="60">
        <v>270.95447038014731</v>
      </c>
      <c r="E14" s="60">
        <v>6.3693530087669883</v>
      </c>
      <c r="F14" s="60">
        <v>0</v>
      </c>
      <c r="G14" s="60">
        <v>493.25530516306463</v>
      </c>
      <c r="H14" s="61">
        <v>19.84895907342435</v>
      </c>
      <c r="I14" s="59">
        <v>727.61080681482827</v>
      </c>
      <c r="J14" s="60">
        <v>1420.9650028864557</v>
      </c>
      <c r="K14" s="60">
        <v>73.500513315200948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521.27864784625388</v>
      </c>
      <c r="V14" s="62">
        <v>52.128274049089441</v>
      </c>
      <c r="W14" s="62">
        <v>50.659177472039751</v>
      </c>
      <c r="X14" s="62">
        <v>5.0659575205597482</v>
      </c>
      <c r="Y14" s="66">
        <v>407.05364735169593</v>
      </c>
      <c r="Z14" s="66">
        <v>40.705684319701803</v>
      </c>
      <c r="AA14" s="67">
        <v>0</v>
      </c>
      <c r="AB14" s="68">
        <v>61.716571193272038</v>
      </c>
      <c r="AC14" s="69">
        <v>0</v>
      </c>
      <c r="AD14" s="69">
        <v>22.413702571392026</v>
      </c>
      <c r="AE14" s="68">
        <v>19.999703972932664</v>
      </c>
      <c r="AF14" s="68">
        <v>1.999986099390719</v>
      </c>
      <c r="AG14" s="68">
        <v>0.90909026023476613</v>
      </c>
      <c r="AH14" s="69">
        <v>189.69150959650676</v>
      </c>
      <c r="AI14" s="69">
        <v>834.76214345296205</v>
      </c>
      <c r="AJ14" s="69">
        <v>3226.8687240600589</v>
      </c>
      <c r="AK14" s="69">
        <v>629.17552700042734</v>
      </c>
      <c r="AL14" s="69">
        <v>1705.5786383310949</v>
      </c>
      <c r="AM14" s="69">
        <v>3116.0149548848472</v>
      </c>
      <c r="AN14" s="69">
        <v>457.18979830741876</v>
      </c>
      <c r="AO14" s="69">
        <v>2739.4536960601808</v>
      </c>
      <c r="AP14" s="69">
        <v>377.88134568532314</v>
      </c>
      <c r="AQ14" s="69">
        <v>934.43279043833388</v>
      </c>
    </row>
    <row r="15" spans="1:47" x14ac:dyDescent="0.25">
      <c r="A15" s="11">
        <v>41859</v>
      </c>
      <c r="B15" s="59"/>
      <c r="C15" s="60">
        <v>27.833435684442481</v>
      </c>
      <c r="D15" s="60">
        <v>271.1622751553852</v>
      </c>
      <c r="E15" s="60">
        <v>6.3611504857738961</v>
      </c>
      <c r="F15" s="60">
        <v>0</v>
      </c>
      <c r="G15" s="60">
        <v>615.8479288419079</v>
      </c>
      <c r="H15" s="61">
        <v>19.816249211629206</v>
      </c>
      <c r="I15" s="59">
        <v>745.09407240549683</v>
      </c>
      <c r="J15" s="60">
        <v>1459.6448068618772</v>
      </c>
      <c r="K15" s="60">
        <v>70.760052800178585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481.03939276199441</v>
      </c>
      <c r="V15" s="62">
        <v>47.063566605973016</v>
      </c>
      <c r="W15" s="62">
        <v>47.667982059245283</v>
      </c>
      <c r="X15" s="62">
        <v>4.6637038096537031</v>
      </c>
      <c r="Y15" s="66">
        <v>354.95347729537087</v>
      </c>
      <c r="Z15" s="66">
        <v>34.727668611077341</v>
      </c>
      <c r="AA15" s="67">
        <v>0</v>
      </c>
      <c r="AB15" s="68">
        <v>51.105458148321034</v>
      </c>
      <c r="AC15" s="69">
        <v>0</v>
      </c>
      <c r="AD15" s="69">
        <v>20.826326066917876</v>
      </c>
      <c r="AE15" s="68">
        <v>18.607351203797283</v>
      </c>
      <c r="AF15" s="68">
        <v>1.82049188885022</v>
      </c>
      <c r="AG15" s="68">
        <v>0.9108818351211313</v>
      </c>
      <c r="AH15" s="69">
        <v>189.68158187866212</v>
      </c>
      <c r="AI15" s="69">
        <v>829.99211740493786</v>
      </c>
      <c r="AJ15" s="69">
        <v>3252.4460739135743</v>
      </c>
      <c r="AK15" s="69">
        <v>649.93329308827708</v>
      </c>
      <c r="AL15" s="69">
        <v>1650.0982479731242</v>
      </c>
      <c r="AM15" s="69">
        <v>3286.7945442199707</v>
      </c>
      <c r="AN15" s="69">
        <v>454.92254954973851</v>
      </c>
      <c r="AO15" s="69">
        <v>2581.0102587381998</v>
      </c>
      <c r="AP15" s="69">
        <v>385.26599173545839</v>
      </c>
      <c r="AQ15" s="69">
        <v>921.75283177693689</v>
      </c>
    </row>
    <row r="16" spans="1:47" x14ac:dyDescent="0.25">
      <c r="A16" s="11">
        <v>41860</v>
      </c>
      <c r="B16" s="59"/>
      <c r="C16" s="60">
        <v>27.97422841191284</v>
      </c>
      <c r="D16" s="60">
        <v>270.67506244977267</v>
      </c>
      <c r="E16" s="60">
        <v>6.2281097620725721</v>
      </c>
      <c r="F16" s="60">
        <v>0</v>
      </c>
      <c r="G16" s="60">
        <v>615.8479288419079</v>
      </c>
      <c r="H16" s="61">
        <v>19.8340139289697</v>
      </c>
      <c r="I16" s="59">
        <v>699.46346209844035</v>
      </c>
      <c r="J16" s="60">
        <v>1399.1793378194188</v>
      </c>
      <c r="K16" s="60">
        <v>67.452768011887827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475.1555317074135</v>
      </c>
      <c r="V16" s="62">
        <v>51.835129680554587</v>
      </c>
      <c r="W16" s="62">
        <v>48.828884887015086</v>
      </c>
      <c r="X16" s="62">
        <v>5.3267854657616507</v>
      </c>
      <c r="Y16" s="66">
        <v>370.97141937858339</v>
      </c>
      <c r="Z16" s="66">
        <v>40.46959437085777</v>
      </c>
      <c r="AA16" s="67">
        <v>0</v>
      </c>
      <c r="AB16" s="68">
        <v>51.106546754308198</v>
      </c>
      <c r="AC16" s="69">
        <v>0</v>
      </c>
      <c r="AD16" s="69">
        <v>20.710645147330222</v>
      </c>
      <c r="AE16" s="68">
        <v>18.335812211705523</v>
      </c>
      <c r="AF16" s="68">
        <v>2.0002696809121931</v>
      </c>
      <c r="AG16" s="68">
        <v>0.90163937716840525</v>
      </c>
      <c r="AH16" s="69">
        <v>195.65653125445047</v>
      </c>
      <c r="AI16" s="69">
        <v>820.90568621953332</v>
      </c>
      <c r="AJ16" s="69">
        <v>3146.3083846410113</v>
      </c>
      <c r="AK16" s="69">
        <v>655.84750512440996</v>
      </c>
      <c r="AL16" s="69">
        <v>1639.0067819595336</v>
      </c>
      <c r="AM16" s="69">
        <v>3359.9701758066813</v>
      </c>
      <c r="AN16" s="69">
        <v>464.33265762329097</v>
      </c>
      <c r="AO16" s="69">
        <v>2619.3544038772579</v>
      </c>
      <c r="AP16" s="69">
        <v>382.32275745073957</v>
      </c>
      <c r="AQ16" s="69">
        <v>936.18416099548335</v>
      </c>
    </row>
    <row r="17" spans="1:43" x14ac:dyDescent="0.25">
      <c r="A17" s="11">
        <v>41861</v>
      </c>
      <c r="B17" s="49"/>
      <c r="C17" s="50">
        <v>27.741117775440188</v>
      </c>
      <c r="D17" s="50">
        <v>270.91342012087495</v>
      </c>
      <c r="E17" s="50">
        <v>6.0579944824178948</v>
      </c>
      <c r="F17" s="50">
        <v>0</v>
      </c>
      <c r="G17" s="50">
        <v>615.8479288419079</v>
      </c>
      <c r="H17" s="51">
        <v>19.78255783518156</v>
      </c>
      <c r="I17" s="49">
        <v>704.41590483983236</v>
      </c>
      <c r="J17" s="50">
        <v>1375.2487401962273</v>
      </c>
      <c r="K17" s="50">
        <v>66.253602961699173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461.83570180080955</v>
      </c>
      <c r="V17" s="66">
        <v>51.313682316313304</v>
      </c>
      <c r="W17" s="62">
        <v>47.556474856417012</v>
      </c>
      <c r="X17" s="62">
        <v>5.2839090467683851</v>
      </c>
      <c r="Y17" s="66">
        <v>368.76971377481885</v>
      </c>
      <c r="Z17" s="66">
        <v>40.973298224311669</v>
      </c>
      <c r="AA17" s="67">
        <v>0</v>
      </c>
      <c r="AB17" s="68">
        <v>51.107397476832979</v>
      </c>
      <c r="AC17" s="69">
        <v>0</v>
      </c>
      <c r="AD17" s="69">
        <v>20.354637340042295</v>
      </c>
      <c r="AE17" s="68">
        <v>18.000061497831965</v>
      </c>
      <c r="AF17" s="68">
        <v>1.9999524371379673</v>
      </c>
      <c r="AG17" s="68">
        <v>0.90000244781624583</v>
      </c>
      <c r="AH17" s="69">
        <v>198.75385913848876</v>
      </c>
      <c r="AI17" s="69">
        <v>825.19291470845531</v>
      </c>
      <c r="AJ17" s="69">
        <v>3196.9803605397542</v>
      </c>
      <c r="AK17" s="69">
        <v>652.41413033803315</v>
      </c>
      <c r="AL17" s="69">
        <v>1671.3432181676228</v>
      </c>
      <c r="AM17" s="69">
        <v>3513.8225840250648</v>
      </c>
      <c r="AN17" s="69">
        <v>454.99792302449544</v>
      </c>
      <c r="AO17" s="69">
        <v>2569.3975482940673</v>
      </c>
      <c r="AP17" s="69">
        <v>367.82676509221403</v>
      </c>
      <c r="AQ17" s="69">
        <v>885.84182840983078</v>
      </c>
    </row>
    <row r="18" spans="1:43" x14ac:dyDescent="0.25">
      <c r="A18" s="11">
        <v>41862</v>
      </c>
      <c r="B18" s="59"/>
      <c r="C18" s="60">
        <v>42.450156084696516</v>
      </c>
      <c r="D18" s="60">
        <v>404.14911103248568</v>
      </c>
      <c r="E18" s="60">
        <v>9.2133649016420058</v>
      </c>
      <c r="F18" s="60">
        <v>0</v>
      </c>
      <c r="G18" s="60">
        <v>883.76388905843089</v>
      </c>
      <c r="H18" s="61">
        <v>30.710820076863005</v>
      </c>
      <c r="I18" s="59">
        <v>705.214780012765</v>
      </c>
      <c r="J18" s="60">
        <v>1300.4786031723022</v>
      </c>
      <c r="K18" s="60">
        <v>63.127190065383843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430.42315490609764</v>
      </c>
      <c r="V18" s="62">
        <v>78.632063917647358</v>
      </c>
      <c r="W18" s="62">
        <v>43.63376975802575</v>
      </c>
      <c r="X18" s="62">
        <v>7.9712565029860176</v>
      </c>
      <c r="Y18" s="66">
        <v>362.17555495236337</v>
      </c>
      <c r="Z18" s="66">
        <v>66.164217844266801</v>
      </c>
      <c r="AA18" s="67">
        <v>0</v>
      </c>
      <c r="AB18" s="68">
        <v>46.000959266555846</v>
      </c>
      <c r="AC18" s="69">
        <v>0</v>
      </c>
      <c r="AD18" s="69">
        <v>20.192502707905248</v>
      </c>
      <c r="AE18" s="68">
        <v>16.782582224518599</v>
      </c>
      <c r="AF18" s="68">
        <v>3.0659342164559358</v>
      </c>
      <c r="AG18" s="68">
        <v>0.84553333113971496</v>
      </c>
      <c r="AH18" s="69">
        <v>195.56516493161521</v>
      </c>
      <c r="AI18" s="69">
        <v>823.91007372538252</v>
      </c>
      <c r="AJ18" s="69">
        <v>3236.0166393280033</v>
      </c>
      <c r="AK18" s="69">
        <v>656.52135467529297</v>
      </c>
      <c r="AL18" s="69">
        <v>2125.2637793858844</v>
      </c>
      <c r="AM18" s="69">
        <v>3427.976793162029</v>
      </c>
      <c r="AN18" s="69">
        <v>465.32621811230979</v>
      </c>
      <c r="AO18" s="69">
        <v>2462.7685216267905</v>
      </c>
      <c r="AP18" s="69">
        <v>375.11079525947565</v>
      </c>
      <c r="AQ18" s="69">
        <v>957.36512482961018</v>
      </c>
    </row>
    <row r="19" spans="1:43" x14ac:dyDescent="0.25">
      <c r="A19" s="11">
        <v>41863</v>
      </c>
      <c r="B19" s="59"/>
      <c r="C19" s="60">
        <v>71.131626335780012</v>
      </c>
      <c r="D19" s="60">
        <v>662.59891967773376</v>
      </c>
      <c r="E19" s="60">
        <v>15.052915787200105</v>
      </c>
      <c r="F19" s="60">
        <v>0</v>
      </c>
      <c r="G19" s="60">
        <v>1478.1565943400037</v>
      </c>
      <c r="H19" s="61">
        <v>50.977019798755521</v>
      </c>
      <c r="I19" s="59">
        <v>749.43696467081759</v>
      </c>
      <c r="J19" s="60">
        <v>1311.3055568059278</v>
      </c>
      <c r="K19" s="60">
        <v>70.139807569980789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407.40831315737114</v>
      </c>
      <c r="V19" s="62">
        <v>125.75744703125909</v>
      </c>
      <c r="W19" s="62">
        <v>39.279125366326639</v>
      </c>
      <c r="X19" s="62">
        <v>12.124550158066985</v>
      </c>
      <c r="Y19" s="66">
        <v>354.9995568157911</v>
      </c>
      <c r="Z19" s="66">
        <v>109.58008592509391</v>
      </c>
      <c r="AA19" s="67">
        <v>0</v>
      </c>
      <c r="AB19" s="68">
        <v>40.890835467974796</v>
      </c>
      <c r="AC19" s="69">
        <v>0</v>
      </c>
      <c r="AD19" s="69">
        <v>21.12747991946009</v>
      </c>
      <c r="AE19" s="68">
        <v>15.883810735150959</v>
      </c>
      <c r="AF19" s="68">
        <v>4.9029620227918773</v>
      </c>
      <c r="AG19" s="68">
        <v>0.76413067675844937</v>
      </c>
      <c r="AH19" s="69">
        <v>204.56732029914855</v>
      </c>
      <c r="AI19" s="69">
        <v>861.85532560348508</v>
      </c>
      <c r="AJ19" s="69">
        <v>3239.3309332529698</v>
      </c>
      <c r="AK19" s="69">
        <v>656.14449040095008</v>
      </c>
      <c r="AL19" s="69">
        <v>3336.3624397277831</v>
      </c>
      <c r="AM19" s="69">
        <v>3289.8569202423096</v>
      </c>
      <c r="AN19" s="69">
        <v>467.65564538637796</v>
      </c>
      <c r="AO19" s="69">
        <v>2577.836906305949</v>
      </c>
      <c r="AP19" s="69">
        <v>367.62162429491673</v>
      </c>
      <c r="AQ19" s="69">
        <v>982.38120574951176</v>
      </c>
    </row>
    <row r="20" spans="1:43" x14ac:dyDescent="0.25">
      <c r="A20" s="11">
        <v>41864</v>
      </c>
      <c r="B20" s="59"/>
      <c r="C20" s="60">
        <v>84.207608226935093</v>
      </c>
      <c r="D20" s="60">
        <v>778.46735779444623</v>
      </c>
      <c r="E20" s="60">
        <v>17.955435397724344</v>
      </c>
      <c r="F20" s="60">
        <v>0</v>
      </c>
      <c r="G20" s="60">
        <v>1640.6106538136787</v>
      </c>
      <c r="H20" s="61">
        <v>47.092921255032238</v>
      </c>
      <c r="I20" s="59">
        <v>772.61721963882405</v>
      </c>
      <c r="J20" s="60">
        <v>1313.9805454889938</v>
      </c>
      <c r="K20" s="60">
        <v>70.200492970148886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410.71399586599171</v>
      </c>
      <c r="V20" s="62">
        <v>154.03966861697612</v>
      </c>
      <c r="W20" s="62">
        <v>40.180262010735369</v>
      </c>
      <c r="X20" s="62">
        <v>15.069742709952406</v>
      </c>
      <c r="Y20" s="66">
        <v>351.78565218647685</v>
      </c>
      <c r="Z20" s="66">
        <v>131.93839467962167</v>
      </c>
      <c r="AA20" s="67">
        <v>0</v>
      </c>
      <c r="AB20" s="68">
        <v>41.19183070924614</v>
      </c>
      <c r="AC20" s="69">
        <v>0</v>
      </c>
      <c r="AD20" s="69">
        <v>22.348452711105395</v>
      </c>
      <c r="AE20" s="68">
        <v>15.996200993260008</v>
      </c>
      <c r="AF20" s="68">
        <v>5.9994291037899989</v>
      </c>
      <c r="AG20" s="68">
        <v>0.7272444991428263</v>
      </c>
      <c r="AH20" s="69">
        <v>221.53615951538086</v>
      </c>
      <c r="AI20" s="69">
        <v>887.02021223704014</v>
      </c>
      <c r="AJ20" s="69">
        <v>3261.2019426981606</v>
      </c>
      <c r="AK20" s="69">
        <v>672.79828240076699</v>
      </c>
      <c r="AL20" s="69">
        <v>2061.5352450052897</v>
      </c>
      <c r="AM20" s="69">
        <v>3284.9102114359534</v>
      </c>
      <c r="AN20" s="69">
        <v>486.98610293070482</v>
      </c>
      <c r="AO20" s="69">
        <v>2769.0036277770992</v>
      </c>
      <c r="AP20" s="69">
        <v>382.00421501795449</v>
      </c>
      <c r="AQ20" s="69">
        <v>1051.0285291035971</v>
      </c>
    </row>
    <row r="21" spans="1:43" x14ac:dyDescent="0.25">
      <c r="A21" s="11">
        <v>41865</v>
      </c>
      <c r="B21" s="59"/>
      <c r="C21" s="60">
        <v>84.873443937301531</v>
      </c>
      <c r="D21" s="60">
        <v>786.27694676717067</v>
      </c>
      <c r="E21" s="60">
        <v>18.121009737749915</v>
      </c>
      <c r="F21" s="60">
        <v>0</v>
      </c>
      <c r="G21" s="60">
        <v>1638.7399368286085</v>
      </c>
      <c r="H21" s="61">
        <v>30.233434255917949</v>
      </c>
      <c r="I21" s="59">
        <v>763.71637802123939</v>
      </c>
      <c r="J21" s="60">
        <v>1297.3599780400602</v>
      </c>
      <c r="K21" s="60">
        <v>69.159773373603997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390.47007690713679</v>
      </c>
      <c r="V21" s="62">
        <v>151.93377330920191</v>
      </c>
      <c r="W21" s="62">
        <v>38.237764203341015</v>
      </c>
      <c r="X21" s="62">
        <v>14.878496821928803</v>
      </c>
      <c r="Y21" s="66">
        <v>334.39391310966187</v>
      </c>
      <c r="Z21" s="66">
        <v>130.11426994049316</v>
      </c>
      <c r="AA21" s="67">
        <v>0</v>
      </c>
      <c r="AB21" s="68">
        <v>41.067568884955989</v>
      </c>
      <c r="AC21" s="69">
        <v>0</v>
      </c>
      <c r="AD21" s="69">
        <v>21.508873407708307</v>
      </c>
      <c r="AE21" s="68">
        <v>15.223529074805207</v>
      </c>
      <c r="AF21" s="68">
        <v>5.9235479290454762</v>
      </c>
      <c r="AG21" s="68">
        <v>0.71988809952473076</v>
      </c>
      <c r="AH21" s="69">
        <v>213.22908078829448</v>
      </c>
      <c r="AI21" s="69">
        <v>878.7258476257324</v>
      </c>
      <c r="AJ21" s="69">
        <v>3227.4332803090424</v>
      </c>
      <c r="AK21" s="69">
        <v>679.00256369908641</v>
      </c>
      <c r="AL21" s="69">
        <v>1309.8159687678019</v>
      </c>
      <c r="AM21" s="69">
        <v>3292.6848907470703</v>
      </c>
      <c r="AN21" s="69">
        <v>464.52128577232361</v>
      </c>
      <c r="AO21" s="69">
        <v>2600.7504538218186</v>
      </c>
      <c r="AP21" s="69">
        <v>363.67727416356411</v>
      </c>
      <c r="AQ21" s="69">
        <v>1022.5246533393861</v>
      </c>
    </row>
    <row r="22" spans="1:43" x14ac:dyDescent="0.25">
      <c r="A22" s="11">
        <v>41866</v>
      </c>
      <c r="B22" s="59"/>
      <c r="C22" s="60">
        <v>84.635481150945097</v>
      </c>
      <c r="D22" s="60">
        <v>777.95512647628857</v>
      </c>
      <c r="E22" s="60">
        <v>18.181158342957513</v>
      </c>
      <c r="F22" s="60">
        <v>0</v>
      </c>
      <c r="G22" s="60">
        <v>1731.9630676269485</v>
      </c>
      <c r="H22" s="61">
        <v>29.836825231711106</v>
      </c>
      <c r="I22" s="59">
        <v>561.1536690076191</v>
      </c>
      <c r="J22" s="60">
        <v>1244.2262851079313</v>
      </c>
      <c r="K22" s="60">
        <v>65.996171744664366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372.70976666938054</v>
      </c>
      <c r="V22" s="62">
        <v>157.74051782226775</v>
      </c>
      <c r="W22" s="62">
        <v>36.555756934855495</v>
      </c>
      <c r="X22" s="62">
        <v>15.471352092053419</v>
      </c>
      <c r="Y22" s="66">
        <v>310.57509842961053</v>
      </c>
      <c r="Z22" s="66">
        <v>131.44350170047014</v>
      </c>
      <c r="AA22" s="67">
        <v>0</v>
      </c>
      <c r="AB22" s="68">
        <v>42.314182194073837</v>
      </c>
      <c r="AC22" s="69">
        <v>0</v>
      </c>
      <c r="AD22" s="69">
        <v>20.479262650012974</v>
      </c>
      <c r="AE22" s="68">
        <v>14.177083527462635</v>
      </c>
      <c r="AF22" s="68">
        <v>6.0001124113692779</v>
      </c>
      <c r="AG22" s="68">
        <v>0.70262902587857634</v>
      </c>
      <c r="AH22" s="69">
        <v>193.33724590937297</v>
      </c>
      <c r="AI22" s="69">
        <v>856.74970423380546</v>
      </c>
      <c r="AJ22" s="69">
        <v>3199.2778415679936</v>
      </c>
      <c r="AK22" s="69">
        <v>645.87550667126982</v>
      </c>
      <c r="AL22" s="69">
        <v>1148.8892726898196</v>
      </c>
      <c r="AM22" s="69">
        <v>3270.7855913798016</v>
      </c>
      <c r="AN22" s="69">
        <v>449.67939712206527</v>
      </c>
      <c r="AO22" s="69">
        <v>2536.5168359120685</v>
      </c>
      <c r="AP22" s="69">
        <v>240.1422695239385</v>
      </c>
      <c r="AQ22" s="69">
        <v>995.07300558090219</v>
      </c>
    </row>
    <row r="23" spans="1:43" x14ac:dyDescent="0.25">
      <c r="A23" s="11">
        <v>41867</v>
      </c>
      <c r="B23" s="59"/>
      <c r="C23" s="60">
        <v>84.183637440204876</v>
      </c>
      <c r="D23" s="60">
        <v>777.46761665344343</v>
      </c>
      <c r="E23" s="60">
        <v>18.135559967160248</v>
      </c>
      <c r="F23" s="60">
        <v>0</v>
      </c>
      <c r="G23" s="60">
        <v>1689.8426942189517</v>
      </c>
      <c r="H23" s="61">
        <v>29.985627625386005</v>
      </c>
      <c r="I23" s="59">
        <v>625.65974270502829</v>
      </c>
      <c r="J23" s="60">
        <v>1391.1294635772726</v>
      </c>
      <c r="K23" s="60">
        <v>74.74331803321823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436.1179431729521</v>
      </c>
      <c r="V23" s="62">
        <v>155.23061701194808</v>
      </c>
      <c r="W23" s="62">
        <v>42.927262925859544</v>
      </c>
      <c r="X23" s="62">
        <v>15.27941148702679</v>
      </c>
      <c r="Y23" s="66">
        <v>364.36757189922832</v>
      </c>
      <c r="Z23" s="66">
        <v>129.69198789106474</v>
      </c>
      <c r="AA23" s="67">
        <v>0</v>
      </c>
      <c r="AB23" s="68">
        <v>44.842281190553948</v>
      </c>
      <c r="AC23" s="69">
        <v>0</v>
      </c>
      <c r="AD23" s="69">
        <v>22.937019614378578</v>
      </c>
      <c r="AE23" s="68">
        <v>16.705078217673169</v>
      </c>
      <c r="AF23" s="68">
        <v>5.9459594349547178</v>
      </c>
      <c r="AG23" s="68">
        <v>0.7374972605608251</v>
      </c>
      <c r="AH23" s="69">
        <v>199.3609696706136</v>
      </c>
      <c r="AI23" s="69">
        <v>867.1992287317911</v>
      </c>
      <c r="AJ23" s="69">
        <v>3243.076279703776</v>
      </c>
      <c r="AK23" s="69">
        <v>677.23538325627646</v>
      </c>
      <c r="AL23" s="69">
        <v>1125.0035477956137</v>
      </c>
      <c r="AM23" s="69">
        <v>3227.4230695088709</v>
      </c>
      <c r="AN23" s="69">
        <v>459.39556026458735</v>
      </c>
      <c r="AO23" s="69">
        <v>2867.6377062479655</v>
      </c>
      <c r="AP23" s="69">
        <v>346.40842253367106</v>
      </c>
      <c r="AQ23" s="69">
        <v>971.20014187494917</v>
      </c>
    </row>
    <row r="24" spans="1:43" x14ac:dyDescent="0.25">
      <c r="A24" s="11">
        <v>41868</v>
      </c>
      <c r="B24" s="59"/>
      <c r="C24" s="60">
        <v>83.589961338043366</v>
      </c>
      <c r="D24" s="60">
        <v>786.05880285898911</v>
      </c>
      <c r="E24" s="60">
        <v>18.046935115257913</v>
      </c>
      <c r="F24" s="60">
        <v>0</v>
      </c>
      <c r="G24" s="60">
        <v>1637.6549641926968</v>
      </c>
      <c r="H24" s="61">
        <v>29.812800870339149</v>
      </c>
      <c r="I24" s="59">
        <v>660.84016520182377</v>
      </c>
      <c r="J24" s="60">
        <v>1388.5284449259443</v>
      </c>
      <c r="K24" s="60">
        <v>74.321049002806191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426.15323534050202</v>
      </c>
      <c r="V24" s="62">
        <v>150.32788551080597</v>
      </c>
      <c r="W24" s="62">
        <v>41.893475521712951</v>
      </c>
      <c r="X24" s="62">
        <v>14.778152715057592</v>
      </c>
      <c r="Y24" s="66">
        <v>362.40753450884819</v>
      </c>
      <c r="Z24" s="66">
        <v>127.84124075080504</v>
      </c>
      <c r="AA24" s="67">
        <v>0</v>
      </c>
      <c r="AB24" s="68">
        <v>43.812631694475407</v>
      </c>
      <c r="AC24" s="69">
        <v>0</v>
      </c>
      <c r="AD24" s="69">
        <v>23.259253377384631</v>
      </c>
      <c r="AE24" s="68">
        <v>16.998790072826491</v>
      </c>
      <c r="AF24" s="68">
        <v>5.9964162089448747</v>
      </c>
      <c r="AG24" s="68">
        <v>0.73923190183780518</v>
      </c>
      <c r="AH24" s="69">
        <v>202.71865081787109</v>
      </c>
      <c r="AI24" s="69">
        <v>870.67203009923298</v>
      </c>
      <c r="AJ24" s="69">
        <v>3248.1422130584715</v>
      </c>
      <c r="AK24" s="69">
        <v>680.29167598088577</v>
      </c>
      <c r="AL24" s="69">
        <v>1218.6092335383096</v>
      </c>
      <c r="AM24" s="69">
        <v>3228.8790242513014</v>
      </c>
      <c r="AN24" s="69">
        <v>479.92455730438235</v>
      </c>
      <c r="AO24" s="69">
        <v>2998.6629892985025</v>
      </c>
      <c r="AP24" s="69">
        <v>360.60535586675013</v>
      </c>
      <c r="AQ24" s="69">
        <v>990.44496800104776</v>
      </c>
    </row>
    <row r="25" spans="1:43" x14ac:dyDescent="0.25">
      <c r="A25" s="11">
        <v>41869</v>
      </c>
      <c r="B25" s="59"/>
      <c r="C25" s="60">
        <v>68.811615413427276</v>
      </c>
      <c r="D25" s="60">
        <v>930.09716720580889</v>
      </c>
      <c r="E25" s="60">
        <v>19.144637524088164</v>
      </c>
      <c r="F25" s="60">
        <v>0</v>
      </c>
      <c r="G25" s="60">
        <v>1950.2091422398896</v>
      </c>
      <c r="H25" s="61">
        <v>32.296185149749206</v>
      </c>
      <c r="I25" s="59">
        <v>657.62343187332249</v>
      </c>
      <c r="J25" s="60">
        <v>1350.0896336873393</v>
      </c>
      <c r="K25" s="60">
        <v>72.220162145296797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405.89520569038808</v>
      </c>
      <c r="V25" s="62">
        <v>153.50318198542999</v>
      </c>
      <c r="W25" s="62">
        <v>39.395614835539298</v>
      </c>
      <c r="X25" s="62">
        <v>14.898801830491539</v>
      </c>
      <c r="Y25" s="66">
        <v>347.46631546685956</v>
      </c>
      <c r="Z25" s="66">
        <v>131.40629480014385</v>
      </c>
      <c r="AA25" s="67">
        <v>0</v>
      </c>
      <c r="AB25" s="68">
        <v>43.81013200547968</v>
      </c>
      <c r="AC25" s="69">
        <v>0</v>
      </c>
      <c r="AD25" s="69">
        <v>22.807401201460067</v>
      </c>
      <c r="AE25" s="68">
        <v>16.327905872031565</v>
      </c>
      <c r="AF25" s="68">
        <v>6.1749571598223625</v>
      </c>
      <c r="AG25" s="68">
        <v>0.72559237679750344</v>
      </c>
      <c r="AH25" s="69">
        <v>202.71865081787109</v>
      </c>
      <c r="AI25" s="69">
        <v>867.04317839940393</v>
      </c>
      <c r="AJ25" s="69">
        <v>3207.7147926330567</v>
      </c>
      <c r="AK25" s="69">
        <v>674.53740135828639</v>
      </c>
      <c r="AL25" s="69">
        <v>1313.9542095820109</v>
      </c>
      <c r="AM25" s="69">
        <v>3327.1949982961009</v>
      </c>
      <c r="AN25" s="69">
        <v>476.96084340413404</v>
      </c>
      <c r="AO25" s="69">
        <v>2713.5996617635096</v>
      </c>
      <c r="AP25" s="69">
        <v>370.21832397778837</v>
      </c>
      <c r="AQ25" s="69">
        <v>994.09256598154707</v>
      </c>
    </row>
    <row r="26" spans="1:43" x14ac:dyDescent="0.25">
      <c r="A26" s="11">
        <v>41870</v>
      </c>
      <c r="B26" s="59"/>
      <c r="C26" s="60">
        <v>38.929709096749612</v>
      </c>
      <c r="D26" s="60">
        <v>1169.7159902572614</v>
      </c>
      <c r="E26" s="60">
        <v>21.901151984433373</v>
      </c>
      <c r="F26" s="60">
        <v>0</v>
      </c>
      <c r="G26" s="60">
        <v>3140.3907667160124</v>
      </c>
      <c r="H26" s="61">
        <v>36.912396719058414</v>
      </c>
      <c r="I26" s="59">
        <v>646.67281287511184</v>
      </c>
      <c r="J26" s="60">
        <v>1279.9647238413509</v>
      </c>
      <c r="K26" s="60">
        <v>68.758290036519369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377.0331334552161</v>
      </c>
      <c r="V26" s="62">
        <v>183.11213197565436</v>
      </c>
      <c r="W26" s="62">
        <v>36.520730870101083</v>
      </c>
      <c r="X26" s="62">
        <v>17.736873228218894</v>
      </c>
      <c r="Y26" s="66">
        <v>322.31752034311296</v>
      </c>
      <c r="Z26" s="66">
        <v>156.53862508649831</v>
      </c>
      <c r="AA26" s="67">
        <v>0</v>
      </c>
      <c r="AB26" s="68">
        <v>43.821356042225766</v>
      </c>
      <c r="AC26" s="69">
        <v>0</v>
      </c>
      <c r="AD26" s="69">
        <v>22.709241165717465</v>
      </c>
      <c r="AE26" s="68">
        <v>15.069270581189389</v>
      </c>
      <c r="AF26" s="68">
        <v>7.3186306947406612</v>
      </c>
      <c r="AG26" s="68">
        <v>0.67309884903730766</v>
      </c>
      <c r="AH26" s="69">
        <v>205.64495299657187</v>
      </c>
      <c r="AI26" s="69">
        <v>886.95343310038254</v>
      </c>
      <c r="AJ26" s="69">
        <v>3208.1985420227047</v>
      </c>
      <c r="AK26" s="69">
        <v>670.39693368275971</v>
      </c>
      <c r="AL26" s="69">
        <v>1360.5136197408042</v>
      </c>
      <c r="AM26" s="69">
        <v>3328.3102586110431</v>
      </c>
      <c r="AN26" s="69">
        <v>451.03560895919799</v>
      </c>
      <c r="AO26" s="69">
        <v>2687.7085976918538</v>
      </c>
      <c r="AP26" s="69">
        <v>362.24086039861038</v>
      </c>
      <c r="AQ26" s="69">
        <v>948.89959166844687</v>
      </c>
    </row>
    <row r="27" spans="1:43" x14ac:dyDescent="0.25">
      <c r="A27" s="11">
        <v>41871</v>
      </c>
      <c r="B27" s="59"/>
      <c r="C27" s="60">
        <v>42.272192637125599</v>
      </c>
      <c r="D27" s="60">
        <v>1407.4830550511667</v>
      </c>
      <c r="E27" s="60">
        <v>20.953582026064414</v>
      </c>
      <c r="F27" s="60">
        <v>0</v>
      </c>
      <c r="G27" s="60">
        <v>3925.5367691040065</v>
      </c>
      <c r="H27" s="61">
        <v>56.30085609952593</v>
      </c>
      <c r="I27" s="59">
        <v>614.04662440617699</v>
      </c>
      <c r="J27" s="60">
        <v>1237.7285769144696</v>
      </c>
      <c r="K27" s="60">
        <v>66.236748449007763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384.61962519824158</v>
      </c>
      <c r="V27" s="62">
        <v>205.09987379637332</v>
      </c>
      <c r="W27" s="62">
        <v>37.465653440793609</v>
      </c>
      <c r="X27" s="62">
        <v>19.978701784769353</v>
      </c>
      <c r="Y27" s="62">
        <v>336.61999569896591</v>
      </c>
      <c r="Z27" s="62">
        <v>179.50388932860224</v>
      </c>
      <c r="AA27" s="72">
        <v>0</v>
      </c>
      <c r="AB27" s="69">
        <v>43.750769551595461</v>
      </c>
      <c r="AC27" s="69">
        <v>0</v>
      </c>
      <c r="AD27" s="69">
        <v>23.349735826916174</v>
      </c>
      <c r="AE27" s="69">
        <v>15.000687458636108</v>
      </c>
      <c r="AF27" s="69">
        <v>7.9991734770146934</v>
      </c>
      <c r="AG27" s="69">
        <v>0.65220774597747155</v>
      </c>
      <c r="AH27" s="69">
        <v>197.63461167812346</v>
      </c>
      <c r="AI27" s="69">
        <v>876.80353447596224</v>
      </c>
      <c r="AJ27" s="69">
        <v>3232.5650246938067</v>
      </c>
      <c r="AK27" s="69">
        <v>668.7569347381592</v>
      </c>
      <c r="AL27" s="69">
        <v>2692.7855497996011</v>
      </c>
      <c r="AM27" s="69">
        <v>3350.3918209075928</v>
      </c>
      <c r="AN27" s="69">
        <v>453.30425418217976</v>
      </c>
      <c r="AO27" s="69">
        <v>2857.4138357798256</v>
      </c>
      <c r="AP27" s="69">
        <v>367.09965548515322</v>
      </c>
      <c r="AQ27" s="69">
        <v>1004.2948112487793</v>
      </c>
    </row>
    <row r="28" spans="1:43" x14ac:dyDescent="0.25">
      <c r="A28" s="11">
        <v>41872</v>
      </c>
      <c r="B28" s="59"/>
      <c r="C28" s="60">
        <v>35.958002261320793</v>
      </c>
      <c r="D28" s="60">
        <v>1451.2543372472123</v>
      </c>
      <c r="E28" s="60">
        <v>19.49160301436979</v>
      </c>
      <c r="F28" s="60">
        <v>0</v>
      </c>
      <c r="G28" s="60">
        <v>4275.0453818003352</v>
      </c>
      <c r="H28" s="61">
        <v>80.126136728127761</v>
      </c>
      <c r="I28" s="59">
        <v>612.37220964431583</v>
      </c>
      <c r="J28" s="60">
        <v>1236.2395943323777</v>
      </c>
      <c r="K28" s="60">
        <v>66.399501160780574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384.73527873866823</v>
      </c>
      <c r="V28" s="62">
        <v>205.14273588942655</v>
      </c>
      <c r="W28" s="62">
        <v>36.840932103712042</v>
      </c>
      <c r="X28" s="62">
        <v>19.643765524309082</v>
      </c>
      <c r="Y28" s="66">
        <v>343.47711672739018</v>
      </c>
      <c r="Z28" s="66">
        <v>183.14368173325224</v>
      </c>
      <c r="AA28" s="67">
        <v>0</v>
      </c>
      <c r="AB28" s="68">
        <v>38.935723243818948</v>
      </c>
      <c r="AC28" s="69">
        <v>0</v>
      </c>
      <c r="AD28" s="69">
        <v>23.350297403335528</v>
      </c>
      <c r="AE28" s="68">
        <v>14.999796324898353</v>
      </c>
      <c r="AF28" s="68">
        <v>7.9979649018980012</v>
      </c>
      <c r="AG28" s="68">
        <v>0.652228544203729</v>
      </c>
      <c r="AH28" s="69">
        <v>205.29096778233844</v>
      </c>
      <c r="AI28" s="69">
        <v>885.85079266230264</v>
      </c>
      <c r="AJ28" s="69">
        <v>3348.5831911722817</v>
      </c>
      <c r="AK28" s="69">
        <v>670.42282600402825</v>
      </c>
      <c r="AL28" s="69">
        <v>4955.2291409810396</v>
      </c>
      <c r="AM28" s="69">
        <v>3298.8523452758786</v>
      </c>
      <c r="AN28" s="69">
        <v>454.50594825744628</v>
      </c>
      <c r="AO28" s="69">
        <v>2907.3946701049808</v>
      </c>
      <c r="AP28" s="69">
        <v>394.80119045575464</v>
      </c>
      <c r="AQ28" s="69">
        <v>994.93393821716313</v>
      </c>
    </row>
    <row r="29" spans="1:43" x14ac:dyDescent="0.25">
      <c r="A29" s="11">
        <v>41873</v>
      </c>
      <c r="B29" s="59"/>
      <c r="C29" s="60">
        <v>67.503519030411951</v>
      </c>
      <c r="D29" s="60">
        <v>1448.0419284184793</v>
      </c>
      <c r="E29" s="60">
        <v>19.951174486676837</v>
      </c>
      <c r="F29" s="60">
        <v>0</v>
      </c>
      <c r="G29" s="60">
        <v>4878.6361906051643</v>
      </c>
      <c r="H29" s="61">
        <v>79.514948062102036</v>
      </c>
      <c r="I29" s="59">
        <v>624.44625301361168</v>
      </c>
      <c r="J29" s="60">
        <v>1235.6401487986234</v>
      </c>
      <c r="K29" s="60">
        <v>66.192385975519784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404.15085957402158</v>
      </c>
      <c r="V29" s="62">
        <v>56.875766461879287</v>
      </c>
      <c r="W29" s="62">
        <v>37.613344018508151</v>
      </c>
      <c r="X29" s="62">
        <v>5.2932901652165762</v>
      </c>
      <c r="Y29" s="66">
        <v>351.21397392165608</v>
      </c>
      <c r="Z29" s="66">
        <v>49.426008842270157</v>
      </c>
      <c r="AA29" s="67">
        <v>0</v>
      </c>
      <c r="AB29" s="68">
        <v>38.883286923832479</v>
      </c>
      <c r="AC29" s="69">
        <v>0</v>
      </c>
      <c r="AD29" s="69">
        <v>17.185646439592063</v>
      </c>
      <c r="AE29" s="68">
        <v>14.76581025109633</v>
      </c>
      <c r="AF29" s="68">
        <v>2.0779784468278786</v>
      </c>
      <c r="AG29" s="68">
        <v>0.87663236080110851</v>
      </c>
      <c r="AH29" s="69">
        <v>187.61328506469727</v>
      </c>
      <c r="AI29" s="69">
        <v>846.9181695302326</v>
      </c>
      <c r="AJ29" s="69">
        <v>3321.9074493408202</v>
      </c>
      <c r="AK29" s="69">
        <v>658.49124886194852</v>
      </c>
      <c r="AL29" s="69">
        <v>2662.9582056045538</v>
      </c>
      <c r="AM29" s="69">
        <v>3177.028366597493</v>
      </c>
      <c r="AN29" s="69">
        <v>421.51025257110598</v>
      </c>
      <c r="AO29" s="69">
        <v>2103.5740544637047</v>
      </c>
      <c r="AP29" s="69">
        <v>363.88608978589377</v>
      </c>
      <c r="AQ29" s="69">
        <v>946.83648878733288</v>
      </c>
    </row>
    <row r="30" spans="1:43" x14ac:dyDescent="0.25">
      <c r="A30" s="11">
        <v>41874</v>
      </c>
      <c r="B30" s="59"/>
      <c r="C30" s="60">
        <v>83.28964807589837</v>
      </c>
      <c r="D30" s="60">
        <v>1444.1090441385927</v>
      </c>
      <c r="E30" s="60">
        <v>19.611548703908948</v>
      </c>
      <c r="F30" s="60">
        <v>0</v>
      </c>
      <c r="G30" s="60">
        <v>3882.9429329554332</v>
      </c>
      <c r="H30" s="61">
        <v>79.884358616669942</v>
      </c>
      <c r="I30" s="59">
        <v>626.90220769246491</v>
      </c>
      <c r="J30" s="60">
        <v>1235.6354808171595</v>
      </c>
      <c r="K30" s="60">
        <v>66.050516867637626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424.92135540159694</v>
      </c>
      <c r="V30" s="62">
        <v>144.30548947077131</v>
      </c>
      <c r="W30" s="62">
        <v>40.990756298121021</v>
      </c>
      <c r="X30" s="62">
        <v>13.920672793173591</v>
      </c>
      <c r="Y30" s="66">
        <v>365.96418717301452</v>
      </c>
      <c r="Z30" s="66">
        <v>124.28333028558433</v>
      </c>
      <c r="AA30" s="67">
        <v>0</v>
      </c>
      <c r="AB30" s="68">
        <v>38.884349139531658</v>
      </c>
      <c r="AC30" s="69">
        <v>0</v>
      </c>
      <c r="AD30" s="69">
        <v>20.414834364255267</v>
      </c>
      <c r="AE30" s="68">
        <v>14.999376299615252</v>
      </c>
      <c r="AF30" s="68">
        <v>5.093865749878784</v>
      </c>
      <c r="AG30" s="68">
        <v>0.74648860859131227</v>
      </c>
      <c r="AH30" s="69">
        <v>190.45162978967031</v>
      </c>
      <c r="AI30" s="69">
        <v>836.82332321802789</v>
      </c>
      <c r="AJ30" s="69">
        <v>3295.6235468546552</v>
      </c>
      <c r="AK30" s="69">
        <v>664.5679778099061</v>
      </c>
      <c r="AL30" s="69">
        <v>3054.5621554056806</v>
      </c>
      <c r="AM30" s="69">
        <v>3171.7040265401206</v>
      </c>
      <c r="AN30" s="69">
        <v>415.04499729474389</v>
      </c>
      <c r="AO30" s="69">
        <v>2408.1994443257654</v>
      </c>
      <c r="AP30" s="69">
        <v>370.35189700126654</v>
      </c>
      <c r="AQ30" s="69">
        <v>881.52748444875078</v>
      </c>
    </row>
    <row r="31" spans="1:43" x14ac:dyDescent="0.25">
      <c r="A31" s="11">
        <v>41875</v>
      </c>
      <c r="B31" s="59"/>
      <c r="C31" s="60">
        <v>78.698065678278638</v>
      </c>
      <c r="D31" s="60">
        <v>1357.8699162165331</v>
      </c>
      <c r="E31" s="60">
        <v>18.551811055342352</v>
      </c>
      <c r="F31" s="60">
        <v>0</v>
      </c>
      <c r="G31" s="60">
        <v>3276.0601708730023</v>
      </c>
      <c r="H31" s="61">
        <v>74.623409771919384</v>
      </c>
      <c r="I31" s="59">
        <v>645.00884450276862</v>
      </c>
      <c r="J31" s="60">
        <v>1235.4565135320042</v>
      </c>
      <c r="K31" s="60">
        <v>66.280704156557675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400.93456763466708</v>
      </c>
      <c r="V31" s="62">
        <v>183.47932843857103</v>
      </c>
      <c r="W31" s="62">
        <v>38.468601710144021</v>
      </c>
      <c r="X31" s="62">
        <v>17.604351875639566</v>
      </c>
      <c r="Y31" s="66">
        <v>366.5948780238881</v>
      </c>
      <c r="Z31" s="66">
        <v>167.76448692279567</v>
      </c>
      <c r="AA31" s="67">
        <v>0</v>
      </c>
      <c r="AB31" s="68">
        <v>38.882023904058414</v>
      </c>
      <c r="AC31" s="69">
        <v>0</v>
      </c>
      <c r="AD31" s="69">
        <v>22.070541742775177</v>
      </c>
      <c r="AE31" s="68">
        <v>14.901839069264032</v>
      </c>
      <c r="AF31" s="68">
        <v>6.8195153165730984</v>
      </c>
      <c r="AG31" s="68">
        <v>0.68604557545363776</v>
      </c>
      <c r="AH31" s="69">
        <v>190.17631003061931</v>
      </c>
      <c r="AI31" s="69">
        <v>836.80663210550949</v>
      </c>
      <c r="AJ31" s="69">
        <v>3261.6282187143956</v>
      </c>
      <c r="AK31" s="69">
        <v>662.53513278961179</v>
      </c>
      <c r="AL31" s="69">
        <v>4284.19631322225</v>
      </c>
      <c r="AM31" s="69">
        <v>3212.1106264750165</v>
      </c>
      <c r="AN31" s="69">
        <v>428.02556341489156</v>
      </c>
      <c r="AO31" s="69">
        <v>2945.9641385396321</v>
      </c>
      <c r="AP31" s="69">
        <v>318.22751681009925</v>
      </c>
      <c r="AQ31" s="69">
        <v>933.38002262115469</v>
      </c>
    </row>
    <row r="32" spans="1:43" x14ac:dyDescent="0.25">
      <c r="A32" s="11">
        <v>41876</v>
      </c>
      <c r="B32" s="59"/>
      <c r="C32" s="60">
        <v>63.748964877923655</v>
      </c>
      <c r="D32" s="60">
        <v>1101.8703781763738</v>
      </c>
      <c r="E32" s="60">
        <v>15.350523190697082</v>
      </c>
      <c r="F32" s="60">
        <v>0</v>
      </c>
      <c r="G32" s="60">
        <v>3161.2727244059261</v>
      </c>
      <c r="H32" s="61">
        <v>60.360205948352693</v>
      </c>
      <c r="I32" s="59">
        <v>647.0337477048248</v>
      </c>
      <c r="J32" s="60">
        <v>1235.2715122222905</v>
      </c>
      <c r="K32" s="60">
        <v>66.184263785680216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390.33970860819801</v>
      </c>
      <c r="V32" s="62">
        <v>157.09400547430749</v>
      </c>
      <c r="W32" s="62">
        <v>37.794237668530783</v>
      </c>
      <c r="X32" s="62">
        <v>15.210464239898645</v>
      </c>
      <c r="Y32" s="66">
        <v>356.67878640608524</v>
      </c>
      <c r="Z32" s="66">
        <v>143.54701299551593</v>
      </c>
      <c r="AA32" s="67">
        <v>0</v>
      </c>
      <c r="AB32" s="68">
        <v>38.880206492212068</v>
      </c>
      <c r="AC32" s="69">
        <v>0</v>
      </c>
      <c r="AD32" s="69">
        <v>20.676288288831699</v>
      </c>
      <c r="AE32" s="68">
        <v>14.494076351614458</v>
      </c>
      <c r="AF32" s="68">
        <v>5.833207484435091</v>
      </c>
      <c r="AG32" s="68">
        <v>0.71303556680356128</v>
      </c>
      <c r="AH32" s="69">
        <v>190.28682090441384</v>
      </c>
      <c r="AI32" s="69">
        <v>829.01980123519888</v>
      </c>
      <c r="AJ32" s="69">
        <v>3260.2478833516434</v>
      </c>
      <c r="AK32" s="69">
        <v>662.53317937850954</v>
      </c>
      <c r="AL32" s="69">
        <v>3943.0367688496904</v>
      </c>
      <c r="AM32" s="69">
        <v>3282.5392635345456</v>
      </c>
      <c r="AN32" s="69">
        <v>426.31849521001192</v>
      </c>
      <c r="AO32" s="69">
        <v>2684.8666594187416</v>
      </c>
      <c r="AP32" s="69">
        <v>340.28852845827743</v>
      </c>
      <c r="AQ32" s="69">
        <v>882.67041400273627</v>
      </c>
    </row>
    <row r="33" spans="1:43" x14ac:dyDescent="0.25">
      <c r="A33" s="11">
        <v>41877</v>
      </c>
      <c r="B33" s="59"/>
      <c r="C33" s="60">
        <v>53.909848439693555</v>
      </c>
      <c r="D33" s="60">
        <v>929.44126316706411</v>
      </c>
      <c r="E33" s="60">
        <v>13.087134643892432</v>
      </c>
      <c r="F33" s="60">
        <v>0</v>
      </c>
      <c r="G33" s="60">
        <v>2786.5786601066684</v>
      </c>
      <c r="H33" s="61">
        <v>50.975539630651546</v>
      </c>
      <c r="I33" s="59">
        <v>641.57333523432487</v>
      </c>
      <c r="J33" s="60">
        <v>1261.0385389327996</v>
      </c>
      <c r="K33" s="60">
        <v>67.575521123409317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406.75323049241331</v>
      </c>
      <c r="V33" s="62">
        <v>135.41474650157318</v>
      </c>
      <c r="W33" s="62">
        <v>39.256863244914996</v>
      </c>
      <c r="X33" s="62">
        <v>13.069246378994011</v>
      </c>
      <c r="Y33" s="66">
        <v>373.38220206299445</v>
      </c>
      <c r="Z33" s="66">
        <v>124.30498997967425</v>
      </c>
      <c r="AA33" s="67">
        <v>0</v>
      </c>
      <c r="AB33" s="68">
        <v>40.539943726857338</v>
      </c>
      <c r="AC33" s="69">
        <v>0</v>
      </c>
      <c r="AD33" s="69">
        <v>20.60910521613226</v>
      </c>
      <c r="AE33" s="68">
        <v>15.196910170577814</v>
      </c>
      <c r="AF33" s="68">
        <v>5.0592978348683486</v>
      </c>
      <c r="AG33" s="68">
        <v>0.75023470170191342</v>
      </c>
      <c r="AH33" s="69">
        <v>190.38633053302766</v>
      </c>
      <c r="AI33" s="69">
        <v>813.06079107920357</v>
      </c>
      <c r="AJ33" s="69">
        <v>3250.8117075602217</v>
      </c>
      <c r="AK33" s="69">
        <v>664.34806172053015</v>
      </c>
      <c r="AL33" s="69">
        <v>3823.1776051839192</v>
      </c>
      <c r="AM33" s="69">
        <v>3267.8432399749763</v>
      </c>
      <c r="AN33" s="69">
        <v>411.39106162389123</v>
      </c>
      <c r="AO33" s="69">
        <v>3090.193524424235</v>
      </c>
      <c r="AP33" s="69">
        <v>385.39313392639161</v>
      </c>
      <c r="AQ33" s="69">
        <v>936.31261310577395</v>
      </c>
    </row>
    <row r="34" spans="1:43" x14ac:dyDescent="0.25">
      <c r="A34" s="11">
        <v>41878</v>
      </c>
      <c r="B34" s="59"/>
      <c r="C34" s="60">
        <v>21.369703163703331</v>
      </c>
      <c r="D34" s="60">
        <v>375.12700881958</v>
      </c>
      <c r="E34" s="60">
        <v>5.6429150501886918</v>
      </c>
      <c r="F34" s="60">
        <v>0</v>
      </c>
      <c r="G34" s="60">
        <v>1113.7579496383682</v>
      </c>
      <c r="H34" s="61">
        <v>20.455760402480767</v>
      </c>
      <c r="I34" s="59">
        <v>494.69567769368496</v>
      </c>
      <c r="J34" s="60">
        <v>974.91981697082542</v>
      </c>
      <c r="K34" s="60">
        <v>52.217638194560962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337.97044609291703</v>
      </c>
      <c r="V34" s="62">
        <v>59.852713358034372</v>
      </c>
      <c r="W34" s="62">
        <v>31.32314682605514</v>
      </c>
      <c r="X34" s="62">
        <v>5.5471575995022873</v>
      </c>
      <c r="Y34" s="66">
        <v>268.96097242672619</v>
      </c>
      <c r="Z34" s="66">
        <v>47.63151385943744</v>
      </c>
      <c r="AA34" s="67">
        <v>0</v>
      </c>
      <c r="AB34" s="68">
        <v>32.166124282942775</v>
      </c>
      <c r="AC34" s="69">
        <v>0</v>
      </c>
      <c r="AD34" s="69">
        <v>14.047094075547323</v>
      </c>
      <c r="AE34" s="68">
        <v>11.679663259314989</v>
      </c>
      <c r="AF34" s="68">
        <v>2.0684043390763089</v>
      </c>
      <c r="AG34" s="68">
        <v>0.84954944945729394</v>
      </c>
      <c r="AH34" s="69">
        <v>202.06531667709351</v>
      </c>
      <c r="AI34" s="69">
        <v>814.84332011540732</v>
      </c>
      <c r="AJ34" s="69">
        <v>3179.5447638193768</v>
      </c>
      <c r="AK34" s="69">
        <v>660.64781357447305</v>
      </c>
      <c r="AL34" s="69">
        <v>2237.2179489135747</v>
      </c>
      <c r="AM34" s="69">
        <v>2940.1477987925214</v>
      </c>
      <c r="AN34" s="69">
        <v>412.43275685310363</v>
      </c>
      <c r="AO34" s="69">
        <v>2423.9164634704584</v>
      </c>
      <c r="AP34" s="69">
        <v>383.84332420031228</v>
      </c>
      <c r="AQ34" s="69">
        <v>926.85386584599826</v>
      </c>
    </row>
    <row r="35" spans="1:43" x14ac:dyDescent="0.25">
      <c r="A35" s="11">
        <v>41879</v>
      </c>
      <c r="B35" s="59"/>
      <c r="C35" s="60">
        <v>20.458738307158246</v>
      </c>
      <c r="D35" s="60">
        <v>363.04835189183683</v>
      </c>
      <c r="E35" s="60">
        <v>5.3739017049471451</v>
      </c>
      <c r="F35" s="60">
        <v>0</v>
      </c>
      <c r="G35" s="60">
        <v>651.75045338471625</v>
      </c>
      <c r="H35" s="61">
        <v>19.865903258323662</v>
      </c>
      <c r="I35" s="59">
        <v>496.01399676005019</v>
      </c>
      <c r="J35" s="60">
        <v>977.27479502360086</v>
      </c>
      <c r="K35" s="60">
        <v>52.352157505353212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347.87255630589362</v>
      </c>
      <c r="V35" s="62">
        <v>59.21468868159225</v>
      </c>
      <c r="W35" s="62">
        <v>32.088288549235656</v>
      </c>
      <c r="X35" s="62">
        <v>5.4620520714410246</v>
      </c>
      <c r="Y35" s="66">
        <v>274.95479318726598</v>
      </c>
      <c r="Z35" s="66">
        <v>46.802664323364738</v>
      </c>
      <c r="AA35" s="67">
        <v>0</v>
      </c>
      <c r="AB35" s="68">
        <v>33.818647669420734</v>
      </c>
      <c r="AC35" s="69">
        <v>0</v>
      </c>
      <c r="AD35" s="69">
        <v>13.906466113196496</v>
      </c>
      <c r="AE35" s="68">
        <v>11.635732490580537</v>
      </c>
      <c r="AF35" s="68">
        <v>1.9806284356796267</v>
      </c>
      <c r="AG35" s="68">
        <v>0.85454054527448398</v>
      </c>
      <c r="AH35" s="69">
        <v>196.57368475596112</v>
      </c>
      <c r="AI35" s="69">
        <v>676.83051821390779</v>
      </c>
      <c r="AJ35" s="69">
        <v>3075.9640275319421</v>
      </c>
      <c r="AK35" s="69">
        <v>648.33980080286653</v>
      </c>
      <c r="AL35" s="69">
        <v>2086.3289031982426</v>
      </c>
      <c r="AM35" s="69">
        <v>2871.0007494608562</v>
      </c>
      <c r="AN35" s="69">
        <v>403.5959876060486</v>
      </c>
      <c r="AO35" s="69">
        <v>2259.4090321858725</v>
      </c>
      <c r="AP35" s="69">
        <v>385.52369678815211</v>
      </c>
      <c r="AQ35" s="69">
        <v>779.50443169275923</v>
      </c>
    </row>
    <row r="36" spans="1:43" x14ac:dyDescent="0.25">
      <c r="A36" s="11">
        <v>41880</v>
      </c>
      <c r="B36" s="59"/>
      <c r="C36" s="60">
        <v>20.824525604645409</v>
      </c>
      <c r="D36" s="60">
        <v>362.03947038650597</v>
      </c>
      <c r="E36" s="60">
        <v>5.3728315358360579</v>
      </c>
      <c r="F36" s="60">
        <v>0</v>
      </c>
      <c r="G36" s="60">
        <v>916.32</v>
      </c>
      <c r="H36" s="61">
        <v>19.780507187048592</v>
      </c>
      <c r="I36" s="59">
        <v>692.30816933313963</v>
      </c>
      <c r="J36" s="60">
        <v>1364.7671379089365</v>
      </c>
      <c r="K36" s="60">
        <v>73.048861980438303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461.23498001731696</v>
      </c>
      <c r="V36" s="62">
        <v>55.360212616419865</v>
      </c>
      <c r="W36" s="62">
        <v>42.161877329540985</v>
      </c>
      <c r="X36" s="62">
        <v>5.0605235821081234</v>
      </c>
      <c r="Y36" s="66">
        <v>379.71762719160353</v>
      </c>
      <c r="Z36" s="66">
        <v>45.576006778021011</v>
      </c>
      <c r="AA36" s="67">
        <v>0</v>
      </c>
      <c r="AB36" s="68">
        <v>34.836680004331164</v>
      </c>
      <c r="AC36" s="69">
        <v>0</v>
      </c>
      <c r="AD36" s="69">
        <v>17.926430709494472</v>
      </c>
      <c r="AE36" s="68">
        <v>15.756255722143132</v>
      </c>
      <c r="AF36" s="68">
        <v>1.8911611317592969</v>
      </c>
      <c r="AG36" s="68">
        <v>0.89283637671078764</v>
      </c>
      <c r="AH36" s="69">
        <v>193.76088498433433</v>
      </c>
      <c r="AI36" s="69">
        <v>578.1940203348795</v>
      </c>
      <c r="AJ36" s="69">
        <v>3158.0932069142664</v>
      </c>
      <c r="AK36" s="69">
        <v>674.34832188288385</v>
      </c>
      <c r="AL36" s="69">
        <v>2048.9002835591632</v>
      </c>
      <c r="AM36" s="69">
        <v>3044.5725020090731</v>
      </c>
      <c r="AN36" s="69">
        <v>412.54700131416325</v>
      </c>
      <c r="AO36" s="69">
        <v>2322.4531520843502</v>
      </c>
      <c r="AP36" s="69">
        <v>443.24121020634971</v>
      </c>
      <c r="AQ36" s="69">
        <v>885.30497719446828</v>
      </c>
    </row>
    <row r="37" spans="1:43" x14ac:dyDescent="0.25">
      <c r="A37" s="11">
        <v>41881</v>
      </c>
      <c r="B37" s="59"/>
      <c r="C37" s="60">
        <v>20.99711105227464</v>
      </c>
      <c r="D37" s="60">
        <v>361.56424500147534</v>
      </c>
      <c r="E37" s="60">
        <v>5.3762362897396017</v>
      </c>
      <c r="F37" s="60">
        <v>0</v>
      </c>
      <c r="G37" s="60">
        <v>916.32</v>
      </c>
      <c r="H37" s="61">
        <v>19.725269923607495</v>
      </c>
      <c r="I37" s="59">
        <v>701.5681533813472</v>
      </c>
      <c r="J37" s="60">
        <v>1382.4169562657655</v>
      </c>
      <c r="K37" s="60">
        <v>74.015321258704063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462.70200279750549</v>
      </c>
      <c r="V37" s="62">
        <v>53.406831108878769</v>
      </c>
      <c r="W37" s="62">
        <v>42.5627175997382</v>
      </c>
      <c r="X37" s="62">
        <v>4.9127513100022719</v>
      </c>
      <c r="Y37" s="66">
        <v>445.35134209070992</v>
      </c>
      <c r="Z37" s="66">
        <v>51.404151629661513</v>
      </c>
      <c r="AA37" s="67">
        <v>0</v>
      </c>
      <c r="AB37" s="68">
        <v>34.838342099718936</v>
      </c>
      <c r="AC37" s="69">
        <v>0</v>
      </c>
      <c r="AD37" s="69">
        <v>18.757434067461208</v>
      </c>
      <c r="AE37" s="68">
        <v>16.623167068124673</v>
      </c>
      <c r="AF37" s="68">
        <v>1.9187093868935308</v>
      </c>
      <c r="AG37" s="68">
        <v>0.89652021511694158</v>
      </c>
      <c r="AH37" s="69">
        <v>189.01683711210885</v>
      </c>
      <c r="AI37" s="69">
        <v>575.17752885818481</v>
      </c>
      <c r="AJ37" s="69">
        <v>3184.4760932922363</v>
      </c>
      <c r="AK37" s="69">
        <v>679.00507090886435</v>
      </c>
      <c r="AL37" s="69">
        <v>2086.6927351633708</v>
      </c>
      <c r="AM37" s="69">
        <v>3029.5069779713945</v>
      </c>
      <c r="AN37" s="69">
        <v>425.79828399022426</v>
      </c>
      <c r="AO37" s="69">
        <v>2364.1062957763675</v>
      </c>
      <c r="AP37" s="69">
        <v>444.57094988822939</v>
      </c>
      <c r="AQ37" s="69">
        <v>923.4984326998391</v>
      </c>
    </row>
    <row r="38" spans="1:43" ht="15.75" thickBot="1" x14ac:dyDescent="0.3">
      <c r="A38" s="11">
        <v>41882</v>
      </c>
      <c r="B38" s="73"/>
      <c r="C38" s="74">
        <v>20.476277271906735</v>
      </c>
      <c r="D38" s="74">
        <v>360.88660720189444</v>
      </c>
      <c r="E38" s="74">
        <v>5.3667121777931923</v>
      </c>
      <c r="F38" s="74">
        <v>0</v>
      </c>
      <c r="G38" s="74">
        <v>916.32</v>
      </c>
      <c r="H38" s="75">
        <v>19.752254982789371</v>
      </c>
      <c r="I38" s="76">
        <v>694.05296080907226</v>
      </c>
      <c r="J38" s="74">
        <v>1382.2964219411235</v>
      </c>
      <c r="K38" s="74">
        <v>74.068332238991943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465.60273592080495</v>
      </c>
      <c r="V38" s="80">
        <v>55.598416838329449</v>
      </c>
      <c r="W38" s="81">
        <v>43.622469659326867</v>
      </c>
      <c r="X38" s="81">
        <v>5.2090335054413517</v>
      </c>
      <c r="Y38" s="80">
        <v>441.96583793585</v>
      </c>
      <c r="Z38" s="80">
        <v>52.775894534345127</v>
      </c>
      <c r="AA38" s="82">
        <v>0</v>
      </c>
      <c r="AB38" s="83">
        <v>43.182134715715797</v>
      </c>
      <c r="AC38" s="84">
        <v>0</v>
      </c>
      <c r="AD38" s="85">
        <v>18.975280320644416</v>
      </c>
      <c r="AE38" s="83">
        <v>16.749577035156548</v>
      </c>
      <c r="AF38" s="83">
        <v>2.0000955622063645</v>
      </c>
      <c r="AG38" s="83">
        <v>0.89332637400358272</v>
      </c>
      <c r="AH38" s="84">
        <v>207.86927800178529</v>
      </c>
      <c r="AI38" s="84">
        <v>582.66167011260984</v>
      </c>
      <c r="AJ38" s="84">
        <v>3172.539882787069</v>
      </c>
      <c r="AK38" s="84">
        <v>679.49898185729978</v>
      </c>
      <c r="AL38" s="84">
        <v>2104.5986676534017</v>
      </c>
      <c r="AM38" s="84">
        <v>3000.5659756978353</v>
      </c>
      <c r="AN38" s="84">
        <v>430.04957000414538</v>
      </c>
      <c r="AO38" s="84">
        <v>2330.7920077006024</v>
      </c>
      <c r="AP38" s="84">
        <v>449.53088544209788</v>
      </c>
      <c r="AQ38" s="84">
        <v>904.49127667744938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1466.7439173499749</v>
      </c>
      <c r="D39" s="30">
        <f t="shared" si="0"/>
        <v>20626.03979582787</v>
      </c>
      <c r="E39" s="30">
        <f t="shared" si="0"/>
        <v>372.52741424689708</v>
      </c>
      <c r="F39" s="30">
        <f t="shared" si="0"/>
        <v>0</v>
      </c>
      <c r="G39" s="30">
        <f t="shared" si="0"/>
        <v>54113.734219425518</v>
      </c>
      <c r="H39" s="31">
        <f t="shared" si="0"/>
        <v>1115.7250294377409</v>
      </c>
      <c r="I39" s="29">
        <f t="shared" si="0"/>
        <v>20133.646057319645</v>
      </c>
      <c r="J39" s="30">
        <f t="shared" si="0"/>
        <v>39313.921136283898</v>
      </c>
      <c r="K39" s="30">
        <f t="shared" si="0"/>
        <v>2070.406436244647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13030.684345846268</v>
      </c>
      <c r="V39" s="264">
        <f t="shared" si="0"/>
        <v>3171.2510482077255</v>
      </c>
      <c r="W39" s="264">
        <f t="shared" si="0"/>
        <v>1261.4415825556682</v>
      </c>
      <c r="X39" s="264">
        <f t="shared" si="0"/>
        <v>307.40262618154424</v>
      </c>
      <c r="Y39" s="264">
        <f t="shared" si="0"/>
        <v>10961.549729405091</v>
      </c>
      <c r="Z39" s="264">
        <f t="shared" si="0"/>
        <v>2717.1254406111993</v>
      </c>
      <c r="AA39" s="272">
        <f t="shared" si="0"/>
        <v>0</v>
      </c>
      <c r="AB39" s="275">
        <f t="shared" si="0"/>
        <v>1559.3563832402217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6172.5837752183279</v>
      </c>
      <c r="AI39" s="275">
        <f t="shared" si="1"/>
        <v>25268.667662461598</v>
      </c>
      <c r="AJ39" s="275">
        <f t="shared" si="1"/>
        <v>100160.65733458201</v>
      </c>
      <c r="AK39" s="275">
        <f t="shared" si="1"/>
        <v>20322.867352469766</v>
      </c>
      <c r="AL39" s="275">
        <f t="shared" si="1"/>
        <v>69761.919031143188</v>
      </c>
      <c r="AM39" s="275">
        <f t="shared" si="1"/>
        <v>93379.420899963385</v>
      </c>
      <c r="AN39" s="275">
        <f t="shared" si="1"/>
        <v>13816.322633870446</v>
      </c>
      <c r="AO39" s="275">
        <f t="shared" si="1"/>
        <v>79429.547014427153</v>
      </c>
      <c r="AP39" s="275">
        <f t="shared" si="1"/>
        <v>11627.558881167572</v>
      </c>
      <c r="AQ39" s="275">
        <f t="shared" si="1"/>
        <v>29191.629504585264</v>
      </c>
    </row>
    <row r="40" spans="1:43" ht="15.75" thickBot="1" x14ac:dyDescent="0.3">
      <c r="A40" s="47" t="s">
        <v>174</v>
      </c>
      <c r="B40" s="32">
        <f>Projection!$AC$30</f>
        <v>0.80583665399999982</v>
      </c>
      <c r="C40" s="33">
        <f>Projection!$AC$28</f>
        <v>1.0959093599999998</v>
      </c>
      <c r="D40" s="33">
        <f>Projection!$AC$31</f>
        <v>2.1834120000000001</v>
      </c>
      <c r="E40" s="33">
        <f>Projection!$AC$26</f>
        <v>4.3368000000000002</v>
      </c>
      <c r="F40" s="33">
        <f>Projection!$AC$23</f>
        <v>5.8379999999999994E-2</v>
      </c>
      <c r="G40" s="33">
        <f>Projection!$AC$24</f>
        <v>5.5119999999999995E-2</v>
      </c>
      <c r="H40" s="34">
        <f>Projection!$AC$29</f>
        <v>3.4361216999999997</v>
      </c>
      <c r="I40" s="32">
        <f>Projection!$AC$30</f>
        <v>0.80583665399999982</v>
      </c>
      <c r="J40" s="33">
        <f>Projection!$AC$28</f>
        <v>1.0959093599999998</v>
      </c>
      <c r="K40" s="33">
        <f>Projection!$AC$26</f>
        <v>4.3368000000000002</v>
      </c>
      <c r="L40" s="33">
        <f>Projection!$AC$25</f>
        <v>0</v>
      </c>
      <c r="M40" s="33">
        <f>Projection!$AC$23</f>
        <v>5.8379999999999994E-2</v>
      </c>
      <c r="N40" s="34">
        <f>Projection!$AC$23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1.0959093599999998</v>
      </c>
      <c r="T40" s="38">
        <f>Projection!$AC$28</f>
        <v>1.0959093599999998</v>
      </c>
      <c r="U40" s="26">
        <f>Projection!$AC$27</f>
        <v>0.21934999999999999</v>
      </c>
      <c r="V40" s="27">
        <f>Projection!$AC$27</f>
        <v>0.21934999999999999</v>
      </c>
      <c r="W40" s="27">
        <f>Projection!$AC$22</f>
        <v>1.1625000000000001</v>
      </c>
      <c r="X40" s="27">
        <f>Projection!$AC$22</f>
        <v>1.1625000000000001</v>
      </c>
      <c r="Y40" s="27">
        <f>Projection!$AC$31</f>
        <v>2.1834120000000001</v>
      </c>
      <c r="Z40" s="27">
        <f>Projection!$AC$31</f>
        <v>2.1834120000000001</v>
      </c>
      <c r="AA40" s="28">
        <v>0</v>
      </c>
      <c r="AB40" s="41">
        <f>Projection!$AC$27</f>
        <v>0.21934999999999999</v>
      </c>
      <c r="AC40" s="41">
        <f>Projection!$AC$30</f>
        <v>0.80583665399999982</v>
      </c>
      <c r="AD40" s="43">
        <f>SUM(AD8:AD38)</f>
        <v>627.98916152831646</v>
      </c>
      <c r="AE40" s="43">
        <f>SUM(AE8:AE38)</f>
        <v>496.96629814781829</v>
      </c>
      <c r="AF40" s="43">
        <f>SUM(AF8:AF38)</f>
        <v>121.38517409578738</v>
      </c>
      <c r="AG40" s="43">
        <f>IF(SUM(AE40:AF40)&gt;0, AE40/(AE40+AF40), "")</f>
        <v>0.80369550402240086</v>
      </c>
      <c r="AH40" s="315">
        <v>7.5999999999999998E-2</v>
      </c>
      <c r="AI40" s="315">
        <f t="shared" ref="AI40:AQ40" si="2">$AH$40</f>
        <v>7.5999999999999998E-2</v>
      </c>
      <c r="AJ40" s="315">
        <f t="shared" si="2"/>
        <v>7.5999999999999998E-2</v>
      </c>
      <c r="AK40" s="315">
        <f t="shared" si="2"/>
        <v>7.5999999999999998E-2</v>
      </c>
      <c r="AL40" s="315">
        <f t="shared" si="2"/>
        <v>7.5999999999999998E-2</v>
      </c>
      <c r="AM40" s="315">
        <f t="shared" si="2"/>
        <v>7.5999999999999998E-2</v>
      </c>
      <c r="AN40" s="315">
        <f t="shared" si="2"/>
        <v>7.5999999999999998E-2</v>
      </c>
      <c r="AO40" s="315">
        <f t="shared" si="2"/>
        <v>7.5999999999999998E-2</v>
      </c>
      <c r="AP40" s="315">
        <f t="shared" si="2"/>
        <v>7.5999999999999998E-2</v>
      </c>
      <c r="AQ40" s="315">
        <f t="shared" si="2"/>
        <v>7.5999999999999998E-2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1607.4183877469036</v>
      </c>
      <c r="D41" s="36">
        <f t="shared" si="3"/>
        <v>45035.142802688126</v>
      </c>
      <c r="E41" s="36">
        <f t="shared" si="3"/>
        <v>1615.5768901059434</v>
      </c>
      <c r="F41" s="36">
        <f t="shared" si="3"/>
        <v>0</v>
      </c>
      <c r="G41" s="36">
        <f t="shared" si="3"/>
        <v>2982.7490301747343</v>
      </c>
      <c r="H41" s="37">
        <f t="shared" si="3"/>
        <v>3833.7669848841601</v>
      </c>
      <c r="I41" s="35">
        <f t="shared" si="3"/>
        <v>16224.429971650752</v>
      </c>
      <c r="J41" s="36">
        <f t="shared" si="3"/>
        <v>43084.494151555351</v>
      </c>
      <c r="K41" s="36">
        <f t="shared" si="3"/>
        <v>8978.9386327057855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2858.2806112613789</v>
      </c>
      <c r="V41" s="270">
        <f t="shared" si="3"/>
        <v>695.61391742436456</v>
      </c>
      <c r="W41" s="270">
        <f t="shared" si="3"/>
        <v>1466.4258397209644</v>
      </c>
      <c r="X41" s="270">
        <f t="shared" si="3"/>
        <v>357.35555293604523</v>
      </c>
      <c r="Y41" s="270">
        <f t="shared" si="3"/>
        <v>23933.579217779828</v>
      </c>
      <c r="Z41" s="270">
        <f t="shared" si="3"/>
        <v>5932.6042925357806</v>
      </c>
      <c r="AA41" s="274">
        <f t="shared" si="3"/>
        <v>0</v>
      </c>
      <c r="AB41" s="277">
        <f t="shared" si="3"/>
        <v>342.04482266374259</v>
      </c>
      <c r="AC41" s="277">
        <f t="shared" si="3"/>
        <v>0</v>
      </c>
      <c r="AH41" s="280">
        <f t="shared" ref="AH41:AQ41" si="4">AH40*AH39</f>
        <v>469.11636691659288</v>
      </c>
      <c r="AI41" s="280">
        <f t="shared" si="4"/>
        <v>1920.4187423470814</v>
      </c>
      <c r="AJ41" s="280">
        <f t="shared" si="4"/>
        <v>7612.209957428232</v>
      </c>
      <c r="AK41" s="280">
        <f t="shared" si="4"/>
        <v>1544.5379187877022</v>
      </c>
      <c r="AL41" s="280">
        <f t="shared" si="4"/>
        <v>5301.9058463668825</v>
      </c>
      <c r="AM41" s="280">
        <f t="shared" si="4"/>
        <v>7096.8359883972171</v>
      </c>
      <c r="AN41" s="280">
        <f t="shared" si="4"/>
        <v>1050.0405201741539</v>
      </c>
      <c r="AO41" s="280">
        <f t="shared" si="4"/>
        <v>6036.6455730964635</v>
      </c>
      <c r="AP41" s="280">
        <f t="shared" si="4"/>
        <v>883.69447496873545</v>
      </c>
      <c r="AQ41" s="280">
        <f t="shared" si="4"/>
        <v>2218.5638423484802</v>
      </c>
    </row>
    <row r="42" spans="1:43" ht="49.5" customHeight="1" thickTop="1" thickBot="1" x14ac:dyDescent="0.3">
      <c r="A42" s="564" t="s">
        <v>229</v>
      </c>
      <c r="B42" s="565"/>
      <c r="C42" s="565"/>
      <c r="D42" s="565"/>
      <c r="E42" s="565"/>
      <c r="F42" s="565"/>
      <c r="G42" s="565"/>
      <c r="H42" s="565"/>
      <c r="I42" s="565"/>
      <c r="J42" s="565"/>
      <c r="K42" s="54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296.39999999999998</v>
      </c>
      <c r="AI42" s="280" t="s">
        <v>199</v>
      </c>
      <c r="AJ42" s="280">
        <v>497.98</v>
      </c>
      <c r="AK42" s="280">
        <v>34.630000000000003</v>
      </c>
      <c r="AL42" s="280">
        <v>380.26</v>
      </c>
      <c r="AM42" s="280">
        <v>852.65</v>
      </c>
      <c r="AN42" s="280">
        <v>76.89</v>
      </c>
      <c r="AO42" s="280" t="s">
        <v>199</v>
      </c>
      <c r="AP42" s="280">
        <v>34.630000000000003</v>
      </c>
      <c r="AQ42" s="280">
        <v>204.43</v>
      </c>
    </row>
    <row r="43" spans="1:43" ht="38.25" customHeight="1" thickTop="1" thickBot="1" x14ac:dyDescent="0.3">
      <c r="A43" s="552" t="s">
        <v>49</v>
      </c>
      <c r="B43" s="548"/>
      <c r="C43" s="291"/>
      <c r="D43" s="548" t="s">
        <v>47</v>
      </c>
      <c r="E43" s="548"/>
      <c r="F43" s="291"/>
      <c r="G43" s="548" t="s">
        <v>48</v>
      </c>
      <c r="H43" s="548"/>
      <c r="I43" s="292"/>
      <c r="J43" s="548" t="s">
        <v>50</v>
      </c>
      <c r="K43" s="549"/>
      <c r="L43" s="44"/>
      <c r="M43" s="44"/>
      <c r="N43" s="44"/>
      <c r="O43" s="45"/>
      <c r="P43" s="45"/>
      <c r="Q43" s="45"/>
      <c r="R43" s="558" t="s">
        <v>168</v>
      </c>
      <c r="S43" s="559"/>
      <c r="T43" s="559"/>
      <c r="U43" s="560"/>
      <c r="AC43" s="45"/>
    </row>
    <row r="44" spans="1:43" ht="24.75" thickTop="1" thickBot="1" x14ac:dyDescent="0.3">
      <c r="A44" s="284" t="s">
        <v>135</v>
      </c>
      <c r="B44" s="285">
        <f>SUM(B41:AC41)</f>
        <v>158948.42110583384</v>
      </c>
      <c r="C44" s="12"/>
      <c r="D44" s="284" t="s">
        <v>135</v>
      </c>
      <c r="E44" s="285">
        <f>SUM(B41:H41)+P41+R41+T41+V41+X41+Z41</f>
        <v>62060.227858496059</v>
      </c>
      <c r="F44" s="12"/>
      <c r="G44" s="284" t="s">
        <v>135</v>
      </c>
      <c r="H44" s="285">
        <f>SUM(I41:N41)+O41+Q41+S41+U41+W41+Y41</f>
        <v>96546.148424674058</v>
      </c>
      <c r="I44" s="12"/>
      <c r="J44" s="284" t="s">
        <v>200</v>
      </c>
      <c r="K44" s="285">
        <v>86034.3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34133.969230831535</v>
      </c>
      <c r="C45" s="12"/>
      <c r="D45" s="286" t="s">
        <v>185</v>
      </c>
      <c r="E45" s="287">
        <f>AH41*(1-$AG$40)+AI41+AJ41*0.5+AL41+AM41*(1-$AG$40)+AN41*(1-$AG$40)+AO41*(1-$AG$40)+AP41*0.5+AQ41*0.5</f>
        <v>15455.937531478043</v>
      </c>
      <c r="F45" s="24"/>
      <c r="G45" s="286" t="s">
        <v>185</v>
      </c>
      <c r="H45" s="287">
        <f>AH41*AG40+AJ41*0.5+AK41+AM41*AG40+AN41*AG40+AO41*AG40+AP41*0.5+AQ41*0.5</f>
        <v>18678.031699353494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1568.8442087372125</v>
      </c>
      <c r="U45" s="258">
        <f>(T45*8.34*0.895)/27000</f>
        <v>0.43371569730656201</v>
      </c>
    </row>
    <row r="46" spans="1:43" ht="32.25" thickBot="1" x14ac:dyDescent="0.3">
      <c r="A46" s="288" t="s">
        <v>186</v>
      </c>
      <c r="B46" s="289">
        <f>SUM(AH42:AQ42)</f>
        <v>2377.87</v>
      </c>
      <c r="C46" s="12"/>
      <c r="D46" s="288" t="s">
        <v>186</v>
      </c>
      <c r="E46" s="289">
        <f>AH42*(1-$AG$40)+AJ42*0.5+AL42+AM42*(1-$AG$40)+AN42*(1-$AG$40)+AP42*0.5+AQ42*0.5</f>
        <v>989.43753379877808</v>
      </c>
      <c r="F46" s="23"/>
      <c r="G46" s="288" t="s">
        <v>186</v>
      </c>
      <c r="H46" s="289">
        <f>AH42*AG40+AJ42*0.5+AK42+AM42*AG40+AN42*AG40+AP42*0.5+AQ42*0.5</f>
        <v>1388.432466201222</v>
      </c>
      <c r="I46" s="12"/>
      <c r="J46" s="550" t="s">
        <v>201</v>
      </c>
      <c r="K46" s="551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86034.3</v>
      </c>
      <c r="C47" s="12"/>
      <c r="D47" s="288" t="s">
        <v>189</v>
      </c>
      <c r="E47" s="289">
        <f>K44*0.5</f>
        <v>43017.15</v>
      </c>
      <c r="F47" s="24"/>
      <c r="G47" s="288" t="s">
        <v>187</v>
      </c>
      <c r="H47" s="289">
        <f>K44*0.5</f>
        <v>43017.15</v>
      </c>
      <c r="I47" s="12"/>
      <c r="J47" s="284" t="s">
        <v>200</v>
      </c>
      <c r="K47" s="285">
        <v>48435.81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54113.734219425518</v>
      </c>
      <c r="U47" s="258">
        <f>T47/40000</f>
        <v>1.3528433554856381</v>
      </c>
    </row>
    <row r="48" spans="1:43" ht="24" thickBot="1" x14ac:dyDescent="0.3">
      <c r="A48" s="288" t="s">
        <v>188</v>
      </c>
      <c r="B48" s="289">
        <f>K47</f>
        <v>48435.81</v>
      </c>
      <c r="C48" s="12"/>
      <c r="D48" s="288" t="s">
        <v>188</v>
      </c>
      <c r="E48" s="289">
        <f>K47*0.5</f>
        <v>24217.904999999999</v>
      </c>
      <c r="F48" s="23"/>
      <c r="G48" s="288" t="s">
        <v>188</v>
      </c>
      <c r="H48" s="289">
        <f>K47*0.5</f>
        <v>24217.904999999999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627.98916152831646</v>
      </c>
      <c r="C49" s="12"/>
      <c r="D49" s="293" t="s">
        <v>197</v>
      </c>
      <c r="E49" s="294">
        <f>AF40</f>
        <v>121.38517409578738</v>
      </c>
      <c r="F49" s="23"/>
      <c r="G49" s="293" t="s">
        <v>198</v>
      </c>
      <c r="H49" s="294">
        <f>AE40</f>
        <v>496.96629814781829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2442.933850491544</v>
      </c>
      <c r="U49" s="258">
        <f>(T49*8.34*1.04)/45000</f>
        <v>0.47086735656941009</v>
      </c>
    </row>
    <row r="50" spans="1:25" ht="48" thickTop="1" thickBot="1" x14ac:dyDescent="0.3">
      <c r="A50" s="293" t="s">
        <v>192</v>
      </c>
      <c r="B50" s="295">
        <f>(SUM(B44:B48)/AD40)</f>
        <v>525.37589905807408</v>
      </c>
      <c r="C50" s="12"/>
      <c r="D50" s="293" t="s">
        <v>190</v>
      </c>
      <c r="E50" s="295">
        <f>SUM(E44:E48)/AF40</f>
        <v>1200.6462816354006</v>
      </c>
      <c r="F50" s="23"/>
      <c r="G50" s="293" t="s">
        <v>191</v>
      </c>
      <c r="H50" s="295">
        <f>SUM(H44:H48)/AE40</f>
        <v>369.93990996054401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17761.291777294216</v>
      </c>
      <c r="U50" s="258">
        <f>T50/2000/8</f>
        <v>1.1100807360808884</v>
      </c>
    </row>
    <row r="51" spans="1:25" ht="47.25" customHeight="1" thickTop="1" thickBot="1" x14ac:dyDescent="0.3">
      <c r="A51" s="283" t="s">
        <v>193</v>
      </c>
      <c r="B51" s="296">
        <f>B50/1000</f>
        <v>0.52537589905807414</v>
      </c>
      <c r="C51" s="12"/>
      <c r="D51" s="283" t="s">
        <v>194</v>
      </c>
      <c r="E51" s="296">
        <f>E50/1000</f>
        <v>1.2006462816354007</v>
      </c>
      <c r="F51" s="12"/>
      <c r="G51" s="283" t="s">
        <v>195</v>
      </c>
      <c r="H51" s="296">
        <f>H50/1000</f>
        <v>0.36993990996054399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40780.665053633871</v>
      </c>
      <c r="U51" s="258">
        <f>(T51*8.34*1.4)/45000</f>
        <v>10.581223225916201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1115.7250294377409</v>
      </c>
      <c r="U52" s="258">
        <f>(T52*8.34*1.135)/45000</f>
        <v>0.23469647902566027</v>
      </c>
    </row>
    <row r="53" spans="1:25" ht="48" customHeight="1" thickTop="1" thickBot="1" x14ac:dyDescent="0.3">
      <c r="A53" s="561" t="s">
        <v>51</v>
      </c>
      <c r="B53" s="562"/>
      <c r="C53" s="562"/>
      <c r="D53" s="562"/>
      <c r="E53" s="563"/>
      <c r="F53" s="12"/>
      <c r="G53" s="12"/>
      <c r="H53" s="373">
        <f>H44/H49</f>
        <v>194.27101754082577</v>
      </c>
      <c r="I53" s="12">
        <f>E44/E49</f>
        <v>511.26695101597119</v>
      </c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20133.646057319645</v>
      </c>
      <c r="U53" s="258">
        <f>(T53*8.34*1.029*0.03)/3300</f>
        <v>1.5707648341224467</v>
      </c>
    </row>
    <row r="54" spans="1:25" ht="42.75" customHeight="1" thickBot="1" x14ac:dyDescent="0.3">
      <c r="A54" s="545" t="s">
        <v>202</v>
      </c>
      <c r="B54" s="546"/>
      <c r="C54" s="546"/>
      <c r="D54" s="546"/>
      <c r="E54" s="54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5" t="s">
        <v>158</v>
      </c>
      <c r="S54" s="556"/>
      <c r="T54" s="260">
        <f>$D$39+$Y$39+$Z$39</f>
        <v>34304.714965844163</v>
      </c>
      <c r="U54" s="261">
        <f>(T54*1.54*8.34)/45000</f>
        <v>9.7910230474514677</v>
      </c>
    </row>
    <row r="55" spans="1:25" ht="24" thickTop="1" x14ac:dyDescent="0.25">
      <c r="A55" s="591"/>
      <c r="B55" s="59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3"/>
      <c r="B56" s="5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9"/>
      <c r="B57" s="59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90"/>
      <c r="B58" s="59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9"/>
      <c r="B59" s="59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90"/>
      <c r="B60" s="59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</row>
  </sheetData>
  <sheetProtection algorithmName="SHA-512" hashValue="ZYgqwOghW14+86X/TWO9Qdl8iUuXc6qPW/zXWvz7JyK1dpvppzBbkBYQrm/KUG64D5n4Jw9J3W8ph7uQkw2KxQ==" saltValue="E2p8gE5JmFq6zb9TdRn18w==" spinCount="100000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75"/>
  <sheetViews>
    <sheetView topLeftCell="AH1" zoomScale="60" zoomScaleNormal="60" workbookViewId="0">
      <selection activeCell="AH39" sqref="AH39:AQ39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38.7109375" customWidth="1"/>
    <col min="5" max="5" width="26.42578125" bestFit="1" customWidth="1"/>
    <col min="6" max="6" width="16.7109375" customWidth="1"/>
    <col min="7" max="7" width="43.710937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3.42578125" bestFit="1" customWidth="1"/>
    <col min="35" max="38" width="18.85546875" bestFit="1" customWidth="1"/>
    <col min="39" max="39" width="23.42578125" bestFit="1" customWidth="1"/>
    <col min="40" max="43" width="18.85546875" bestFit="1" customWidth="1"/>
  </cols>
  <sheetData>
    <row r="1" spans="1:58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8" ht="15" customHeight="1" x14ac:dyDescent="0.25">
      <c r="A2" s="1" t="s">
        <v>2</v>
      </c>
      <c r="B2" s="5"/>
      <c r="O2" s="4"/>
      <c r="P2" s="4"/>
      <c r="Q2" s="4"/>
      <c r="R2" s="4"/>
    </row>
    <row r="3" spans="1:58" ht="15.75" thickBot="1" x14ac:dyDescent="0.3">
      <c r="A3" s="6"/>
      <c r="BE3" t="s">
        <v>171</v>
      </c>
      <c r="BF3" s="262" t="s">
        <v>208</v>
      </c>
    </row>
    <row r="4" spans="1:58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</row>
    <row r="5" spans="1:58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</row>
    <row r="6" spans="1:58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8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8" x14ac:dyDescent="0.25">
      <c r="A8" s="11">
        <v>41883</v>
      </c>
      <c r="B8" s="49"/>
      <c r="C8" s="50">
        <v>20.635482966899815</v>
      </c>
      <c r="D8" s="50">
        <v>361.01949798266145</v>
      </c>
      <c r="E8" s="50">
        <v>5.3602930431564637</v>
      </c>
      <c r="F8" s="50">
        <v>0</v>
      </c>
      <c r="G8" s="50">
        <v>945.6</v>
      </c>
      <c r="H8" s="51">
        <v>19.716691175103175</v>
      </c>
      <c r="I8" s="49">
        <v>701.71009937922111</v>
      </c>
      <c r="J8" s="50">
        <v>1417.0262327830019</v>
      </c>
      <c r="K8" s="50">
        <v>75.979534526665972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462.24284055530546</v>
      </c>
      <c r="V8" s="54">
        <v>52.513317129021139</v>
      </c>
      <c r="W8" s="54">
        <v>43.583529231899888</v>
      </c>
      <c r="X8" s="54">
        <v>4.9513275087337707</v>
      </c>
      <c r="Y8" s="54">
        <v>437.59641333709385</v>
      </c>
      <c r="Z8" s="54">
        <v>49.713348075844578</v>
      </c>
      <c r="AA8" s="55">
        <v>0</v>
      </c>
      <c r="AB8" s="56">
        <v>43.157138294643538</v>
      </c>
      <c r="AC8" s="57">
        <v>0</v>
      </c>
      <c r="AD8" s="57">
        <v>18.785823657115291</v>
      </c>
      <c r="AE8" s="58">
        <v>16.622826301086057</v>
      </c>
      <c r="AF8" s="58">
        <v>1.8884440656363723</v>
      </c>
      <c r="AG8" s="58">
        <v>0.89798409140891744</v>
      </c>
      <c r="AH8" s="57">
        <v>193.36500803629556</v>
      </c>
      <c r="AI8" s="57">
        <v>570.53801968892424</v>
      </c>
      <c r="AJ8" s="57">
        <v>3194.4237428029373</v>
      </c>
      <c r="AK8" s="57">
        <v>669.73732512791969</v>
      </c>
      <c r="AL8" s="57">
        <v>2070.3870850880944</v>
      </c>
      <c r="AM8" s="57">
        <v>3034.1214889526373</v>
      </c>
      <c r="AN8" s="57">
        <v>415.60363319714867</v>
      </c>
      <c r="AO8" s="57">
        <v>2132.7004122416174</v>
      </c>
      <c r="AP8" s="57">
        <v>402.86334269841518</v>
      </c>
      <c r="AQ8" s="57">
        <v>853.78503932952879</v>
      </c>
    </row>
    <row r="9" spans="1:58" x14ac:dyDescent="0.25">
      <c r="A9" s="11">
        <v>41884</v>
      </c>
      <c r="B9" s="59"/>
      <c r="C9" s="60">
        <v>20.940006573995053</v>
      </c>
      <c r="D9" s="60">
        <v>361.14295492172215</v>
      </c>
      <c r="E9" s="60">
        <v>5.3553456117709475</v>
      </c>
      <c r="F9" s="60">
        <v>0</v>
      </c>
      <c r="G9" s="60">
        <v>960</v>
      </c>
      <c r="H9" s="61">
        <v>19.725502356886846</v>
      </c>
      <c r="I9" s="59">
        <v>782.00442269643065</v>
      </c>
      <c r="J9" s="60">
        <v>1590.1029500325537</v>
      </c>
      <c r="K9" s="60">
        <v>86.064903120200242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511.48024522933866</v>
      </c>
      <c r="V9" s="62">
        <v>54.38254729436364</v>
      </c>
      <c r="W9" s="62">
        <v>49.385355823375093</v>
      </c>
      <c r="X9" s="62">
        <v>5.2508410124607101</v>
      </c>
      <c r="Y9" s="66">
        <v>504.64643506887501</v>
      </c>
      <c r="Z9" s="66">
        <v>53.655950309008951</v>
      </c>
      <c r="AA9" s="67">
        <v>0</v>
      </c>
      <c r="AB9" s="68">
        <v>43.156242987844216</v>
      </c>
      <c r="AC9" s="69">
        <v>0</v>
      </c>
      <c r="AD9" s="69">
        <v>21.141746368673132</v>
      </c>
      <c r="AE9" s="68">
        <v>18.775208234523539</v>
      </c>
      <c r="AF9" s="68">
        <v>1.9962523661450204</v>
      </c>
      <c r="AG9" s="68">
        <v>0.9038944634408248</v>
      </c>
      <c r="AH9" s="69">
        <v>196.43272624810538</v>
      </c>
      <c r="AI9" s="69">
        <v>577.38089914321904</v>
      </c>
      <c r="AJ9" s="69">
        <v>3245.8262495676672</v>
      </c>
      <c r="AK9" s="69">
        <v>694.5771133422852</v>
      </c>
      <c r="AL9" s="69">
        <v>2187.8751920064296</v>
      </c>
      <c r="AM9" s="69">
        <v>3264.5477770487473</v>
      </c>
      <c r="AN9" s="69">
        <v>428.14975172678629</v>
      </c>
      <c r="AO9" s="69">
        <v>2518.373494466146</v>
      </c>
      <c r="AP9" s="69">
        <v>367.43494305610653</v>
      </c>
      <c r="AQ9" s="69">
        <v>941.37959232330331</v>
      </c>
    </row>
    <row r="10" spans="1:58" x14ac:dyDescent="0.25">
      <c r="A10" s="11">
        <v>41885</v>
      </c>
      <c r="B10" s="59"/>
      <c r="C10" s="60">
        <v>20.610330700874361</v>
      </c>
      <c r="D10" s="60">
        <v>361.2857349872595</v>
      </c>
      <c r="E10" s="60">
        <v>5.361217016975079</v>
      </c>
      <c r="F10" s="60">
        <v>0</v>
      </c>
      <c r="G10" s="60">
        <v>945.6</v>
      </c>
      <c r="H10" s="61">
        <v>19.79868081708743</v>
      </c>
      <c r="I10" s="59">
        <v>784.29086920420343</v>
      </c>
      <c r="J10" s="60">
        <v>1677.619771130881</v>
      </c>
      <c r="K10" s="60">
        <v>96.506229448318365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504.20727318509716</v>
      </c>
      <c r="V10" s="62">
        <v>53.851777862334281</v>
      </c>
      <c r="W10" s="62">
        <v>50.133609746867791</v>
      </c>
      <c r="X10" s="62">
        <v>5.3545122395213358</v>
      </c>
      <c r="Y10" s="66">
        <v>499.2243812065862</v>
      </c>
      <c r="Z10" s="66">
        <v>53.319580874687354</v>
      </c>
      <c r="AA10" s="67">
        <v>0</v>
      </c>
      <c r="AB10" s="68">
        <v>43.160338033570035</v>
      </c>
      <c r="AC10" s="69">
        <v>0</v>
      </c>
      <c r="AD10" s="69">
        <v>20.791265130705305</v>
      </c>
      <c r="AE10" s="68">
        <v>18.444533867598295</v>
      </c>
      <c r="AF10" s="68">
        <v>1.9699655150503337</v>
      </c>
      <c r="AG10" s="68">
        <v>0.90350164958124257</v>
      </c>
      <c r="AH10" s="69">
        <v>194.92066955566406</v>
      </c>
      <c r="AI10" s="69">
        <v>605.34016189575186</v>
      </c>
      <c r="AJ10" s="69">
        <v>3268.8925070444743</v>
      </c>
      <c r="AK10" s="69">
        <v>707.9781908035277</v>
      </c>
      <c r="AL10" s="69">
        <v>2248.9422739664715</v>
      </c>
      <c r="AM10" s="69">
        <v>3380.6316710154215</v>
      </c>
      <c r="AN10" s="69">
        <v>470.64029013315832</v>
      </c>
      <c r="AO10" s="69">
        <v>2421.177338409424</v>
      </c>
      <c r="AP10" s="69">
        <v>404.95041162172964</v>
      </c>
      <c r="AQ10" s="69">
        <v>1069.5057965596516</v>
      </c>
    </row>
    <row r="11" spans="1:58" x14ac:dyDescent="0.25">
      <c r="A11" s="11">
        <v>41886</v>
      </c>
      <c r="B11" s="59"/>
      <c r="C11" s="60">
        <v>21.117465396722189</v>
      </c>
      <c r="D11" s="60">
        <v>360.85230727195705</v>
      </c>
      <c r="E11" s="60">
        <v>5.3459266622861321</v>
      </c>
      <c r="F11" s="60">
        <v>0</v>
      </c>
      <c r="G11" s="60">
        <v>945.6</v>
      </c>
      <c r="H11" s="61">
        <v>19.745246072610211</v>
      </c>
      <c r="I11" s="59">
        <v>631.90027977625505</v>
      </c>
      <c r="J11" s="60">
        <v>1472.2844738006579</v>
      </c>
      <c r="K11" s="60">
        <v>80.574026350180233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444.90943470125495</v>
      </c>
      <c r="V11" s="62">
        <v>55.021037715089996</v>
      </c>
      <c r="W11" s="62">
        <v>43.06866423777803</v>
      </c>
      <c r="X11" s="62">
        <v>5.3262134145492164</v>
      </c>
      <c r="Y11" s="66">
        <v>448.42665264795295</v>
      </c>
      <c r="Z11" s="66">
        <v>55.456004848181706</v>
      </c>
      <c r="AA11" s="67">
        <v>0</v>
      </c>
      <c r="AB11" s="68">
        <v>38.727593108017764</v>
      </c>
      <c r="AC11" s="69">
        <v>0</v>
      </c>
      <c r="AD11" s="69">
        <v>18.178383190102029</v>
      </c>
      <c r="AE11" s="68">
        <v>15.944214616075568</v>
      </c>
      <c r="AF11" s="68">
        <v>1.9717883355691146</v>
      </c>
      <c r="AG11" s="68">
        <v>0.88994262052250306</v>
      </c>
      <c r="AH11" s="69">
        <v>199.39015623728434</v>
      </c>
      <c r="AI11" s="69">
        <v>592.97314605712882</v>
      </c>
      <c r="AJ11" s="69">
        <v>3168.3897994995123</v>
      </c>
      <c r="AK11" s="69">
        <v>681.86889502207453</v>
      </c>
      <c r="AL11" s="69">
        <v>2236.0872688293462</v>
      </c>
      <c r="AM11" s="69">
        <v>3192.5128934224449</v>
      </c>
      <c r="AN11" s="69">
        <v>462.19372982978825</v>
      </c>
      <c r="AO11" s="69">
        <v>2141.4506062825521</v>
      </c>
      <c r="AP11" s="69">
        <v>371.81807192166644</v>
      </c>
      <c r="AQ11" s="69">
        <v>957.45499916076653</v>
      </c>
    </row>
    <row r="12" spans="1:58" x14ac:dyDescent="0.25">
      <c r="A12" s="11">
        <v>41887</v>
      </c>
      <c r="B12" s="59"/>
      <c r="C12" s="60">
        <v>20.916089961926126</v>
      </c>
      <c r="D12" s="60">
        <v>361.63750853538636</v>
      </c>
      <c r="E12" s="60">
        <v>5.3394166802366634</v>
      </c>
      <c r="F12" s="60">
        <v>0</v>
      </c>
      <c r="G12" s="60">
        <v>478.61566303571038</v>
      </c>
      <c r="H12" s="61">
        <v>19.818621128797545</v>
      </c>
      <c r="I12" s="59">
        <v>751.34017257690505</v>
      </c>
      <c r="J12" s="60">
        <v>1633.4377764383964</v>
      </c>
      <c r="K12" s="60">
        <v>89.390713779131701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472.33560668097391</v>
      </c>
      <c r="V12" s="62">
        <v>49.959471935692847</v>
      </c>
      <c r="W12" s="62">
        <v>46.257626841336268</v>
      </c>
      <c r="X12" s="62">
        <v>4.892721567680578</v>
      </c>
      <c r="Y12" s="66">
        <v>500.17382689518178</v>
      </c>
      <c r="Z12" s="66">
        <v>52.903952008461786</v>
      </c>
      <c r="AA12" s="67">
        <v>0</v>
      </c>
      <c r="AB12" s="68">
        <v>47.138938237560772</v>
      </c>
      <c r="AC12" s="69">
        <v>0</v>
      </c>
      <c r="AD12" s="69">
        <v>19.995141247908293</v>
      </c>
      <c r="AE12" s="68">
        <v>17.846953946323513</v>
      </c>
      <c r="AF12" s="68">
        <v>1.8876925266851095</v>
      </c>
      <c r="AG12" s="68">
        <v>0.90434627094704045</v>
      </c>
      <c r="AH12" s="69">
        <v>196.82725512981415</v>
      </c>
      <c r="AI12" s="69">
        <v>574.71891549428312</v>
      </c>
      <c r="AJ12" s="69">
        <v>3072.2116547902424</v>
      </c>
      <c r="AK12" s="69">
        <v>693.4286185900371</v>
      </c>
      <c r="AL12" s="69">
        <v>2086.1651526769001</v>
      </c>
      <c r="AM12" s="69">
        <v>3233.4136259714764</v>
      </c>
      <c r="AN12" s="69">
        <v>415.11642608642575</v>
      </c>
      <c r="AO12" s="69">
        <v>2553.929907353719</v>
      </c>
      <c r="AP12" s="69">
        <v>372.86166348457334</v>
      </c>
      <c r="AQ12" s="69">
        <v>767.02790295282978</v>
      </c>
    </row>
    <row r="13" spans="1:58" x14ac:dyDescent="0.25">
      <c r="A13" s="11">
        <v>41888</v>
      </c>
      <c r="B13" s="59"/>
      <c r="C13" s="60">
        <v>21.617299167315256</v>
      </c>
      <c r="D13" s="60">
        <v>361.63121115366692</v>
      </c>
      <c r="E13" s="60">
        <v>5.3276720245679225</v>
      </c>
      <c r="F13" s="60">
        <v>0</v>
      </c>
      <c r="G13" s="60">
        <v>960</v>
      </c>
      <c r="H13" s="61">
        <v>19.585956461230939</v>
      </c>
      <c r="I13" s="59">
        <v>579.35216722488337</v>
      </c>
      <c r="J13" s="60">
        <v>1165.8178733825685</v>
      </c>
      <c r="K13" s="60">
        <v>63.868299178282207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349.45413122696669</v>
      </c>
      <c r="V13" s="62">
        <v>53.759036302668775</v>
      </c>
      <c r="W13" s="62">
        <v>32.536585795970787</v>
      </c>
      <c r="X13" s="62">
        <v>5.0053364395181408</v>
      </c>
      <c r="Y13" s="66">
        <v>376.19596501135032</v>
      </c>
      <c r="Z13" s="66">
        <v>57.872924463518409</v>
      </c>
      <c r="AA13" s="67">
        <v>0</v>
      </c>
      <c r="AB13" s="68">
        <v>31.875551724433688</v>
      </c>
      <c r="AC13" s="69">
        <v>0</v>
      </c>
      <c r="AD13" s="69">
        <v>15.04269253479108</v>
      </c>
      <c r="AE13" s="68">
        <v>12.864807139852317</v>
      </c>
      <c r="AF13" s="68">
        <v>1.9790855859390775</v>
      </c>
      <c r="AG13" s="68">
        <v>0.86667341091057604</v>
      </c>
      <c r="AH13" s="69">
        <v>193.54928305943804</v>
      </c>
      <c r="AI13" s="69">
        <v>568.25142971674597</v>
      </c>
      <c r="AJ13" s="69">
        <v>3029.3937760670979</v>
      </c>
      <c r="AK13" s="69">
        <v>681.00402523676553</v>
      </c>
      <c r="AL13" s="69">
        <v>2090.9374128977456</v>
      </c>
      <c r="AM13" s="69">
        <v>2888.6736164093022</v>
      </c>
      <c r="AN13" s="69">
        <v>419.55275664329531</v>
      </c>
      <c r="AO13" s="69">
        <v>1911.3258267720539</v>
      </c>
      <c r="AP13" s="69">
        <v>406.73343224525456</v>
      </c>
      <c r="AQ13" s="69">
        <v>768.38352883656819</v>
      </c>
    </row>
    <row r="14" spans="1:58" x14ac:dyDescent="0.25">
      <c r="A14" s="11">
        <v>41889</v>
      </c>
      <c r="B14" s="59"/>
      <c r="C14" s="60">
        <v>20.232782413562276</v>
      </c>
      <c r="D14" s="60">
        <v>362.10148987770123</v>
      </c>
      <c r="E14" s="60">
        <v>5.3261416455109973</v>
      </c>
      <c r="F14" s="60">
        <v>0</v>
      </c>
      <c r="G14" s="60">
        <v>960</v>
      </c>
      <c r="H14" s="61">
        <v>19.767522538701659</v>
      </c>
      <c r="I14" s="59">
        <v>664.11113042831551</v>
      </c>
      <c r="J14" s="60">
        <v>1321.8263234456365</v>
      </c>
      <c r="K14" s="60">
        <v>72.247254792849319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422.54867464714795</v>
      </c>
      <c r="V14" s="62">
        <v>55.417091178757659</v>
      </c>
      <c r="W14" s="62">
        <v>39.398448560425891</v>
      </c>
      <c r="X14" s="62">
        <v>5.167090910882477</v>
      </c>
      <c r="Y14" s="66">
        <v>432.82215330593641</v>
      </c>
      <c r="Z14" s="66">
        <v>56.7644538323798</v>
      </c>
      <c r="AA14" s="67">
        <v>0</v>
      </c>
      <c r="AB14" s="68">
        <v>39.374871210256863</v>
      </c>
      <c r="AC14" s="69">
        <v>0</v>
      </c>
      <c r="AD14" s="69">
        <v>16.855542182922367</v>
      </c>
      <c r="AE14" s="68">
        <v>14.648935053431844</v>
      </c>
      <c r="AF14" s="68">
        <v>1.9212020253184585</v>
      </c>
      <c r="AG14" s="68">
        <v>0.88405635896746881</v>
      </c>
      <c r="AH14" s="69">
        <v>195.04137271245321</v>
      </c>
      <c r="AI14" s="69">
        <v>577.61888052622464</v>
      </c>
      <c r="AJ14" s="69">
        <v>3117.4528762817381</v>
      </c>
      <c r="AK14" s="69">
        <v>694.64274886449175</v>
      </c>
      <c r="AL14" s="69">
        <v>2085.9589295705159</v>
      </c>
      <c r="AM14" s="69">
        <v>2976.3620980580649</v>
      </c>
      <c r="AN14" s="69">
        <v>432.11993177731841</v>
      </c>
      <c r="AO14" s="69">
        <v>2001.7716936747233</v>
      </c>
      <c r="AP14" s="69">
        <v>475.19107662836711</v>
      </c>
      <c r="AQ14" s="69">
        <v>852.76412464777638</v>
      </c>
    </row>
    <row r="15" spans="1:58" x14ac:dyDescent="0.25">
      <c r="A15" s="11">
        <v>41890</v>
      </c>
      <c r="B15" s="59"/>
      <c r="C15" s="60">
        <v>21.478168318668974</v>
      </c>
      <c r="D15" s="60">
        <v>360.97185885111446</v>
      </c>
      <c r="E15" s="60">
        <v>5.3368091757098846</v>
      </c>
      <c r="F15" s="60">
        <v>0</v>
      </c>
      <c r="G15" s="60">
        <v>960</v>
      </c>
      <c r="H15" s="61">
        <v>19.779346659779581</v>
      </c>
      <c r="I15" s="59">
        <v>674.94180962244775</v>
      </c>
      <c r="J15" s="60">
        <v>1343.7338556289694</v>
      </c>
      <c r="K15" s="60">
        <v>73.425399223963325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426.07295257805669</v>
      </c>
      <c r="V15" s="62">
        <v>57.412724886744954</v>
      </c>
      <c r="W15" s="62">
        <v>40.423774825550986</v>
      </c>
      <c r="X15" s="62">
        <v>5.4470462133310544</v>
      </c>
      <c r="Y15" s="66">
        <v>433.87958183197355</v>
      </c>
      <c r="Z15" s="66">
        <v>58.464657085059827</v>
      </c>
      <c r="AA15" s="67">
        <v>0</v>
      </c>
      <c r="AB15" s="68">
        <v>40.853592740164487</v>
      </c>
      <c r="AC15" s="69">
        <v>0</v>
      </c>
      <c r="AD15" s="69">
        <v>17.015111566914445</v>
      </c>
      <c r="AE15" s="68">
        <v>14.722012827486825</v>
      </c>
      <c r="AF15" s="68">
        <v>1.9837703077122342</v>
      </c>
      <c r="AG15" s="68">
        <v>0.88125248055372918</v>
      </c>
      <c r="AH15" s="69">
        <v>187.58428573608398</v>
      </c>
      <c r="AI15" s="69">
        <v>601.45459200541177</v>
      </c>
      <c r="AJ15" s="69">
        <v>3240.3875975290935</v>
      </c>
      <c r="AK15" s="69">
        <v>695.48691549301157</v>
      </c>
      <c r="AL15" s="69">
        <v>2095.4544267018637</v>
      </c>
      <c r="AM15" s="69">
        <v>3035.626587041219</v>
      </c>
      <c r="AN15" s="69">
        <v>450.13308320045473</v>
      </c>
      <c r="AO15" s="69">
        <v>1994.4010185877482</v>
      </c>
      <c r="AP15" s="69">
        <v>530.24064130783086</v>
      </c>
      <c r="AQ15" s="69">
        <v>955.37380568186416</v>
      </c>
    </row>
    <row r="16" spans="1:58" x14ac:dyDescent="0.25">
      <c r="A16" s="11">
        <v>41891</v>
      </c>
      <c r="B16" s="59"/>
      <c r="C16" s="60">
        <v>21.05511248111716</v>
      </c>
      <c r="D16" s="60">
        <v>361.71990556717009</v>
      </c>
      <c r="E16" s="60">
        <v>5.3385445152719937</v>
      </c>
      <c r="F16" s="60">
        <v>0</v>
      </c>
      <c r="G16" s="60">
        <v>945.6</v>
      </c>
      <c r="H16" s="61">
        <v>19.800910303990022</v>
      </c>
      <c r="I16" s="59">
        <v>692.04222323099918</v>
      </c>
      <c r="J16" s="60">
        <v>1428.5211158116656</v>
      </c>
      <c r="K16" s="60">
        <v>78.142550432681901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448.34229932754926</v>
      </c>
      <c r="V16" s="62">
        <v>56.045267726352989</v>
      </c>
      <c r="W16" s="62">
        <v>42.75828079689893</v>
      </c>
      <c r="X16" s="62">
        <v>5.3450216461285098</v>
      </c>
      <c r="Y16" s="66">
        <v>463.22704402297489</v>
      </c>
      <c r="Z16" s="66">
        <v>57.905943158371684</v>
      </c>
      <c r="AA16" s="67">
        <v>0</v>
      </c>
      <c r="AB16" s="68">
        <v>40.852831125259044</v>
      </c>
      <c r="AC16" s="69">
        <v>0</v>
      </c>
      <c r="AD16" s="69">
        <v>18.127366173267362</v>
      </c>
      <c r="AE16" s="68">
        <v>15.856753482601233</v>
      </c>
      <c r="AF16" s="68">
        <v>1.9821819077434493</v>
      </c>
      <c r="AG16" s="68">
        <v>0.88888451780500843</v>
      </c>
      <c r="AH16" s="69">
        <v>196.20084683100382</v>
      </c>
      <c r="AI16" s="69">
        <v>591.46037642161036</v>
      </c>
      <c r="AJ16" s="69">
        <v>3188.4797367095948</v>
      </c>
      <c r="AK16" s="69">
        <v>698.13294197718312</v>
      </c>
      <c r="AL16" s="69">
        <v>2163.3948996225995</v>
      </c>
      <c r="AM16" s="69">
        <v>3054.0624969482415</v>
      </c>
      <c r="AN16" s="69">
        <v>443.241893307368</v>
      </c>
      <c r="AO16" s="69">
        <v>2104.2907426198321</v>
      </c>
      <c r="AP16" s="69">
        <v>540.6078169186909</v>
      </c>
      <c r="AQ16" s="69">
        <v>927.20453039805079</v>
      </c>
    </row>
    <row r="17" spans="1:43" x14ac:dyDescent="0.25">
      <c r="A17" s="11">
        <v>41892</v>
      </c>
      <c r="B17" s="49"/>
      <c r="C17" s="50">
        <v>21.123102953036689</v>
      </c>
      <c r="D17" s="50">
        <v>362.69477740923588</v>
      </c>
      <c r="E17" s="50">
        <v>5.3272974764307373</v>
      </c>
      <c r="F17" s="50">
        <v>0</v>
      </c>
      <c r="G17" s="50">
        <v>945.6</v>
      </c>
      <c r="H17" s="51">
        <v>19.890658830602966</v>
      </c>
      <c r="I17" s="49">
        <v>683.46682955424114</v>
      </c>
      <c r="J17" s="50">
        <v>1425.0924540837598</v>
      </c>
      <c r="K17" s="50">
        <v>77.91331753333391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439.25957413042943</v>
      </c>
      <c r="V17" s="66">
        <v>54.907828264181518</v>
      </c>
      <c r="W17" s="62">
        <v>41.395401687566519</v>
      </c>
      <c r="X17" s="62">
        <v>5.174461162940549</v>
      </c>
      <c r="Y17" s="66">
        <v>462.63192225040035</v>
      </c>
      <c r="Z17" s="66">
        <v>57.829392078112122</v>
      </c>
      <c r="AA17" s="67">
        <v>0</v>
      </c>
      <c r="AB17" s="68">
        <v>38.596024023161632</v>
      </c>
      <c r="AC17" s="69">
        <v>0</v>
      </c>
      <c r="AD17" s="69">
        <v>18.292842573589748</v>
      </c>
      <c r="AE17" s="68">
        <v>15.998661147638222</v>
      </c>
      <c r="AF17" s="68">
        <v>1.9998465383261388</v>
      </c>
      <c r="AG17" s="68">
        <v>0.88888820266550972</v>
      </c>
      <c r="AH17" s="69">
        <v>193.47744014263156</v>
      </c>
      <c r="AI17" s="69">
        <v>560.50248619715364</v>
      </c>
      <c r="AJ17" s="69">
        <v>3081.652394358317</v>
      </c>
      <c r="AK17" s="69">
        <v>688.89370269775395</v>
      </c>
      <c r="AL17" s="69">
        <v>2109.0294558207197</v>
      </c>
      <c r="AM17" s="69">
        <v>2973.0048098246257</v>
      </c>
      <c r="AN17" s="69">
        <v>418.04013158480336</v>
      </c>
      <c r="AO17" s="69">
        <v>2112.1918139139812</v>
      </c>
      <c r="AP17" s="69">
        <v>505.15568297704067</v>
      </c>
      <c r="AQ17" s="69">
        <v>821.98687369028733</v>
      </c>
    </row>
    <row r="18" spans="1:43" x14ac:dyDescent="0.25">
      <c r="A18" s="11">
        <v>41893</v>
      </c>
      <c r="B18" s="59"/>
      <c r="C18" s="60">
        <v>20.980539768934246</v>
      </c>
      <c r="D18" s="60">
        <v>362.70676093101599</v>
      </c>
      <c r="E18" s="60">
        <v>5.3217827404538767</v>
      </c>
      <c r="F18" s="60">
        <v>0</v>
      </c>
      <c r="G18" s="60">
        <v>515.36705938975035</v>
      </c>
      <c r="H18" s="61">
        <v>19.955437630415002</v>
      </c>
      <c r="I18" s="59">
        <v>497.65853112538616</v>
      </c>
      <c r="J18" s="60">
        <v>1038.236324437459</v>
      </c>
      <c r="K18" s="60">
        <v>56.974179748694212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328.31410632366516</v>
      </c>
      <c r="V18" s="62">
        <v>56.224738272351019</v>
      </c>
      <c r="W18" s="62">
        <v>29.984370033274452</v>
      </c>
      <c r="X18" s="62">
        <v>5.1349099076485905</v>
      </c>
      <c r="Y18" s="66">
        <v>330.11601260050952</v>
      </c>
      <c r="Z18" s="66">
        <v>56.533319922836071</v>
      </c>
      <c r="AA18" s="67">
        <v>0</v>
      </c>
      <c r="AB18" s="68">
        <v>34.823909258842512</v>
      </c>
      <c r="AC18" s="69">
        <v>0</v>
      </c>
      <c r="AD18" s="69">
        <v>13.5108430004782</v>
      </c>
      <c r="AE18" s="68">
        <v>11.304083696965048</v>
      </c>
      <c r="AF18" s="68">
        <v>1.9358569584093366</v>
      </c>
      <c r="AG18" s="68">
        <v>0.8537865834297732</v>
      </c>
      <c r="AH18" s="69">
        <v>196.62528431415561</v>
      </c>
      <c r="AI18" s="69">
        <v>564.54891223907475</v>
      </c>
      <c r="AJ18" s="69">
        <v>2998.1485591888427</v>
      </c>
      <c r="AK18" s="69">
        <v>672.24689013163243</v>
      </c>
      <c r="AL18" s="69">
        <v>2124.508403015137</v>
      </c>
      <c r="AM18" s="69">
        <v>2906.2580656687414</v>
      </c>
      <c r="AN18" s="69">
        <v>406.23471042315163</v>
      </c>
      <c r="AO18" s="69">
        <v>1684.3837867736818</v>
      </c>
      <c r="AP18" s="69">
        <v>467.31631177266439</v>
      </c>
      <c r="AQ18" s="69">
        <v>684.20066130955991</v>
      </c>
    </row>
    <row r="19" spans="1:43" x14ac:dyDescent="0.25">
      <c r="A19" s="11">
        <v>41894</v>
      </c>
      <c r="B19" s="59"/>
      <c r="C19" s="60">
        <v>21.294540713230685</v>
      </c>
      <c r="D19" s="60">
        <v>364.5006844838465</v>
      </c>
      <c r="E19" s="60">
        <v>5.3020351529121461</v>
      </c>
      <c r="F19" s="60">
        <v>0</v>
      </c>
      <c r="G19" s="60">
        <v>688.57620651721891</v>
      </c>
      <c r="H19" s="61">
        <v>19.964908634622859</v>
      </c>
      <c r="I19" s="59">
        <v>480.33185024261422</v>
      </c>
      <c r="J19" s="60">
        <v>1001.7423781712853</v>
      </c>
      <c r="K19" s="60">
        <v>53.194089388847374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320.10391346521453</v>
      </c>
      <c r="V19" s="62">
        <v>52.94970500826642</v>
      </c>
      <c r="W19" s="62">
        <v>29.535025027976026</v>
      </c>
      <c r="X19" s="62">
        <v>4.8855099761629157</v>
      </c>
      <c r="Y19" s="66">
        <v>310.95108263393263</v>
      </c>
      <c r="Z19" s="66">
        <v>51.435697612166258</v>
      </c>
      <c r="AA19" s="67">
        <v>0</v>
      </c>
      <c r="AB19" s="68">
        <v>34.023109857241046</v>
      </c>
      <c r="AC19" s="69">
        <v>0</v>
      </c>
      <c r="AD19" s="69">
        <v>12.809731106625641</v>
      </c>
      <c r="AE19" s="68">
        <v>10.754909488064685</v>
      </c>
      <c r="AF19" s="68">
        <v>1.7790138165415288</v>
      </c>
      <c r="AG19" s="68">
        <v>0.85806408948682955</v>
      </c>
      <c r="AH19" s="69">
        <v>218.26623899141941</v>
      </c>
      <c r="AI19" s="69">
        <v>587.35222260157263</v>
      </c>
      <c r="AJ19" s="69">
        <v>2986.9527745564783</v>
      </c>
      <c r="AK19" s="69">
        <v>672.7253088951112</v>
      </c>
      <c r="AL19" s="69">
        <v>2171.289269256592</v>
      </c>
      <c r="AM19" s="69">
        <v>2889.994312032064</v>
      </c>
      <c r="AN19" s="69">
        <v>444.53653950691222</v>
      </c>
      <c r="AO19" s="69">
        <v>1733.881420135498</v>
      </c>
      <c r="AP19" s="69">
        <v>524.28533035914108</v>
      </c>
      <c r="AQ19" s="69">
        <v>646.38353786468497</v>
      </c>
    </row>
    <row r="20" spans="1:43" x14ac:dyDescent="0.25">
      <c r="A20" s="11">
        <v>41895</v>
      </c>
      <c r="B20" s="59"/>
      <c r="C20" s="60">
        <v>20.654529730478984</v>
      </c>
      <c r="D20" s="60">
        <v>363.03920842806576</v>
      </c>
      <c r="E20" s="60">
        <v>5.3053579951326002</v>
      </c>
      <c r="F20" s="60">
        <v>0</v>
      </c>
      <c r="G20" s="60">
        <v>523.38396536509106</v>
      </c>
      <c r="H20" s="61">
        <v>19.869096080462114</v>
      </c>
      <c r="I20" s="59">
        <v>479.9212199529008</v>
      </c>
      <c r="J20" s="60">
        <v>1001.3614571889243</v>
      </c>
      <c r="K20" s="60">
        <v>51.598930760224761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327.32959868172986</v>
      </c>
      <c r="V20" s="62">
        <v>59.511709000732189</v>
      </c>
      <c r="W20" s="62">
        <v>29.664567116124402</v>
      </c>
      <c r="X20" s="62">
        <v>5.3933072137604441</v>
      </c>
      <c r="Y20" s="66">
        <v>312.40760405484036</v>
      </c>
      <c r="Z20" s="66">
        <v>56.798745047816361</v>
      </c>
      <c r="AA20" s="67">
        <v>0</v>
      </c>
      <c r="AB20" s="68">
        <v>30.416214780013028</v>
      </c>
      <c r="AC20" s="69">
        <v>0</v>
      </c>
      <c r="AD20" s="69">
        <v>13.249187288681673</v>
      </c>
      <c r="AE20" s="68">
        <v>10.999871474915828</v>
      </c>
      <c r="AF20" s="68">
        <v>1.9998837651621864</v>
      </c>
      <c r="AG20" s="68">
        <v>0.8461598908418998</v>
      </c>
      <c r="AH20" s="69">
        <v>200.65882763067881</v>
      </c>
      <c r="AI20" s="69">
        <v>574.66988128026321</v>
      </c>
      <c r="AJ20" s="69">
        <v>3059.0182993570957</v>
      </c>
      <c r="AK20" s="69">
        <v>673.82734931310017</v>
      </c>
      <c r="AL20" s="69">
        <v>2130.924974950155</v>
      </c>
      <c r="AM20" s="69">
        <v>2750.4243137359622</v>
      </c>
      <c r="AN20" s="69">
        <v>423.39589225451158</v>
      </c>
      <c r="AO20" s="69">
        <v>1886.9859508514405</v>
      </c>
      <c r="AP20" s="69">
        <v>537.14414526621499</v>
      </c>
      <c r="AQ20" s="69">
        <v>805.04507102966306</v>
      </c>
    </row>
    <row r="21" spans="1:43" x14ac:dyDescent="0.25">
      <c r="A21" s="11">
        <v>41896</v>
      </c>
      <c r="B21" s="59"/>
      <c r="C21" s="60">
        <v>20.568877706925097</v>
      </c>
      <c r="D21" s="60">
        <v>363.42858970959918</v>
      </c>
      <c r="E21" s="60">
        <v>5.3117341722051341</v>
      </c>
      <c r="F21" s="60">
        <v>0</v>
      </c>
      <c r="G21" s="60">
        <v>960</v>
      </c>
      <c r="H21" s="61">
        <v>19.912061418096204</v>
      </c>
      <c r="I21" s="59">
        <v>479.83312632242848</v>
      </c>
      <c r="J21" s="60">
        <v>1001.3020885467527</v>
      </c>
      <c r="K21" s="60">
        <v>51.439388136069084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330.83876748352833</v>
      </c>
      <c r="V21" s="62">
        <v>60.154860827629349</v>
      </c>
      <c r="W21" s="62">
        <v>29.939969540779746</v>
      </c>
      <c r="X21" s="62">
        <v>5.4438441861222824</v>
      </c>
      <c r="Y21" s="66">
        <v>310.30948586190067</v>
      </c>
      <c r="Z21" s="66">
        <v>56.422117871797525</v>
      </c>
      <c r="AA21" s="67">
        <v>0</v>
      </c>
      <c r="AB21" s="68">
        <v>30.892912896474385</v>
      </c>
      <c r="AC21" s="69">
        <v>0</v>
      </c>
      <c r="AD21" s="69">
        <v>13.255271656645677</v>
      </c>
      <c r="AE21" s="68">
        <v>10.999878632725585</v>
      </c>
      <c r="AF21" s="68">
        <v>2.000056321408481</v>
      </c>
      <c r="AG21" s="68">
        <v>0.84614874393871875</v>
      </c>
      <c r="AH21" s="69">
        <v>184.09889132976534</v>
      </c>
      <c r="AI21" s="69">
        <v>580.44315160115571</v>
      </c>
      <c r="AJ21" s="69">
        <v>3067.312147013346</v>
      </c>
      <c r="AK21" s="69">
        <v>685.18740552266433</v>
      </c>
      <c r="AL21" s="69">
        <v>2143.590986378988</v>
      </c>
      <c r="AM21" s="69">
        <v>2811.1370956420892</v>
      </c>
      <c r="AN21" s="69">
        <v>416.43286461830144</v>
      </c>
      <c r="AO21" s="69">
        <v>1701.2479288736981</v>
      </c>
      <c r="AP21" s="69">
        <v>534.59122727711986</v>
      </c>
      <c r="AQ21" s="69">
        <v>900.04849360783896</v>
      </c>
    </row>
    <row r="22" spans="1:43" x14ac:dyDescent="0.25">
      <c r="A22" s="11">
        <v>41897</v>
      </c>
      <c r="B22" s="59"/>
      <c r="C22" s="60">
        <v>20.618072400490536</v>
      </c>
      <c r="D22" s="60">
        <v>363.25674138069257</v>
      </c>
      <c r="E22" s="60">
        <v>5.3107657308379883</v>
      </c>
      <c r="F22" s="60">
        <v>0</v>
      </c>
      <c r="G22" s="60">
        <v>361.96282717386862</v>
      </c>
      <c r="H22" s="61">
        <v>19.91380912562213</v>
      </c>
      <c r="I22" s="59">
        <v>559.965908050537</v>
      </c>
      <c r="J22" s="60">
        <v>1170.1426232020044</v>
      </c>
      <c r="K22" s="60">
        <v>58.039068365097094</v>
      </c>
      <c r="L22" s="50">
        <v>4.3619155883789142E-3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382.87692674928883</v>
      </c>
      <c r="V22" s="62">
        <v>60.194652569288102</v>
      </c>
      <c r="W22" s="62">
        <v>33.967170811589384</v>
      </c>
      <c r="X22" s="62">
        <v>5.3402070036571736</v>
      </c>
      <c r="Y22" s="66">
        <v>358.73142570657001</v>
      </c>
      <c r="Z22" s="66">
        <v>56.398576219851762</v>
      </c>
      <c r="AA22" s="67">
        <v>0</v>
      </c>
      <c r="AB22" s="68">
        <v>31.020528345637892</v>
      </c>
      <c r="AC22" s="69">
        <v>0</v>
      </c>
      <c r="AD22" s="69">
        <v>14.862011295557036</v>
      </c>
      <c r="AE22" s="68">
        <v>12.621220744982239</v>
      </c>
      <c r="AF22" s="68">
        <v>1.9842668614031556</v>
      </c>
      <c r="AG22" s="68">
        <v>0.86414237477866529</v>
      </c>
      <c r="AH22" s="69">
        <v>185.82847629388172</v>
      </c>
      <c r="AI22" s="69">
        <v>579.25386559168498</v>
      </c>
      <c r="AJ22" s="69">
        <v>3037.0515679677319</v>
      </c>
      <c r="AK22" s="69">
        <v>690.62260764439895</v>
      </c>
      <c r="AL22" s="69">
        <v>2131.9304087320966</v>
      </c>
      <c r="AM22" s="69">
        <v>2816.6334817250572</v>
      </c>
      <c r="AN22" s="69">
        <v>421.7301148255666</v>
      </c>
      <c r="AO22" s="69">
        <v>1730.3669672648111</v>
      </c>
      <c r="AP22" s="69">
        <v>612.13730802536008</v>
      </c>
      <c r="AQ22" s="69">
        <v>856.93743785222364</v>
      </c>
    </row>
    <row r="23" spans="1:43" x14ac:dyDescent="0.25">
      <c r="A23" s="11">
        <v>41898</v>
      </c>
      <c r="B23" s="59"/>
      <c r="C23" s="60">
        <v>20.598916957775742</v>
      </c>
      <c r="D23" s="60">
        <v>363.3953275362652</v>
      </c>
      <c r="E23" s="60">
        <v>5.312957778573038</v>
      </c>
      <c r="F23" s="60">
        <v>0</v>
      </c>
      <c r="G23" s="60">
        <v>214.79935571352604</v>
      </c>
      <c r="H23" s="61">
        <v>19.955918937921528</v>
      </c>
      <c r="I23" s="59">
        <v>793.16393826802584</v>
      </c>
      <c r="J23" s="60">
        <v>1722.2366196950261</v>
      </c>
      <c r="K23" s="60">
        <v>82.493882751464668</v>
      </c>
      <c r="L23" s="50">
        <v>4.3619155883789142E-3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550.8911563597195</v>
      </c>
      <c r="V23" s="62">
        <v>56.511657742450701</v>
      </c>
      <c r="W23" s="62">
        <v>51.14220039411682</v>
      </c>
      <c r="X23" s="62">
        <v>5.2462823036878943</v>
      </c>
      <c r="Y23" s="66">
        <v>582.3551239463518</v>
      </c>
      <c r="Z23" s="66">
        <v>59.739302526630688</v>
      </c>
      <c r="AA23" s="67">
        <v>0</v>
      </c>
      <c r="AB23" s="68">
        <v>31.136330690648567</v>
      </c>
      <c r="AC23" s="69">
        <v>0</v>
      </c>
      <c r="AD23" s="69">
        <v>21.829384546809763</v>
      </c>
      <c r="AE23" s="68">
        <v>19.497973962746027</v>
      </c>
      <c r="AF23" s="68">
        <v>2.0001461605138333</v>
      </c>
      <c r="AG23" s="68">
        <v>0.90696181112367225</v>
      </c>
      <c r="AH23" s="69">
        <v>181.84880278905234</v>
      </c>
      <c r="AI23" s="69">
        <v>583.687732887268</v>
      </c>
      <c r="AJ23" s="69">
        <v>3135.7697076161699</v>
      </c>
      <c r="AK23" s="69">
        <v>707.50730002721139</v>
      </c>
      <c r="AL23" s="69">
        <v>2093.1898817698157</v>
      </c>
      <c r="AM23" s="69">
        <v>2824.2774508158359</v>
      </c>
      <c r="AN23" s="69">
        <v>435.90523138046268</v>
      </c>
      <c r="AO23" s="69">
        <v>2691.3066212972008</v>
      </c>
      <c r="AP23" s="69">
        <v>518.77616755167639</v>
      </c>
      <c r="AQ23" s="69">
        <v>947.33662150700889</v>
      </c>
    </row>
    <row r="24" spans="1:43" x14ac:dyDescent="0.25">
      <c r="A24" s="11">
        <v>41899</v>
      </c>
      <c r="B24" s="59"/>
      <c r="C24" s="60">
        <v>21.165136092901228</v>
      </c>
      <c r="D24" s="60">
        <v>363.34543310801314</v>
      </c>
      <c r="E24" s="60">
        <v>5.3078228632609079</v>
      </c>
      <c r="F24" s="60">
        <v>0</v>
      </c>
      <c r="G24" s="60">
        <v>124.27961464722952</v>
      </c>
      <c r="H24" s="61">
        <v>19.969278027613964</v>
      </c>
      <c r="I24" s="59">
        <v>791.92241497039799</v>
      </c>
      <c r="J24" s="60">
        <v>1719.2806125640836</v>
      </c>
      <c r="K24" s="60">
        <v>82.264833295345198</v>
      </c>
      <c r="L24" s="50">
        <v>4.3619155883789142E-3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510.71362187780409</v>
      </c>
      <c r="V24" s="62">
        <v>53.065936727808278</v>
      </c>
      <c r="W24" s="62">
        <v>47.854067461327453</v>
      </c>
      <c r="X24" s="62">
        <v>4.9722991658888356</v>
      </c>
      <c r="Y24" s="66">
        <v>553.95717642852139</v>
      </c>
      <c r="Z24" s="66">
        <v>57.559178402538762</v>
      </c>
      <c r="AA24" s="67">
        <v>0</v>
      </c>
      <c r="AB24" s="68">
        <v>31.216848156186753</v>
      </c>
      <c r="AC24" s="69">
        <v>0</v>
      </c>
      <c r="AD24" s="69">
        <v>21.245208967394337</v>
      </c>
      <c r="AE24" s="68">
        <v>19.005534493677903</v>
      </c>
      <c r="AF24" s="68">
        <v>1.9747789127132371</v>
      </c>
      <c r="AG24" s="68">
        <v>0.90587467048458536</v>
      </c>
      <c r="AH24" s="69">
        <v>192.40004544258119</v>
      </c>
      <c r="AI24" s="69">
        <v>599.49585475921629</v>
      </c>
      <c r="AJ24" s="69">
        <v>3224.8345106760653</v>
      </c>
      <c r="AK24" s="69">
        <v>713.80143181482936</v>
      </c>
      <c r="AL24" s="69">
        <v>2093.7642158508297</v>
      </c>
      <c r="AM24" s="69">
        <v>2866.7090652465818</v>
      </c>
      <c r="AN24" s="69">
        <v>457.6862195491791</v>
      </c>
      <c r="AO24" s="69">
        <v>2746.7304506937667</v>
      </c>
      <c r="AP24" s="69">
        <v>537.98541189829518</v>
      </c>
      <c r="AQ24" s="69">
        <v>1040.3772596995034</v>
      </c>
    </row>
    <row r="25" spans="1:43" x14ac:dyDescent="0.25">
      <c r="A25" s="11">
        <v>41900</v>
      </c>
      <c r="B25" s="59"/>
      <c r="C25" s="60">
        <v>38.809176576137567</v>
      </c>
      <c r="D25" s="60">
        <v>364.46398242314717</v>
      </c>
      <c r="E25" s="60">
        <v>5.309256836771965</v>
      </c>
      <c r="F25" s="60">
        <v>0</v>
      </c>
      <c r="G25" s="60">
        <v>455.40868263244539</v>
      </c>
      <c r="H25" s="61">
        <v>19.992446377873403</v>
      </c>
      <c r="I25" s="59">
        <v>670.61920315424629</v>
      </c>
      <c r="J25" s="60">
        <v>1473.7430595397957</v>
      </c>
      <c r="K25" s="60">
        <v>70.546368710200156</v>
      </c>
      <c r="L25" s="50">
        <v>4.3619155883789142E-3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432.63134883173512</v>
      </c>
      <c r="V25" s="62">
        <v>50.58549863038629</v>
      </c>
      <c r="W25" s="62">
        <v>40.59957493977862</v>
      </c>
      <c r="X25" s="62">
        <v>4.7471126354026865</v>
      </c>
      <c r="Y25" s="66">
        <v>467.07610495020958</v>
      </c>
      <c r="Z25" s="66">
        <v>54.612957963049581</v>
      </c>
      <c r="AA25" s="67">
        <v>0</v>
      </c>
      <c r="AB25" s="68">
        <v>40.964295820395627</v>
      </c>
      <c r="AC25" s="69">
        <v>0</v>
      </c>
      <c r="AD25" s="69">
        <v>18.152312722139907</v>
      </c>
      <c r="AE25" s="68">
        <v>15.942078573448168</v>
      </c>
      <c r="AF25" s="68">
        <v>1.8640304176300544</v>
      </c>
      <c r="AG25" s="68">
        <v>0.89531511805504338</v>
      </c>
      <c r="AH25" s="69">
        <v>185.49595642089844</v>
      </c>
      <c r="AI25" s="69">
        <v>597.39371420542398</v>
      </c>
      <c r="AJ25" s="69">
        <v>3290.6451629638668</v>
      </c>
      <c r="AK25" s="69">
        <v>708.97766402562468</v>
      </c>
      <c r="AL25" s="69">
        <v>2080.2793856302897</v>
      </c>
      <c r="AM25" s="69">
        <v>2950.9749253590894</v>
      </c>
      <c r="AN25" s="69">
        <v>476.45774223009744</v>
      </c>
      <c r="AO25" s="69">
        <v>2222.1362024943032</v>
      </c>
      <c r="AP25" s="69">
        <v>578.01502982775366</v>
      </c>
      <c r="AQ25" s="69">
        <v>979.5563216845195</v>
      </c>
    </row>
    <row r="26" spans="1:43" x14ac:dyDescent="0.25">
      <c r="A26" s="11">
        <v>41901</v>
      </c>
      <c r="B26" s="59"/>
      <c r="C26" s="60">
        <v>23.533311225970618</v>
      </c>
      <c r="D26" s="60">
        <v>362.75440195401609</v>
      </c>
      <c r="E26" s="60">
        <v>5.3628008961677551</v>
      </c>
      <c r="F26" s="60">
        <v>0</v>
      </c>
      <c r="G26" s="60">
        <v>875.98833119074789</v>
      </c>
      <c r="H26" s="61">
        <v>19.926204929749204</v>
      </c>
      <c r="I26" s="59">
        <v>661.13676115671876</v>
      </c>
      <c r="J26" s="60">
        <v>1471.9442104975371</v>
      </c>
      <c r="K26" s="60">
        <v>70.38445236682908</v>
      </c>
      <c r="L26" s="50">
        <v>4.3619155883789142E-3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457.18853542896528</v>
      </c>
      <c r="V26" s="62">
        <v>55.418437689286584</v>
      </c>
      <c r="W26" s="62">
        <v>42.969226544090112</v>
      </c>
      <c r="X26" s="62">
        <v>5.2085457513850653</v>
      </c>
      <c r="Y26" s="66">
        <v>477.66041924647641</v>
      </c>
      <c r="Z26" s="66">
        <v>57.899951834558344</v>
      </c>
      <c r="AA26" s="67">
        <v>0</v>
      </c>
      <c r="AB26" s="68">
        <v>41.187165522575889</v>
      </c>
      <c r="AC26" s="69">
        <v>0</v>
      </c>
      <c r="AD26" s="69">
        <v>18.817017283704551</v>
      </c>
      <c r="AE26" s="68">
        <v>16.499156366435223</v>
      </c>
      <c r="AF26" s="68">
        <v>1.9999571252616266</v>
      </c>
      <c r="AG26" s="68">
        <v>0.89188902883593379</v>
      </c>
      <c r="AH26" s="69">
        <v>185.49595642089844</v>
      </c>
      <c r="AI26" s="69">
        <v>599.89134337107339</v>
      </c>
      <c r="AJ26" s="69">
        <v>3225.0804963429769</v>
      </c>
      <c r="AK26" s="69">
        <v>709.49544378916437</v>
      </c>
      <c r="AL26" s="69">
        <v>2089.3240317026771</v>
      </c>
      <c r="AM26" s="69">
        <v>2975.9914983113608</v>
      </c>
      <c r="AN26" s="69">
        <v>489.62961128552763</v>
      </c>
      <c r="AO26" s="69">
        <v>2228.6480386098228</v>
      </c>
      <c r="AP26" s="69">
        <v>605.96665623982756</v>
      </c>
      <c r="AQ26" s="69">
        <v>980.60721775690706</v>
      </c>
    </row>
    <row r="27" spans="1:43" x14ac:dyDescent="0.25">
      <c r="A27" s="11">
        <v>41902</v>
      </c>
      <c r="B27" s="59"/>
      <c r="C27" s="60">
        <v>22.972933501005201</v>
      </c>
      <c r="D27" s="60">
        <v>362.28217198054028</v>
      </c>
      <c r="E27" s="60">
        <v>5.5836262280742357</v>
      </c>
      <c r="F27" s="60">
        <v>0</v>
      </c>
      <c r="G27" s="60">
        <v>935.90847581228013</v>
      </c>
      <c r="H27" s="61">
        <v>20.569268947839735</v>
      </c>
      <c r="I27" s="59">
        <v>660.67502044042044</v>
      </c>
      <c r="J27" s="60">
        <v>1470.9957307815573</v>
      </c>
      <c r="K27" s="60">
        <v>70.508648403485822</v>
      </c>
      <c r="L27" s="50">
        <v>4.3619155883789142E-3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446.71217811385162</v>
      </c>
      <c r="V27" s="62">
        <v>54.156747510574945</v>
      </c>
      <c r="W27" s="62">
        <v>42.449410044806392</v>
      </c>
      <c r="X27" s="62">
        <v>5.1463158928779578</v>
      </c>
      <c r="Y27" s="62">
        <v>477.43302318211045</v>
      </c>
      <c r="Z27" s="62">
        <v>57.881161419991926</v>
      </c>
      <c r="AA27" s="72">
        <v>0</v>
      </c>
      <c r="AB27" s="69">
        <v>41.189981079102388</v>
      </c>
      <c r="AC27" s="69">
        <v>0</v>
      </c>
      <c r="AD27" s="69">
        <v>18.820574835936206</v>
      </c>
      <c r="AE27" s="69">
        <v>16.498424447605586</v>
      </c>
      <c r="AF27" s="69">
        <v>2.0001715890171012</v>
      </c>
      <c r="AG27" s="69">
        <v>0.89187441116843402</v>
      </c>
      <c r="AH27" s="69">
        <v>181.85646877288818</v>
      </c>
      <c r="AI27" s="69">
        <v>588.99215475718177</v>
      </c>
      <c r="AJ27" s="69">
        <v>3189.2825244903565</v>
      </c>
      <c r="AK27" s="69">
        <v>703.62775303522744</v>
      </c>
      <c r="AL27" s="69">
        <v>2086.186567433675</v>
      </c>
      <c r="AM27" s="69">
        <v>2871.7292180379227</v>
      </c>
      <c r="AN27" s="69">
        <v>465.78382628758743</v>
      </c>
      <c r="AO27" s="69">
        <v>2200.1269001007081</v>
      </c>
      <c r="AP27" s="69">
        <v>585.5847090085349</v>
      </c>
      <c r="AQ27" s="69">
        <v>921.27305119832351</v>
      </c>
    </row>
    <row r="28" spans="1:43" x14ac:dyDescent="0.25">
      <c r="A28" s="11">
        <v>41903</v>
      </c>
      <c r="B28" s="59"/>
      <c r="C28" s="60">
        <v>22.483489016691859</v>
      </c>
      <c r="D28" s="60">
        <v>362.65252316792868</v>
      </c>
      <c r="E28" s="60">
        <v>5.5743981848160384</v>
      </c>
      <c r="F28" s="60">
        <v>0</v>
      </c>
      <c r="G28" s="60">
        <v>1007.1182307561209</v>
      </c>
      <c r="H28" s="61">
        <v>19.926919142405154</v>
      </c>
      <c r="I28" s="59">
        <v>660.69162972768379</v>
      </c>
      <c r="J28" s="60">
        <v>1471.08236846924</v>
      </c>
      <c r="K28" s="60">
        <v>70.551132742564036</v>
      </c>
      <c r="L28" s="50">
        <v>4.3619155883789142E-3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443.53321092900222</v>
      </c>
      <c r="V28" s="62">
        <v>53.766968065076959</v>
      </c>
      <c r="W28" s="62">
        <v>42.131741709112866</v>
      </c>
      <c r="X28" s="62">
        <v>5.1073875759047844</v>
      </c>
      <c r="Y28" s="66">
        <v>477.58128368960098</v>
      </c>
      <c r="Z28" s="66">
        <v>57.894419168371158</v>
      </c>
      <c r="AA28" s="67">
        <v>0</v>
      </c>
      <c r="AB28" s="68">
        <v>41.189509362645261</v>
      </c>
      <c r="AC28" s="69">
        <v>0</v>
      </c>
      <c r="AD28" s="69">
        <v>18.825810703966347</v>
      </c>
      <c r="AE28" s="68">
        <v>16.492607112898792</v>
      </c>
      <c r="AF28" s="68">
        <v>1.9993034525909175</v>
      </c>
      <c r="AG28" s="68">
        <v>0.89188226681551808</v>
      </c>
      <c r="AH28" s="69">
        <v>185.16658968925475</v>
      </c>
      <c r="AI28" s="69">
        <v>588.49447333017986</v>
      </c>
      <c r="AJ28" s="69">
        <v>3230.5397743225103</v>
      </c>
      <c r="AK28" s="69">
        <v>699.75089378356927</v>
      </c>
      <c r="AL28" s="69">
        <v>2079.3366186777748</v>
      </c>
      <c r="AM28" s="69">
        <v>2825.9804191589355</v>
      </c>
      <c r="AN28" s="69">
        <v>438.14884181022649</v>
      </c>
      <c r="AO28" s="69">
        <v>2244.9749777475995</v>
      </c>
      <c r="AP28" s="69">
        <v>547.94845495224001</v>
      </c>
      <c r="AQ28" s="69">
        <v>874.59200855890913</v>
      </c>
    </row>
    <row r="29" spans="1:43" x14ac:dyDescent="0.25">
      <c r="A29" s="11">
        <v>41904</v>
      </c>
      <c r="B29" s="59"/>
      <c r="C29" s="60">
        <v>57.040714695056323</v>
      </c>
      <c r="D29" s="60">
        <v>362.98183523813958</v>
      </c>
      <c r="E29" s="60">
        <v>20.646627010901781</v>
      </c>
      <c r="F29" s="60">
        <v>0</v>
      </c>
      <c r="G29" s="60">
        <v>1017.5089948018368</v>
      </c>
      <c r="H29" s="61">
        <v>19.903964474797235</v>
      </c>
      <c r="I29" s="59">
        <v>660.50324427286853</v>
      </c>
      <c r="J29" s="60">
        <v>1470.8907257715853</v>
      </c>
      <c r="K29" s="60">
        <v>70.3405859152478</v>
      </c>
      <c r="L29" s="50">
        <v>4.3619155883789142E-3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443.3278854436403</v>
      </c>
      <c r="V29" s="62">
        <v>53.727000081542116</v>
      </c>
      <c r="W29" s="62">
        <v>42.013851987784044</v>
      </c>
      <c r="X29" s="62">
        <v>5.0916675970308134</v>
      </c>
      <c r="Y29" s="66">
        <v>477.63351645462575</v>
      </c>
      <c r="Z29" s="66">
        <v>57.884506750178879</v>
      </c>
      <c r="AA29" s="67">
        <v>0</v>
      </c>
      <c r="AB29" s="68">
        <v>40.974294103516137</v>
      </c>
      <c r="AC29" s="69">
        <v>0</v>
      </c>
      <c r="AD29" s="69">
        <v>18.825764977931978</v>
      </c>
      <c r="AE29" s="68">
        <v>16.499575476130595</v>
      </c>
      <c r="AF29" s="68">
        <v>1.9995870371753866</v>
      </c>
      <c r="AG29" s="68">
        <v>0.89190932099022668</v>
      </c>
      <c r="AH29" s="69">
        <v>186.32210787137348</v>
      </c>
      <c r="AI29" s="69">
        <v>579.98380502065027</v>
      </c>
      <c r="AJ29" s="69">
        <v>3057.2363503773995</v>
      </c>
      <c r="AK29" s="69">
        <v>696.86217145919807</v>
      </c>
      <c r="AL29" s="69">
        <v>2071.7762786865228</v>
      </c>
      <c r="AM29" s="69">
        <v>2828.4457158406576</v>
      </c>
      <c r="AN29" s="69">
        <v>414.56401096979778</v>
      </c>
      <c r="AO29" s="69">
        <v>2253.6517278035481</v>
      </c>
      <c r="AP29" s="69">
        <v>531.96482003529866</v>
      </c>
      <c r="AQ29" s="69">
        <v>858.07191931406646</v>
      </c>
    </row>
    <row r="30" spans="1:43" x14ac:dyDescent="0.25">
      <c r="A30" s="11">
        <v>41905</v>
      </c>
      <c r="B30" s="59"/>
      <c r="C30" s="60">
        <v>22.194303919871697</v>
      </c>
      <c r="D30" s="60">
        <v>362.9782369295761</v>
      </c>
      <c r="E30" s="60">
        <v>6.7600975334644371</v>
      </c>
      <c r="F30" s="60">
        <v>0</v>
      </c>
      <c r="G30" s="60">
        <v>1042.9890132268299</v>
      </c>
      <c r="H30" s="61">
        <v>19.92782885531587</v>
      </c>
      <c r="I30" s="59">
        <v>659.60296258926485</v>
      </c>
      <c r="J30" s="60">
        <v>1468.898060989384</v>
      </c>
      <c r="K30" s="60">
        <v>70.179111731052615</v>
      </c>
      <c r="L30" s="50">
        <v>4.3619155883789142E-3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445.6807381942877</v>
      </c>
      <c r="V30" s="62">
        <v>54.023423428507407</v>
      </c>
      <c r="W30" s="62">
        <v>41.895724051874957</v>
      </c>
      <c r="X30" s="62">
        <v>5.0784120701928783</v>
      </c>
      <c r="Y30" s="66">
        <v>477.50873552667741</v>
      </c>
      <c r="Z30" s="66">
        <v>57.881470746719138</v>
      </c>
      <c r="AA30" s="67">
        <v>0</v>
      </c>
      <c r="AB30" s="68">
        <v>40.201436758041623</v>
      </c>
      <c r="AC30" s="69">
        <v>0</v>
      </c>
      <c r="AD30" s="69">
        <v>18.817324642340346</v>
      </c>
      <c r="AE30" s="68">
        <v>16.500270180045028</v>
      </c>
      <c r="AF30" s="68">
        <v>2.000088866826355</v>
      </c>
      <c r="AG30" s="68">
        <v>0.89188918648772963</v>
      </c>
      <c r="AH30" s="69">
        <v>181.18389391104381</v>
      </c>
      <c r="AI30" s="69">
        <v>580.40519660313919</v>
      </c>
      <c r="AJ30" s="69">
        <v>3032.8414632161457</v>
      </c>
      <c r="AK30" s="69">
        <v>699.6187398910522</v>
      </c>
      <c r="AL30" s="69">
        <v>2109.0765627543133</v>
      </c>
      <c r="AM30" s="69">
        <v>2813.6259587605796</v>
      </c>
      <c r="AN30" s="69">
        <v>408.8027853488922</v>
      </c>
      <c r="AO30" s="69">
        <v>2285.525785446167</v>
      </c>
      <c r="AP30" s="69">
        <v>557.26071519851689</v>
      </c>
      <c r="AQ30" s="69">
        <v>871.22379213968918</v>
      </c>
    </row>
    <row r="31" spans="1:43" x14ac:dyDescent="0.25">
      <c r="A31" s="11">
        <v>41906</v>
      </c>
      <c r="B31" s="59"/>
      <c r="C31" s="60">
        <v>21.890919854243595</v>
      </c>
      <c r="D31" s="60">
        <v>362.33566555977001</v>
      </c>
      <c r="E31" s="60">
        <v>6.6238430291414296</v>
      </c>
      <c r="F31" s="60">
        <v>0</v>
      </c>
      <c r="G31" s="60">
        <v>1074.600101280216</v>
      </c>
      <c r="H31" s="61">
        <v>19.942631796002434</v>
      </c>
      <c r="I31" s="59">
        <v>659.7243582407641</v>
      </c>
      <c r="J31" s="60">
        <v>1468.9217319488532</v>
      </c>
      <c r="K31" s="60">
        <v>70.31603914101936</v>
      </c>
      <c r="L31" s="50">
        <v>4.3619155883789142E-3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443.13470445623688</v>
      </c>
      <c r="V31" s="62">
        <v>51.796835270019905</v>
      </c>
      <c r="W31" s="62">
        <v>41.246538775199937</v>
      </c>
      <c r="X31" s="62">
        <v>4.8211980531272305</v>
      </c>
      <c r="Y31" s="66">
        <v>463.94305185445643</v>
      </c>
      <c r="Z31" s="66">
        <v>54.229067572270942</v>
      </c>
      <c r="AA31" s="67">
        <v>0</v>
      </c>
      <c r="AB31" s="68">
        <v>40.201489199531991</v>
      </c>
      <c r="AC31" s="69">
        <v>0</v>
      </c>
      <c r="AD31" s="69">
        <v>18.210410585668352</v>
      </c>
      <c r="AE31" s="68">
        <v>16.024467578787174</v>
      </c>
      <c r="AF31" s="68">
        <v>1.8730573325027964</v>
      </c>
      <c r="AG31" s="68">
        <v>0.89534545464880178</v>
      </c>
      <c r="AH31" s="69">
        <v>188.55477846463521</v>
      </c>
      <c r="AI31" s="69">
        <v>585.26480271021535</v>
      </c>
      <c r="AJ31" s="69">
        <v>3102.1602146148684</v>
      </c>
      <c r="AK31" s="69">
        <v>706.76921215057359</v>
      </c>
      <c r="AL31" s="69">
        <v>2160.3926315307617</v>
      </c>
      <c r="AM31" s="69">
        <v>2834.4475200653073</v>
      </c>
      <c r="AN31" s="69">
        <v>421.05419707298279</v>
      </c>
      <c r="AO31" s="69">
        <v>2145.8615924835203</v>
      </c>
      <c r="AP31" s="69">
        <v>583.2028860092164</v>
      </c>
      <c r="AQ31" s="69">
        <v>948.31379858652758</v>
      </c>
    </row>
    <row r="32" spans="1:43" x14ac:dyDescent="0.25">
      <c r="A32" s="11">
        <v>41907</v>
      </c>
      <c r="B32" s="59"/>
      <c r="C32" s="60">
        <v>21.655964354674058</v>
      </c>
      <c r="D32" s="60">
        <v>364.27505963643472</v>
      </c>
      <c r="E32" s="60">
        <v>6.5336040109396061</v>
      </c>
      <c r="F32" s="60">
        <v>0</v>
      </c>
      <c r="G32" s="60">
        <v>1074.1333352406828</v>
      </c>
      <c r="H32" s="61">
        <v>20.029455249508224</v>
      </c>
      <c r="I32" s="59">
        <v>658.99838148752872</v>
      </c>
      <c r="J32" s="60">
        <v>1467.4959325790405</v>
      </c>
      <c r="K32" s="60">
        <v>70.344341949622034</v>
      </c>
      <c r="L32" s="50">
        <v>4.3619155883789142E-3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446.82957166181842</v>
      </c>
      <c r="V32" s="62">
        <v>54.161407532821976</v>
      </c>
      <c r="W32" s="62">
        <v>42.027807870162576</v>
      </c>
      <c r="X32" s="62">
        <v>5.0943030052850169</v>
      </c>
      <c r="Y32" s="66">
        <v>473.73463655446494</v>
      </c>
      <c r="Z32" s="66">
        <v>57.422642412438542</v>
      </c>
      <c r="AA32" s="67">
        <v>0</v>
      </c>
      <c r="AB32" s="68">
        <v>40.19977895683698</v>
      </c>
      <c r="AC32" s="69">
        <v>0</v>
      </c>
      <c r="AD32" s="69">
        <v>18.669434268607009</v>
      </c>
      <c r="AE32" s="68">
        <v>16.358501414845385</v>
      </c>
      <c r="AF32" s="68">
        <v>1.9828577111862522</v>
      </c>
      <c r="AG32" s="68">
        <v>0.8918914515788523</v>
      </c>
      <c r="AH32" s="69">
        <v>192.80907440185547</v>
      </c>
      <c r="AI32" s="69">
        <v>587.60391836166377</v>
      </c>
      <c r="AJ32" s="69">
        <v>3216.1500773111975</v>
      </c>
      <c r="AK32" s="69">
        <v>703.19572521845498</v>
      </c>
      <c r="AL32" s="69">
        <v>2175.4126481374105</v>
      </c>
      <c r="AM32" s="69">
        <v>2808.8709383646642</v>
      </c>
      <c r="AN32" s="69">
        <v>432.24974659283953</v>
      </c>
      <c r="AO32" s="69">
        <v>2285.4730227152509</v>
      </c>
      <c r="AP32" s="69">
        <v>588.15953474044807</v>
      </c>
      <c r="AQ32" s="69">
        <v>1014.5301258087159</v>
      </c>
    </row>
    <row r="33" spans="1:43" x14ac:dyDescent="0.25">
      <c r="A33" s="11">
        <v>41908</v>
      </c>
      <c r="B33" s="59"/>
      <c r="C33" s="60">
        <v>20.822539279858297</v>
      </c>
      <c r="D33" s="60">
        <v>363.23966801961319</v>
      </c>
      <c r="E33" s="60">
        <v>6.4655453960100857</v>
      </c>
      <c r="F33" s="60">
        <v>0</v>
      </c>
      <c r="G33" s="60">
        <v>1067.4927151362133</v>
      </c>
      <c r="H33" s="61">
        <v>19.925420582294439</v>
      </c>
      <c r="I33" s="59">
        <v>659.16335306167673</v>
      </c>
      <c r="J33" s="60">
        <v>1467.6658661524459</v>
      </c>
      <c r="K33" s="60">
        <v>70.253125739097825</v>
      </c>
      <c r="L33" s="50">
        <v>4.3619155883789142E-3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450.22843585802411</v>
      </c>
      <c r="V33" s="62">
        <v>54.565796446864226</v>
      </c>
      <c r="W33" s="62">
        <v>41.872016548784082</v>
      </c>
      <c r="X33" s="62">
        <v>5.0747126344129212</v>
      </c>
      <c r="Y33" s="66">
        <v>477.69392594208637</v>
      </c>
      <c r="Z33" s="66">
        <v>57.89449854979604</v>
      </c>
      <c r="AA33" s="67">
        <v>0</v>
      </c>
      <c r="AB33" s="68">
        <v>40.367611742019818</v>
      </c>
      <c r="AC33" s="69">
        <v>0</v>
      </c>
      <c r="AD33" s="69">
        <v>18.822823733753637</v>
      </c>
      <c r="AE33" s="68">
        <v>16.500567350345136</v>
      </c>
      <c r="AF33" s="68">
        <v>1.9997994964063743</v>
      </c>
      <c r="AG33" s="68">
        <v>0.89190487340214442</v>
      </c>
      <c r="AH33" s="69">
        <v>190.72334818840028</v>
      </c>
      <c r="AI33" s="69">
        <v>587.0765186627707</v>
      </c>
      <c r="AJ33" s="69">
        <v>3217.8654777526863</v>
      </c>
      <c r="AK33" s="69">
        <v>714.79163815180459</v>
      </c>
      <c r="AL33" s="69">
        <v>2070.6409964243571</v>
      </c>
      <c r="AM33" s="69">
        <v>2826.8633258819582</v>
      </c>
      <c r="AN33" s="69">
        <v>440.06709076563516</v>
      </c>
      <c r="AO33" s="69">
        <v>2251.0985685984292</v>
      </c>
      <c r="AP33" s="69">
        <v>563.06647198994949</v>
      </c>
      <c r="AQ33" s="69">
        <v>990.85954389572146</v>
      </c>
    </row>
    <row r="34" spans="1:43" x14ac:dyDescent="0.25">
      <c r="A34" s="11">
        <v>41909</v>
      </c>
      <c r="B34" s="59"/>
      <c r="C34" s="60">
        <v>21.977281818787276</v>
      </c>
      <c r="D34" s="60">
        <v>363.04654380480474</v>
      </c>
      <c r="E34" s="60">
        <v>6.4116410339871983</v>
      </c>
      <c r="F34" s="60">
        <v>0</v>
      </c>
      <c r="G34" s="60">
        <v>1097.3379596710251</v>
      </c>
      <c r="H34" s="61">
        <v>19.87029085556664</v>
      </c>
      <c r="I34" s="59">
        <v>652.39549436569314</v>
      </c>
      <c r="J34" s="60">
        <v>1468.4436813990285</v>
      </c>
      <c r="K34" s="60">
        <v>70.402997819582851</v>
      </c>
      <c r="L34" s="50">
        <v>4.3619155883789142E-3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445.76699328051808</v>
      </c>
      <c r="V34" s="62">
        <v>54.926243685088295</v>
      </c>
      <c r="W34" s="62">
        <v>41.442203210727207</v>
      </c>
      <c r="X34" s="62">
        <v>5.1063999504488065</v>
      </c>
      <c r="Y34" s="66">
        <v>465.92180476234824</v>
      </c>
      <c r="Z34" s="66">
        <v>57.409666871563154</v>
      </c>
      <c r="AA34" s="67">
        <v>0</v>
      </c>
      <c r="AB34" s="68">
        <v>40.5246824979791</v>
      </c>
      <c r="AC34" s="69">
        <v>0</v>
      </c>
      <c r="AD34" s="69">
        <v>18.388287823067792</v>
      </c>
      <c r="AE34" s="68">
        <v>16.091897245616131</v>
      </c>
      <c r="AF34" s="68">
        <v>1.9828015146736118</v>
      </c>
      <c r="AG34" s="68">
        <v>0.89029960936168728</v>
      </c>
      <c r="AH34" s="69">
        <v>193.06487274169922</v>
      </c>
      <c r="AI34" s="69">
        <v>578.01156123479223</v>
      </c>
      <c r="AJ34" s="69">
        <v>3268.7501366933188</v>
      </c>
      <c r="AK34" s="69">
        <v>724.92331260045364</v>
      </c>
      <c r="AL34" s="69">
        <v>2094.8633393605546</v>
      </c>
      <c r="AM34" s="69">
        <v>2772.4273048400883</v>
      </c>
      <c r="AN34" s="69">
        <v>442.52435560226445</v>
      </c>
      <c r="AO34" s="69">
        <v>2264.7890061696371</v>
      </c>
      <c r="AP34" s="69">
        <v>532.66781323750808</v>
      </c>
      <c r="AQ34" s="69">
        <v>943.74668153127027</v>
      </c>
    </row>
    <row r="35" spans="1:43" x14ac:dyDescent="0.25">
      <c r="A35" s="11">
        <v>41910</v>
      </c>
      <c r="B35" s="59"/>
      <c r="C35" s="60">
        <v>23.201728910207734</v>
      </c>
      <c r="D35" s="60">
        <v>362.81298330625032</v>
      </c>
      <c r="E35" s="60">
        <v>6.384712946911649</v>
      </c>
      <c r="F35" s="60">
        <v>0</v>
      </c>
      <c r="G35" s="60">
        <v>1150.5740292867035</v>
      </c>
      <c r="H35" s="61">
        <v>19.963499431808778</v>
      </c>
      <c r="I35" s="59">
        <v>638.89911464055456</v>
      </c>
      <c r="J35" s="60">
        <v>1459.8263003667228</v>
      </c>
      <c r="K35" s="60">
        <v>70.058274002870178</v>
      </c>
      <c r="L35" s="50">
        <v>4.3619155883789142E-3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447.8193718329145</v>
      </c>
      <c r="V35" s="62">
        <v>54.498143815818025</v>
      </c>
      <c r="W35" s="62">
        <v>41.814612456263475</v>
      </c>
      <c r="X35" s="62">
        <v>5.0887007275209859</v>
      </c>
      <c r="Y35" s="66">
        <v>474.99623413484841</v>
      </c>
      <c r="Z35" s="66">
        <v>57.805478521173484</v>
      </c>
      <c r="AA35" s="67">
        <v>0</v>
      </c>
      <c r="AB35" s="68">
        <v>40.524281395806945</v>
      </c>
      <c r="AC35" s="69">
        <v>0</v>
      </c>
      <c r="AD35" s="69">
        <v>18.481539914343074</v>
      </c>
      <c r="AE35" s="68">
        <v>16.285666017056784</v>
      </c>
      <c r="AF35" s="68">
        <v>1.9819119595056067</v>
      </c>
      <c r="AG35" s="68">
        <v>0.89150658275287331</v>
      </c>
      <c r="AH35" s="69">
        <v>192.4659615357717</v>
      </c>
      <c r="AI35" s="69">
        <v>583.33601309458425</v>
      </c>
      <c r="AJ35" s="69">
        <v>3126.862133153279</v>
      </c>
      <c r="AK35" s="69">
        <v>719.57479871114106</v>
      </c>
      <c r="AL35" s="69">
        <v>2104.7039557139078</v>
      </c>
      <c r="AM35" s="69">
        <v>2703.9562810262041</v>
      </c>
      <c r="AN35" s="69">
        <v>419.01258142789203</v>
      </c>
      <c r="AO35" s="69">
        <v>2226.732349268595</v>
      </c>
      <c r="AP35" s="69">
        <v>504.19217758178712</v>
      </c>
      <c r="AQ35" s="69">
        <v>798.55764376322418</v>
      </c>
    </row>
    <row r="36" spans="1:43" x14ac:dyDescent="0.25">
      <c r="A36" s="11">
        <v>41911</v>
      </c>
      <c r="B36" s="59"/>
      <c r="C36" s="60">
        <v>22.928846081097948</v>
      </c>
      <c r="D36" s="60">
        <v>362.83319916725293</v>
      </c>
      <c r="E36" s="60">
        <v>6.3445651680231059</v>
      </c>
      <c r="F36" s="60">
        <v>0</v>
      </c>
      <c r="G36" s="60">
        <v>1200.1932627360022</v>
      </c>
      <c r="H36" s="61">
        <v>19.871307785312325</v>
      </c>
      <c r="I36" s="59">
        <v>626.54533843994113</v>
      </c>
      <c r="J36" s="60">
        <v>1423.4674451192222</v>
      </c>
      <c r="K36" s="60">
        <v>69.84601164261511</v>
      </c>
      <c r="L36" s="50">
        <v>4.3619155883789142E-3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451.03640582692407</v>
      </c>
      <c r="V36" s="62">
        <v>54.675575459010048</v>
      </c>
      <c r="W36" s="62">
        <v>42.141839518344881</v>
      </c>
      <c r="X36" s="62">
        <v>5.1085218328272139</v>
      </c>
      <c r="Y36" s="66">
        <v>492.735467761986</v>
      </c>
      <c r="Z36" s="66">
        <v>59.730422868102082</v>
      </c>
      <c r="AA36" s="67">
        <v>0</v>
      </c>
      <c r="AB36" s="68">
        <v>40.526012296147904</v>
      </c>
      <c r="AC36" s="69">
        <v>0</v>
      </c>
      <c r="AD36" s="69">
        <v>18.710963915453977</v>
      </c>
      <c r="AE36" s="68">
        <v>16.502184555561865</v>
      </c>
      <c r="AF36" s="68">
        <v>2.0004292896311329</v>
      </c>
      <c r="AG36" s="68">
        <v>0.89188396264612924</v>
      </c>
      <c r="AH36" s="69">
        <v>194.37347275416059</v>
      </c>
      <c r="AI36" s="69">
        <v>572.66867373784396</v>
      </c>
      <c r="AJ36" s="69">
        <v>3005.2661435445152</v>
      </c>
      <c r="AK36" s="69">
        <v>712.00896275838215</v>
      </c>
      <c r="AL36" s="69">
        <v>2144.4692319234214</v>
      </c>
      <c r="AM36" s="69">
        <v>2409.3355055491129</v>
      </c>
      <c r="AN36" s="69">
        <v>383.76441993713382</v>
      </c>
      <c r="AO36" s="69">
        <v>2212.0814207712806</v>
      </c>
      <c r="AP36" s="69">
        <v>489.60329688390095</v>
      </c>
      <c r="AQ36" s="69">
        <v>692.57052300771079</v>
      </c>
    </row>
    <row r="37" spans="1:43" x14ac:dyDescent="0.25">
      <c r="A37" s="11">
        <v>41912</v>
      </c>
      <c r="B37" s="59"/>
      <c r="C37" s="60">
        <v>16.68486136992771</v>
      </c>
      <c r="D37" s="60">
        <v>230.09890141487097</v>
      </c>
      <c r="E37" s="60">
        <v>4.6290499468644475</v>
      </c>
      <c r="F37" s="60">
        <v>0</v>
      </c>
      <c r="G37" s="60">
        <v>812.21489518483452</v>
      </c>
      <c r="H37" s="61">
        <v>12.943366045753162</v>
      </c>
      <c r="I37" s="59">
        <v>474.453355630239</v>
      </c>
      <c r="J37" s="60">
        <v>1092.2702108383187</v>
      </c>
      <c r="K37" s="60">
        <v>55.6818379461766</v>
      </c>
      <c r="L37" s="60">
        <v>4.3619155883789142E-3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359.24675164914419</v>
      </c>
      <c r="V37" s="62">
        <v>35.196078669728898</v>
      </c>
      <c r="W37" s="62">
        <v>32.593442120338757</v>
      </c>
      <c r="X37" s="62">
        <v>3.1932407119022903</v>
      </c>
      <c r="Y37" s="66">
        <v>380.70013542440194</v>
      </c>
      <c r="Z37" s="66">
        <v>37.297906952433308</v>
      </c>
      <c r="AA37" s="67">
        <v>0</v>
      </c>
      <c r="AB37" s="68">
        <v>33.562706885072359</v>
      </c>
      <c r="AC37" s="69">
        <v>0</v>
      </c>
      <c r="AD37" s="69">
        <v>14.323198479414001</v>
      </c>
      <c r="AE37" s="68">
        <v>12.864526974205484</v>
      </c>
      <c r="AF37" s="68">
        <v>1.2603618581224931</v>
      </c>
      <c r="AG37" s="68">
        <v>0.91077013963905518</v>
      </c>
      <c r="AH37" s="69">
        <v>197.19712385336561</v>
      </c>
      <c r="AI37" s="69">
        <v>544.86833197275814</v>
      </c>
      <c r="AJ37" s="69">
        <v>2316.6108443578078</v>
      </c>
      <c r="AK37" s="69">
        <v>698.39529167811088</v>
      </c>
      <c r="AL37" s="69">
        <v>1997.8995169321697</v>
      </c>
      <c r="AM37" s="69">
        <v>2218.2791811625166</v>
      </c>
      <c r="AN37" s="69">
        <v>389.87759412129714</v>
      </c>
      <c r="AO37" s="69">
        <v>1923.3035690307618</v>
      </c>
      <c r="AP37" s="69">
        <v>474.27406593958545</v>
      </c>
      <c r="AQ37" s="69">
        <v>734.27333691914873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691.80252490838461</v>
      </c>
      <c r="D39" s="30">
        <f t="shared" si="0"/>
        <v>10745.48516473772</v>
      </c>
      <c r="E39" s="30">
        <f t="shared" si="0"/>
        <v>183.22088850736625</v>
      </c>
      <c r="F39" s="30">
        <f t="shared" si="0"/>
        <v>0</v>
      </c>
      <c r="G39" s="30">
        <f t="shared" si="0"/>
        <v>25246.45271879834</v>
      </c>
      <c r="H39" s="31">
        <f t="shared" si="0"/>
        <v>589.96225067377077</v>
      </c>
      <c r="I39" s="29">
        <f t="shared" si="0"/>
        <v>19371.365209833792</v>
      </c>
      <c r="J39" s="30">
        <f t="shared" si="0"/>
        <v>41805.410254796363</v>
      </c>
      <c r="K39" s="30">
        <f t="shared" si="0"/>
        <v>2129.5295289417127</v>
      </c>
      <c r="L39" s="30">
        <f t="shared" si="0"/>
        <v>6.9790649414062642E-2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12945.057254710135</v>
      </c>
      <c r="V39" s="264">
        <f t="shared" si="0"/>
        <v>1623.3815167284597</v>
      </c>
      <c r="W39" s="264">
        <f t="shared" si="0"/>
        <v>1216.2266377101262</v>
      </c>
      <c r="X39" s="264">
        <f t="shared" si="0"/>
        <v>152.1974503109931</v>
      </c>
      <c r="Y39" s="264">
        <f t="shared" si="0"/>
        <v>13402.270626295245</v>
      </c>
      <c r="Z39" s="264">
        <f t="shared" si="0"/>
        <v>1674.6172959679097</v>
      </c>
      <c r="AA39" s="272">
        <f t="shared" si="0"/>
        <v>0</v>
      </c>
      <c r="AB39" s="275">
        <f t="shared" si="0"/>
        <v>1152.0362210896283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I39" si="1">SUM(AH8:AH38)</f>
        <v>5761.2252155065544</v>
      </c>
      <c r="AI39" s="275">
        <f t="shared" si="1"/>
        <v>17463.68103516896</v>
      </c>
      <c r="AJ39" s="275">
        <f t="shared" ref="AJ39:AQ39" si="2">SUM(AJ8:AJ38)</f>
        <v>93395.48870016732</v>
      </c>
      <c r="AK39" s="275">
        <f t="shared" si="2"/>
        <v>20919.660377756758</v>
      </c>
      <c r="AL39" s="275">
        <f t="shared" si="2"/>
        <v>63527.792002042144</v>
      </c>
      <c r="AM39" s="275">
        <f t="shared" si="2"/>
        <v>86739.318641916921</v>
      </c>
      <c r="AN39" s="275">
        <f t="shared" si="2"/>
        <v>12982.650003496807</v>
      </c>
      <c r="AO39" s="275">
        <f t="shared" si="2"/>
        <v>64810.919141451508</v>
      </c>
      <c r="AP39" s="275">
        <f t="shared" si="2"/>
        <v>15251.999616654712</v>
      </c>
      <c r="AQ39" s="275">
        <f t="shared" si="2"/>
        <v>26403.371240615841</v>
      </c>
    </row>
    <row r="40" spans="1:43" ht="15.75" thickBot="1" x14ac:dyDescent="0.3">
      <c r="A40" s="47" t="s">
        <v>174</v>
      </c>
      <c r="B40" s="32">
        <f>Projection!$AC$30</f>
        <v>0.80583665399999982</v>
      </c>
      <c r="C40" s="33">
        <f>Projection!$AC$28</f>
        <v>1.0959093599999998</v>
      </c>
      <c r="D40" s="33">
        <f>Projection!$AC$31</f>
        <v>2.1834120000000001</v>
      </c>
      <c r="E40" s="33">
        <f>Projection!$AC$26</f>
        <v>4.3368000000000002</v>
      </c>
      <c r="F40" s="33">
        <f>Projection!$AC$23</f>
        <v>5.8379999999999994E-2</v>
      </c>
      <c r="G40" s="33">
        <f>Projection!$AC$24</f>
        <v>5.5119999999999995E-2</v>
      </c>
      <c r="H40" s="34">
        <f>Projection!$AC$29</f>
        <v>3.4361216999999997</v>
      </c>
      <c r="I40" s="32">
        <f>Projection!$AC$30</f>
        <v>0.80583665399999982</v>
      </c>
      <c r="J40" s="33">
        <f>Projection!$AC$28</f>
        <v>1.0959093599999998</v>
      </c>
      <c r="K40" s="33">
        <f>Projection!$AC$26</f>
        <v>4.3368000000000002</v>
      </c>
      <c r="L40" s="33">
        <f>Projection!$AC$25</f>
        <v>0</v>
      </c>
      <c r="M40" s="33">
        <f>Projection!$AC$23</f>
        <v>5.8379999999999994E-2</v>
      </c>
      <c r="N40" s="34">
        <f>Projection!$AC$23</f>
        <v>5.8379999999999994E-2</v>
      </c>
      <c r="O40" s="266">
        <v>15.77</v>
      </c>
      <c r="P40" s="267">
        <v>15.77</v>
      </c>
      <c r="Q40" s="267">
        <v>15.77</v>
      </c>
      <c r="R40" s="267">
        <v>15.77</v>
      </c>
      <c r="S40" s="267">
        <f>Projection!$AC$28</f>
        <v>1.0959093599999998</v>
      </c>
      <c r="T40" s="268">
        <f>Projection!$AC$28</f>
        <v>1.0959093599999998</v>
      </c>
      <c r="U40" s="266">
        <f>Projection!$AC$27</f>
        <v>0.21934999999999999</v>
      </c>
      <c r="V40" s="267">
        <f>Projection!$AC$27</f>
        <v>0.21934999999999999</v>
      </c>
      <c r="W40" s="267">
        <f>Projection!$AC$22</f>
        <v>1.1625000000000001</v>
      </c>
      <c r="X40" s="267">
        <f>Projection!$AC$22</f>
        <v>1.1625000000000001</v>
      </c>
      <c r="Y40" s="267">
        <f>Projection!$AC$31</f>
        <v>2.1834120000000001</v>
      </c>
      <c r="Z40" s="267">
        <f>Projection!$AC$31</f>
        <v>2.1834120000000001</v>
      </c>
      <c r="AA40" s="273">
        <v>0</v>
      </c>
      <c r="AB40" s="276">
        <f>Projection!$AC$27</f>
        <v>0.21934999999999999</v>
      </c>
      <c r="AC40" s="276">
        <f>Projection!$AC$30</f>
        <v>0.80583665399999982</v>
      </c>
      <c r="AD40" s="279">
        <f>SUM(AD8:AD38)</f>
        <v>532.85301637450846</v>
      </c>
      <c r="AE40" s="279">
        <f>SUM(AE8:AE38)</f>
        <v>465.96830240367603</v>
      </c>
      <c r="AF40" s="279">
        <f>SUM(AF8:AF38)</f>
        <v>58.198589620806771</v>
      </c>
      <c r="AG40" s="279">
        <f>IF(SUM(AE40:AF40)&gt;0, AE40/(AE40+AF40), "")</f>
        <v>0.88896935211602723</v>
      </c>
      <c r="AH40" s="315">
        <v>7.8E-2</v>
      </c>
      <c r="AI40" s="315">
        <f t="shared" ref="AI40:AQ40" si="3">$AH$40</f>
        <v>7.8E-2</v>
      </c>
      <c r="AJ40" s="315">
        <f t="shared" si="3"/>
        <v>7.8E-2</v>
      </c>
      <c r="AK40" s="315">
        <f t="shared" si="3"/>
        <v>7.8E-2</v>
      </c>
      <c r="AL40" s="315">
        <f t="shared" si="3"/>
        <v>7.8E-2</v>
      </c>
      <c r="AM40" s="315">
        <f t="shared" si="3"/>
        <v>7.8E-2</v>
      </c>
      <c r="AN40" s="315">
        <f t="shared" si="3"/>
        <v>7.8E-2</v>
      </c>
      <c r="AO40" s="315">
        <f t="shared" si="3"/>
        <v>7.8E-2</v>
      </c>
      <c r="AP40" s="315">
        <f t="shared" si="3"/>
        <v>7.8E-2</v>
      </c>
      <c r="AQ40" s="315">
        <f t="shared" si="3"/>
        <v>7.8E-2</v>
      </c>
    </row>
    <row r="41" spans="1:43" ht="16.5" thickTop="1" thickBot="1" x14ac:dyDescent="0.3">
      <c r="A41" s="48" t="s">
        <v>26</v>
      </c>
      <c r="B41" s="35">
        <f t="shared" ref="B41:AC41" si="4">B40*B39</f>
        <v>0</v>
      </c>
      <c r="C41" s="36">
        <f t="shared" si="4"/>
        <v>758.15286231873176</v>
      </c>
      <c r="D41" s="36">
        <f t="shared" si="4"/>
        <v>23461.821254510316</v>
      </c>
      <c r="E41" s="36">
        <f t="shared" si="4"/>
        <v>794.59234927874604</v>
      </c>
      <c r="F41" s="36">
        <f t="shared" si="4"/>
        <v>0</v>
      </c>
      <c r="G41" s="36">
        <f t="shared" si="4"/>
        <v>1391.5844738601645</v>
      </c>
      <c r="H41" s="37">
        <f t="shared" si="4"/>
        <v>2027.1820917209832</v>
      </c>
      <c r="I41" s="35">
        <f t="shared" si="4"/>
        <v>15610.156124104467</v>
      </c>
      <c r="J41" s="36">
        <f t="shared" si="4"/>
        <v>45814.940396871309</v>
      </c>
      <c r="K41" s="36">
        <f t="shared" si="4"/>
        <v>9235.3436611144207</v>
      </c>
      <c r="L41" s="36">
        <f t="shared" si="4"/>
        <v>0</v>
      </c>
      <c r="M41" s="36">
        <f t="shared" si="4"/>
        <v>0</v>
      </c>
      <c r="N41" s="37">
        <f t="shared" si="4"/>
        <v>0</v>
      </c>
      <c r="O41" s="269">
        <f t="shared" si="4"/>
        <v>0</v>
      </c>
      <c r="P41" s="270">
        <f t="shared" si="4"/>
        <v>0</v>
      </c>
      <c r="Q41" s="270">
        <f t="shared" si="4"/>
        <v>0</v>
      </c>
      <c r="R41" s="270">
        <f t="shared" si="4"/>
        <v>0</v>
      </c>
      <c r="S41" s="270">
        <f t="shared" si="4"/>
        <v>0</v>
      </c>
      <c r="T41" s="271">
        <f t="shared" si="4"/>
        <v>0</v>
      </c>
      <c r="U41" s="269">
        <f t="shared" si="4"/>
        <v>2839.4983088206677</v>
      </c>
      <c r="V41" s="270">
        <f t="shared" si="4"/>
        <v>356.08873569438759</v>
      </c>
      <c r="W41" s="270">
        <f t="shared" si="4"/>
        <v>1413.8634663380217</v>
      </c>
      <c r="X41" s="270">
        <f t="shared" si="4"/>
        <v>176.92953598652949</v>
      </c>
      <c r="Y41" s="270">
        <f t="shared" si="4"/>
        <v>29262.678512700557</v>
      </c>
      <c r="Z41" s="270">
        <f t="shared" si="4"/>
        <v>3656.379499423886</v>
      </c>
      <c r="AA41" s="274">
        <f t="shared" si="4"/>
        <v>0</v>
      </c>
      <c r="AB41" s="277">
        <f t="shared" si="4"/>
        <v>252.69914509600994</v>
      </c>
      <c r="AC41" s="277">
        <f t="shared" si="4"/>
        <v>0</v>
      </c>
      <c r="AH41" s="280">
        <f t="shared" ref="AH41:AI41" si="5">AH40*AH39</f>
        <v>449.37556680951121</v>
      </c>
      <c r="AI41" s="280">
        <f t="shared" si="5"/>
        <v>1362.1671207431789</v>
      </c>
      <c r="AJ41" s="280">
        <f t="shared" ref="AJ41:AQ41" si="6">AJ40*AJ39</f>
        <v>7284.8481186130512</v>
      </c>
      <c r="AK41" s="280">
        <f t="shared" si="6"/>
        <v>1631.7335094650271</v>
      </c>
      <c r="AL41" s="280">
        <f t="shared" si="6"/>
        <v>4955.1677761592873</v>
      </c>
      <c r="AM41" s="280">
        <f t="shared" si="6"/>
        <v>6765.66685406952</v>
      </c>
      <c r="AN41" s="280">
        <f t="shared" si="6"/>
        <v>1012.6467002727509</v>
      </c>
      <c r="AO41" s="280">
        <f t="shared" si="6"/>
        <v>5055.2516930332176</v>
      </c>
      <c r="AP41" s="280">
        <f t="shared" si="6"/>
        <v>1189.6559700990674</v>
      </c>
      <c r="AQ41" s="280">
        <f t="shared" si="6"/>
        <v>2059.4629567680354</v>
      </c>
    </row>
    <row r="42" spans="1:43" ht="49.5" customHeight="1" thickTop="1" thickBot="1" x14ac:dyDescent="0.3">
      <c r="A42" s="564" t="s">
        <v>213</v>
      </c>
      <c r="B42" s="565"/>
      <c r="C42" s="565"/>
      <c r="D42" s="565"/>
      <c r="E42" s="565"/>
      <c r="F42" s="565"/>
      <c r="G42" s="565"/>
      <c r="H42" s="565"/>
      <c r="I42" s="565"/>
      <c r="J42" s="565"/>
      <c r="K42" s="54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426.21</v>
      </c>
      <c r="AI42" s="280" t="s">
        <v>199</v>
      </c>
      <c r="AJ42" s="280">
        <v>844.36</v>
      </c>
      <c r="AK42" s="280">
        <v>94.24</v>
      </c>
      <c r="AL42" s="280">
        <v>534.21</v>
      </c>
      <c r="AM42" s="280">
        <v>1220.58</v>
      </c>
      <c r="AN42" s="280">
        <v>198.39</v>
      </c>
      <c r="AO42" s="280" t="s">
        <v>199</v>
      </c>
      <c r="AP42" s="280">
        <v>35.39</v>
      </c>
      <c r="AQ42" s="280">
        <v>275.37</v>
      </c>
    </row>
    <row r="43" spans="1:43" ht="38.25" customHeight="1" thickTop="1" thickBot="1" x14ac:dyDescent="0.3">
      <c r="A43" s="552" t="s">
        <v>49</v>
      </c>
      <c r="B43" s="548"/>
      <c r="C43" s="291"/>
      <c r="D43" s="548" t="s">
        <v>47</v>
      </c>
      <c r="E43" s="548"/>
      <c r="F43" s="291"/>
      <c r="G43" s="548" t="s">
        <v>48</v>
      </c>
      <c r="H43" s="548"/>
      <c r="I43" s="292"/>
      <c r="J43" s="548" t="s">
        <v>50</v>
      </c>
      <c r="K43" s="549"/>
      <c r="L43" s="44"/>
      <c r="M43" s="44"/>
      <c r="N43" s="44"/>
      <c r="O43" s="45"/>
      <c r="P43" s="45"/>
      <c r="Q43" s="45"/>
      <c r="R43" s="558" t="s">
        <v>168</v>
      </c>
      <c r="S43" s="559"/>
      <c r="T43" s="559"/>
      <c r="U43" s="560"/>
      <c r="AC43" s="45"/>
    </row>
    <row r="44" spans="1:43" ht="61.5" customHeight="1" thickTop="1" thickBot="1" x14ac:dyDescent="0.3">
      <c r="A44" s="284" t="s">
        <v>135</v>
      </c>
      <c r="B44" s="285">
        <f>SUM(B41:AC41)</f>
        <v>137051.91041783922</v>
      </c>
      <c r="C44" s="12"/>
      <c r="D44" s="284" t="s">
        <v>135</v>
      </c>
      <c r="E44" s="285">
        <f>SUM(B41:H41)+P41+R41+T41+V41+X41+Z41</f>
        <v>32622.730802793747</v>
      </c>
      <c r="F44" s="12"/>
      <c r="G44" s="284" t="s">
        <v>135</v>
      </c>
      <c r="H44" s="285">
        <f>SUM(I41:N41)+O41+Q41+S41+U41+W41+Y41</f>
        <v>104176.48046994944</v>
      </c>
      <c r="I44" s="12"/>
      <c r="J44" s="284" t="s">
        <v>200</v>
      </c>
      <c r="K44" s="285">
        <v>94886.65</v>
      </c>
      <c r="L44" s="12"/>
      <c r="M44" s="12"/>
      <c r="N44" s="12"/>
      <c r="O44" s="12"/>
      <c r="P44" s="12"/>
      <c r="Q44" s="12"/>
      <c r="R44" s="303" t="s">
        <v>135</v>
      </c>
      <c r="S44" s="304"/>
      <c r="T44" s="299" t="s">
        <v>169</v>
      </c>
      <c r="U44" s="257" t="s">
        <v>170</v>
      </c>
    </row>
    <row r="45" spans="1:43" ht="60" customHeight="1" thickBot="1" x14ac:dyDescent="0.4">
      <c r="A45" s="286" t="s">
        <v>185</v>
      </c>
      <c r="B45" s="287">
        <f>SUM(AH41:AQ41)</f>
        <v>31765.976266032649</v>
      </c>
      <c r="C45" s="12"/>
      <c r="D45" s="286" t="s">
        <v>185</v>
      </c>
      <c r="E45" s="287">
        <f>AH41*(1-$AG$40)+AI41+AJ41*0.5+AL41+AM41*(1-$AG$40)+AN41*(1-$AG$40)+AO41*(1-$AG$40)+AP41*0.5+AQ41*0.5</f>
        <v>13059.131944045968</v>
      </c>
      <c r="F45" s="24"/>
      <c r="G45" s="286" t="s">
        <v>185</v>
      </c>
      <c r="H45" s="287">
        <f>AH41*AG40+AJ41*0.5+AK41+AM41*AG40+AN41*AG40+AO41*AG40+AP41*0.5+AQ41*0.5</f>
        <v>18706.844321986682</v>
      </c>
      <c r="I45" s="12"/>
      <c r="J45" s="12"/>
      <c r="K45" s="290"/>
      <c r="L45" s="12"/>
      <c r="M45" s="12"/>
      <c r="N45" s="12"/>
      <c r="O45" s="12"/>
      <c r="P45" s="12"/>
      <c r="Q45" s="12"/>
      <c r="R45" s="301" t="s">
        <v>141</v>
      </c>
      <c r="S45" s="302"/>
      <c r="T45" s="256">
        <f>$W$39+$X$39</f>
        <v>1368.4240880211194</v>
      </c>
      <c r="U45" s="258">
        <f>(T45*8.34*0.895)/27000</f>
        <v>0.378308441489483</v>
      </c>
    </row>
    <row r="46" spans="1:43" ht="32.25" thickBot="1" x14ac:dyDescent="0.3">
      <c r="A46" s="288" t="s">
        <v>186</v>
      </c>
      <c r="B46" s="289">
        <f>SUM(AH42:AQ42)</f>
        <v>3628.7499999999995</v>
      </c>
      <c r="C46" s="12"/>
      <c r="D46" s="288" t="s">
        <v>186</v>
      </c>
      <c r="E46" s="289">
        <f>AH42*(1-$AG$40)+AJ42*0.5+AL42+AM42*(1-$AG$40)+AN42*(1-$AG$40)+AP42*0.5+AQ42*0.5</f>
        <v>1316.6415308625487</v>
      </c>
      <c r="F46" s="23"/>
      <c r="G46" s="288" t="s">
        <v>186</v>
      </c>
      <c r="H46" s="289">
        <f>AH42*AG40+AJ42*0.5+AK42+AM42*AG40+AN42*AG40+AP42*0.5+AQ42*0.5</f>
        <v>2312.1084691374513</v>
      </c>
      <c r="I46" s="12"/>
      <c r="J46" s="550" t="s">
        <v>201</v>
      </c>
      <c r="K46" s="551"/>
      <c r="L46" s="12"/>
      <c r="M46" s="12"/>
      <c r="N46" s="12"/>
      <c r="O46" s="12"/>
      <c r="P46" s="12"/>
      <c r="Q46" s="12"/>
      <c r="R46" s="301" t="s">
        <v>145</v>
      </c>
      <c r="S46" s="302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94886.65</v>
      </c>
      <c r="C47" s="12"/>
      <c r="D47" s="288" t="s">
        <v>189</v>
      </c>
      <c r="E47" s="289">
        <f>K44*0.5</f>
        <v>47443.324999999997</v>
      </c>
      <c r="F47" s="24"/>
      <c r="G47" s="288" t="s">
        <v>187</v>
      </c>
      <c r="H47" s="289">
        <f>K44*0.5</f>
        <v>47443.324999999997</v>
      </c>
      <c r="I47" s="12"/>
      <c r="J47" s="284" t="s">
        <v>200</v>
      </c>
      <c r="K47" s="285">
        <v>92712.07</v>
      </c>
      <c r="L47" s="12"/>
      <c r="M47" s="12"/>
      <c r="N47" s="12"/>
      <c r="O47" s="12"/>
      <c r="P47" s="12"/>
      <c r="Q47" s="12"/>
      <c r="R47" s="301" t="s">
        <v>148</v>
      </c>
      <c r="S47" s="302"/>
      <c r="T47" s="256">
        <f>$G$39</f>
        <v>25246.45271879834</v>
      </c>
      <c r="U47" s="258">
        <f>T47/40000</f>
        <v>0.63116131796995856</v>
      </c>
    </row>
    <row r="48" spans="1:43" ht="24" thickBot="1" x14ac:dyDescent="0.3">
      <c r="A48" s="288" t="s">
        <v>188</v>
      </c>
      <c r="B48" s="289">
        <f>K47</f>
        <v>92712.07</v>
      </c>
      <c r="C48" s="12"/>
      <c r="D48" s="288" t="s">
        <v>188</v>
      </c>
      <c r="E48" s="289">
        <f>K47*0.5</f>
        <v>46356.035000000003</v>
      </c>
      <c r="F48" s="23"/>
      <c r="G48" s="288" t="s">
        <v>188</v>
      </c>
      <c r="H48" s="289">
        <f>K47*0.5</f>
        <v>46356.035000000003</v>
      </c>
      <c r="I48" s="12"/>
      <c r="J48" s="12"/>
      <c r="K48" s="86"/>
      <c r="L48" s="12"/>
      <c r="M48" s="12"/>
      <c r="N48" s="12"/>
      <c r="O48" s="12"/>
      <c r="P48" s="12"/>
      <c r="Q48" s="12"/>
      <c r="R48" s="301" t="s">
        <v>150</v>
      </c>
      <c r="S48" s="302"/>
      <c r="T48" s="256">
        <f>$L$39</f>
        <v>6.9790649414062642E-2</v>
      </c>
      <c r="U48" s="258">
        <f>T48*9.34*0.107</f>
        <v>6.9747379211425931E-2</v>
      </c>
    </row>
    <row r="49" spans="1:21" ht="46.5" customHeight="1" thickTop="1" thickBot="1" x14ac:dyDescent="0.3">
      <c r="A49" s="293" t="s">
        <v>196</v>
      </c>
      <c r="B49" s="294">
        <f>AD40</f>
        <v>532.85301637450846</v>
      </c>
      <c r="C49" s="12"/>
      <c r="D49" s="293" t="s">
        <v>197</v>
      </c>
      <c r="E49" s="294">
        <f>AF40</f>
        <v>58.198589620806771</v>
      </c>
      <c r="F49" s="23"/>
      <c r="G49" s="293" t="s">
        <v>198</v>
      </c>
      <c r="H49" s="294">
        <f>AE40</f>
        <v>465.96830240367603</v>
      </c>
      <c r="I49" s="12"/>
      <c r="J49" s="12"/>
      <c r="K49" s="86"/>
      <c r="L49" s="12"/>
      <c r="M49" s="12"/>
      <c r="N49" s="12"/>
      <c r="O49" s="12"/>
      <c r="P49" s="12"/>
      <c r="Q49" s="12"/>
      <c r="R49" s="301" t="s">
        <v>152</v>
      </c>
      <c r="S49" s="302"/>
      <c r="T49" s="256">
        <f>$E$39+$K$39</f>
        <v>2312.7504174490791</v>
      </c>
      <c r="U49" s="258">
        <f>(T49*8.34*1.04)/45000</f>
        <v>0.44577493379525185</v>
      </c>
    </row>
    <row r="50" spans="1:21" ht="48" customHeight="1" thickTop="1" thickBot="1" x14ac:dyDescent="0.3">
      <c r="A50" s="293" t="s">
        <v>192</v>
      </c>
      <c r="B50" s="295">
        <f>(SUM(B44:B48)/AD40)</f>
        <v>675.69356955806165</v>
      </c>
      <c r="C50" s="12"/>
      <c r="D50" s="293" t="s">
        <v>190</v>
      </c>
      <c r="E50" s="295">
        <f>SUM(E44:E48)/AF40</f>
        <v>2419.2659168387331</v>
      </c>
      <c r="F50" s="23"/>
      <c r="G50" s="293" t="s">
        <v>191</v>
      </c>
      <c r="H50" s="295">
        <f>SUM(H44:H48)/AE40</f>
        <v>469.97787645940508</v>
      </c>
      <c r="I50" s="12"/>
      <c r="J50" s="12"/>
      <c r="K50" s="86"/>
      <c r="L50" s="12"/>
      <c r="M50" s="12"/>
      <c r="N50" s="12"/>
      <c r="O50" s="12"/>
      <c r="P50" s="12"/>
      <c r="Q50" s="12"/>
      <c r="R50" s="301" t="s">
        <v>153</v>
      </c>
      <c r="S50" s="302"/>
      <c r="T50" s="256">
        <f>$U$39+$V$39+$AB$39</f>
        <v>15720.474992528223</v>
      </c>
      <c r="U50" s="258">
        <f>T50/2000/8</f>
        <v>0.98252968703301391</v>
      </c>
    </row>
    <row r="51" spans="1:21" ht="48" customHeight="1" thickTop="1" thickBot="1" x14ac:dyDescent="0.3">
      <c r="A51" s="283" t="s">
        <v>193</v>
      </c>
      <c r="B51" s="296">
        <f>B50/1000</f>
        <v>0.6756935695580617</v>
      </c>
      <c r="C51" s="12"/>
      <c r="D51" s="283" t="s">
        <v>194</v>
      </c>
      <c r="E51" s="296">
        <f>E50/1000</f>
        <v>2.4192659168387332</v>
      </c>
      <c r="F51" s="12"/>
      <c r="G51" s="283" t="s">
        <v>195</v>
      </c>
      <c r="H51" s="296">
        <f>H50/1000</f>
        <v>0.46997787645940509</v>
      </c>
      <c r="I51" s="12"/>
      <c r="J51" s="12"/>
      <c r="K51" s="86"/>
      <c r="L51" s="12"/>
      <c r="M51" s="12"/>
      <c r="N51" s="12"/>
      <c r="O51" s="12"/>
      <c r="P51" s="12"/>
      <c r="Q51" s="12"/>
      <c r="R51" s="301" t="s">
        <v>154</v>
      </c>
      <c r="S51" s="302"/>
      <c r="T51" s="256">
        <f>$C$39+$J$39+$S$39+$T$39</f>
        <v>42497.212779704751</v>
      </c>
      <c r="U51" s="258">
        <f>(T51*8.34*1.4)/45000</f>
        <v>11.026610142574059</v>
      </c>
    </row>
    <row r="52" spans="1:21" ht="48" customHeight="1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1" t="s">
        <v>155</v>
      </c>
      <c r="S52" s="302"/>
      <c r="T52" s="256">
        <f>$H$39</f>
        <v>589.96225067377077</v>
      </c>
      <c r="U52" s="258">
        <f>(T52*8.34*1.135)/45000</f>
        <v>0.12410052597006324</v>
      </c>
    </row>
    <row r="53" spans="1:21" ht="47.25" customHeight="1" thickTop="1" thickBot="1" x14ac:dyDescent="0.3">
      <c r="A53" s="561" t="s">
        <v>51</v>
      </c>
      <c r="B53" s="562"/>
      <c r="C53" s="562"/>
      <c r="D53" s="562"/>
      <c r="E53" s="563"/>
      <c r="F53" s="12"/>
      <c r="G53" s="12"/>
      <c r="H53" s="373">
        <f>H44/H49</f>
        <v>223.5698864763115</v>
      </c>
      <c r="I53" s="12">
        <f>E44/E49</f>
        <v>560.54160445033676</v>
      </c>
      <c r="J53" s="12"/>
      <c r="K53" s="86"/>
      <c r="L53" s="12"/>
      <c r="M53" s="12"/>
      <c r="N53" s="12"/>
      <c r="O53" s="12"/>
      <c r="P53" s="12"/>
      <c r="Q53" s="12"/>
      <c r="R53" s="301" t="s">
        <v>156</v>
      </c>
      <c r="S53" s="302"/>
      <c r="T53" s="256">
        <f>$B$39+$I$39+$AC$39</f>
        <v>19371.365209833792</v>
      </c>
      <c r="U53" s="258">
        <f>(T53*8.34*1.029*0.03)/3300</f>
        <v>1.5112940385424023</v>
      </c>
    </row>
    <row r="54" spans="1:21" ht="78.75" customHeight="1" thickBot="1" x14ac:dyDescent="0.3">
      <c r="A54" s="545" t="s">
        <v>202</v>
      </c>
      <c r="B54" s="546"/>
      <c r="C54" s="546"/>
      <c r="D54" s="546"/>
      <c r="E54" s="54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5" t="s">
        <v>158</v>
      </c>
      <c r="S54" s="556"/>
      <c r="T54" s="260">
        <f>$D$39+$Y$39+$Z$39</f>
        <v>25822.373087000873</v>
      </c>
      <c r="U54" s="261">
        <f>(T54*1.54*8.34)/45000</f>
        <v>7.370049577337876</v>
      </c>
    </row>
    <row r="55" spans="1:21" ht="71.25" customHeight="1" thickTop="1" x14ac:dyDescent="0.25">
      <c r="A55" s="306"/>
      <c r="B55" s="306"/>
      <c r="C55" s="306"/>
      <c r="D55" s="306"/>
      <c r="E55" s="306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21" ht="94.5" customHeight="1" x14ac:dyDescent="0.25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46.5" customHeight="1" x14ac:dyDescent="0.25">
      <c r="A57" s="595"/>
      <c r="B57" s="596"/>
      <c r="C57" s="596"/>
      <c r="D57" s="596"/>
      <c r="E57" s="596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18.75" x14ac:dyDescent="0.25">
      <c r="A58" s="595"/>
      <c r="B58" s="596"/>
      <c r="C58" s="596"/>
      <c r="D58" s="596"/>
      <c r="E58" s="596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ht="15" customHeight="1" x14ac:dyDescent="0.25">
      <c r="A59" s="281"/>
      <c r="B59" s="28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 x14ac:dyDescent="0.25">
      <c r="A60" s="282"/>
      <c r="B60" s="28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ht="15" customHeight="1" x14ac:dyDescent="0.25">
      <c r="A61" s="281"/>
      <c r="B61" s="28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21" x14ac:dyDescent="0.25">
      <c r="A62" s="282"/>
      <c r="B62" s="282"/>
      <c r="C62" s="12"/>
      <c r="D62" s="12"/>
      <c r="E62" s="12"/>
      <c r="F62" s="12"/>
      <c r="G62" s="12"/>
      <c r="H62" s="12"/>
      <c r="I62" s="12"/>
      <c r="J62" s="12"/>
      <c r="K62" s="12"/>
    </row>
    <row r="63" spans="1:21" x14ac:dyDescent="0.25">
      <c r="A63" s="12"/>
      <c r="B63" s="12"/>
      <c r="C63" s="12"/>
      <c r="D63" s="12"/>
      <c r="E63" s="12"/>
      <c r="F63" s="12"/>
      <c r="G63" s="12"/>
    </row>
    <row r="64" spans="1:21" x14ac:dyDescent="0.25">
      <c r="A64" s="12"/>
      <c r="B64" s="12"/>
      <c r="C64" s="12"/>
      <c r="D64" s="12"/>
      <c r="E64" s="12"/>
      <c r="F64" s="12"/>
      <c r="G64" s="12"/>
    </row>
    <row r="65" spans="1:25" x14ac:dyDescent="0.25">
      <c r="A65" s="12"/>
      <c r="B65" s="12"/>
      <c r="C65" s="12"/>
      <c r="D65" s="12"/>
      <c r="E65" s="12"/>
      <c r="F65" s="12"/>
      <c r="G65" s="12"/>
    </row>
    <row r="67" spans="1:25" x14ac:dyDescent="0.25">
      <c r="A67" s="45"/>
      <c r="B67" s="45"/>
      <c r="C67" s="45"/>
      <c r="D67" s="45"/>
      <c r="E67" s="45"/>
      <c r="F67" s="45"/>
      <c r="G67" s="45"/>
      <c r="H67" s="45"/>
    </row>
    <row r="68" spans="1:25" x14ac:dyDescent="0.25">
      <c r="A68" s="12"/>
      <c r="B68" s="12"/>
      <c r="S68" s="12"/>
      <c r="T68" s="12"/>
      <c r="U68" s="12"/>
      <c r="V68" s="12"/>
      <c r="W68" s="12"/>
      <c r="X68" s="12"/>
      <c r="Y68" s="12"/>
    </row>
    <row r="69" spans="1:25" x14ac:dyDescent="0.25">
      <c r="A69" s="12"/>
      <c r="B69" s="12"/>
      <c r="S69" s="12"/>
      <c r="T69" s="12"/>
      <c r="U69" s="12"/>
      <c r="V69" s="12"/>
      <c r="W69" s="12"/>
      <c r="X69" s="12"/>
      <c r="Y69" s="12"/>
    </row>
    <row r="70" spans="1:25" ht="93" customHeight="1" x14ac:dyDescent="0.25">
      <c r="A70" s="12"/>
      <c r="B70" s="12"/>
      <c r="S70" s="12"/>
      <c r="T70" s="12"/>
      <c r="U70" s="12"/>
      <c r="V70" s="12"/>
      <c r="W70" s="12"/>
      <c r="X70" s="12"/>
      <c r="Y70" s="12"/>
    </row>
    <row r="71" spans="1:25" ht="75" customHeight="1" x14ac:dyDescent="0.25">
      <c r="A71" s="12"/>
      <c r="B71" s="12"/>
    </row>
    <row r="72" spans="1:25" ht="51.75" customHeight="1" x14ac:dyDescent="0.25">
      <c r="A72" s="12"/>
      <c r="B72" s="12"/>
    </row>
    <row r="73" spans="1:25" x14ac:dyDescent="0.25">
      <c r="A73" s="12"/>
      <c r="B73" s="12"/>
      <c r="C73" s="12"/>
      <c r="D73" s="12"/>
    </row>
    <row r="74" spans="1:25" x14ac:dyDescent="0.25">
      <c r="A74" s="12"/>
      <c r="B74" s="12"/>
      <c r="C74" s="12"/>
      <c r="D74" s="12"/>
      <c r="E74" s="12"/>
    </row>
    <row r="75" spans="1:25" x14ac:dyDescent="0.25">
      <c r="A75" s="12"/>
      <c r="B75" s="12"/>
      <c r="C75" s="12"/>
      <c r="D75" s="12"/>
      <c r="E75" s="12"/>
    </row>
  </sheetData>
  <sheetProtection algorithmName="SHA-512" hashValue="n2Ln/+OnIK0dl/dBJSqrO8GuYHlnwrp7XkY8SgNMn+v45g5y58TyEw7mAXgEg3jMC74GxDBcksRuUk+0tFwOJg==" saltValue="68IQts6Kvfvo16XbnoxmtQ==" spinCount="100000" sheet="1" objects="1" scenarios="1" selectLockedCells="1" selectUnlockedCells="1"/>
  <mergeCells count="32">
    <mergeCell ref="R54:S54"/>
    <mergeCell ref="A54:E54"/>
    <mergeCell ref="A57:E57"/>
    <mergeCell ref="A58:E58"/>
    <mergeCell ref="J46:K46"/>
    <mergeCell ref="A53:E53"/>
    <mergeCell ref="B4:H5"/>
    <mergeCell ref="I4:N5"/>
    <mergeCell ref="J43:K43"/>
    <mergeCell ref="A42:K42"/>
    <mergeCell ref="AD4:AD5"/>
    <mergeCell ref="R43:U43"/>
    <mergeCell ref="A43:B43"/>
    <mergeCell ref="D43:E43"/>
    <mergeCell ref="G43:H43"/>
    <mergeCell ref="AE4:AE5"/>
    <mergeCell ref="AF4:AF5"/>
    <mergeCell ref="AG4:AG5"/>
    <mergeCell ref="O4:T5"/>
    <mergeCell ref="U4:AA5"/>
    <mergeCell ref="AB4:AB5"/>
    <mergeCell ref="AC4:AC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</mergeCells>
  <printOptions horizontalCentered="1"/>
  <pageMargins left="0.33" right="0.19" top="0.75" bottom="0.75" header="0.3" footer="0.3"/>
  <pageSetup paperSize="17" scale="68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6"/>
  <sheetViews>
    <sheetView topLeftCell="AH1" zoomScale="60" zoomScaleNormal="60" workbookViewId="0">
      <selection activeCell="AH39" sqref="AH39:AQ39"/>
    </sheetView>
  </sheetViews>
  <sheetFormatPr defaultRowHeight="15" x14ac:dyDescent="0.25"/>
  <cols>
    <col min="1" max="1" width="26.2851562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374"/>
      <c r="O2" s="4"/>
      <c r="P2" s="4"/>
      <c r="Q2" s="4"/>
      <c r="R2" s="4"/>
    </row>
    <row r="3" spans="1:53" ht="15.75" thickBot="1" x14ac:dyDescent="0.3">
      <c r="A3" s="6"/>
      <c r="AZ3" t="s">
        <v>171</v>
      </c>
      <c r="BA3" s="262" t="s">
        <v>208</v>
      </c>
    </row>
    <row r="4" spans="1:53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</row>
    <row r="5" spans="1:53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375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375" t="s">
        <v>19</v>
      </c>
      <c r="N6" s="376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375" t="s">
        <v>39</v>
      </c>
      <c r="T6" s="377" t="s">
        <v>40</v>
      </c>
      <c r="U6" s="17" t="s">
        <v>41</v>
      </c>
      <c r="V6" s="8" t="s">
        <v>42</v>
      </c>
      <c r="W6" s="8" t="s">
        <v>43</v>
      </c>
      <c r="X6" s="378" t="s">
        <v>44</v>
      </c>
      <c r="Y6" s="8" t="s">
        <v>45</v>
      </c>
      <c r="Z6" s="8" t="s">
        <v>46</v>
      </c>
      <c r="AA6" s="18" t="s">
        <v>20</v>
      </c>
      <c r="AB6" s="379" t="s">
        <v>21</v>
      </c>
      <c r="AC6" s="380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3" x14ac:dyDescent="0.25">
      <c r="A8" s="11">
        <v>41913</v>
      </c>
      <c r="B8" s="49"/>
      <c r="C8" s="50">
        <v>0.93717916607856744</v>
      </c>
      <c r="D8" s="50">
        <v>11.734325693051023</v>
      </c>
      <c r="E8" s="50">
        <v>1.3968030412991841</v>
      </c>
      <c r="F8" s="50">
        <v>0</v>
      </c>
      <c r="G8" s="50">
        <v>0</v>
      </c>
      <c r="H8" s="51">
        <v>0</v>
      </c>
      <c r="I8" s="49">
        <v>475.15574887593505</v>
      </c>
      <c r="J8" s="50">
        <v>1049.949902979535</v>
      </c>
      <c r="K8" s="50">
        <v>55.396615684032646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375.32180557250854</v>
      </c>
      <c r="V8" s="54">
        <v>0</v>
      </c>
      <c r="W8" s="54">
        <v>34.840617386500107</v>
      </c>
      <c r="X8" s="54">
        <v>0</v>
      </c>
      <c r="Y8" s="54">
        <v>361.02466077804598</v>
      </c>
      <c r="Z8" s="54">
        <v>0</v>
      </c>
      <c r="AA8" s="55">
        <v>0</v>
      </c>
      <c r="AB8" s="56">
        <v>31.812932905885614</v>
      </c>
      <c r="AC8" s="57">
        <v>0</v>
      </c>
      <c r="AD8" s="57">
        <v>13.169533793131496</v>
      </c>
      <c r="AE8" s="58">
        <v>12.999669404557929</v>
      </c>
      <c r="AF8" s="58">
        <v>0</v>
      </c>
      <c r="AG8" s="58">
        <v>1</v>
      </c>
      <c r="AH8" s="57">
        <v>186.75204945405321</v>
      </c>
      <c r="AI8" s="57">
        <v>461.57453552881879</v>
      </c>
      <c r="AJ8" s="57">
        <v>1130.6782397588092</v>
      </c>
      <c r="AK8" s="57">
        <v>696.41874132156374</v>
      </c>
      <c r="AL8" s="57">
        <v>1433.3622152964272</v>
      </c>
      <c r="AM8" s="57">
        <v>2156.2626594543458</v>
      </c>
      <c r="AN8" s="57">
        <v>400.95167915026343</v>
      </c>
      <c r="AO8" s="57">
        <v>1706.1877787272133</v>
      </c>
      <c r="AP8" s="57">
        <v>483.98027343750005</v>
      </c>
      <c r="AQ8" s="57">
        <v>724.54774716695135</v>
      </c>
    </row>
    <row r="9" spans="1:53" x14ac:dyDescent="0.25">
      <c r="A9" s="11">
        <v>41914</v>
      </c>
      <c r="B9" s="59"/>
      <c r="C9" s="60">
        <v>0</v>
      </c>
      <c r="D9" s="60">
        <v>0</v>
      </c>
      <c r="E9" s="60">
        <v>1.3706293975313506</v>
      </c>
      <c r="F9" s="60">
        <v>0</v>
      </c>
      <c r="G9" s="60">
        <v>0</v>
      </c>
      <c r="H9" s="61">
        <v>0</v>
      </c>
      <c r="I9" s="59">
        <v>483.59502439498885</v>
      </c>
      <c r="J9" s="60">
        <v>1017.0966710408533</v>
      </c>
      <c r="K9" s="60">
        <v>53.457375741005073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374.78837519751073</v>
      </c>
      <c r="V9" s="62">
        <v>0</v>
      </c>
      <c r="W9" s="62">
        <v>34.874855931599946</v>
      </c>
      <c r="X9" s="62">
        <v>0</v>
      </c>
      <c r="Y9" s="66">
        <v>332.70904633204179</v>
      </c>
      <c r="Z9" s="66">
        <v>0</v>
      </c>
      <c r="AA9" s="67">
        <v>0</v>
      </c>
      <c r="AB9" s="68">
        <v>31.873269220193098</v>
      </c>
      <c r="AC9" s="69">
        <v>0</v>
      </c>
      <c r="AD9" s="69">
        <v>13.165010729763248</v>
      </c>
      <c r="AE9" s="68">
        <v>13.001645108398248</v>
      </c>
      <c r="AF9" s="68">
        <v>0</v>
      </c>
      <c r="AG9" s="68">
        <v>1</v>
      </c>
      <c r="AH9" s="69">
        <v>194.61050225098927</v>
      </c>
      <c r="AI9" s="69">
        <v>429.72129082679743</v>
      </c>
      <c r="AJ9" s="69">
        <v>1113.7365034739175</v>
      </c>
      <c r="AK9" s="69">
        <v>676.15993798573822</v>
      </c>
      <c r="AL9" s="69">
        <v>1452.6315732320147</v>
      </c>
      <c r="AM9" s="69">
        <v>2142.8353137969971</v>
      </c>
      <c r="AN9" s="69">
        <v>390.56387461026503</v>
      </c>
      <c r="AO9" s="69">
        <v>1769.35178082784</v>
      </c>
      <c r="AP9" s="69">
        <v>476.65339393615722</v>
      </c>
      <c r="AQ9" s="69">
        <v>711.42899589538581</v>
      </c>
    </row>
    <row r="10" spans="1:53" x14ac:dyDescent="0.25">
      <c r="A10" s="11">
        <v>41915</v>
      </c>
      <c r="B10" s="59"/>
      <c r="C10" s="60">
        <v>0</v>
      </c>
      <c r="D10" s="60">
        <v>0</v>
      </c>
      <c r="E10" s="60">
        <v>1.3531683708230655</v>
      </c>
      <c r="F10" s="60">
        <v>0</v>
      </c>
      <c r="G10" s="60">
        <v>0</v>
      </c>
      <c r="H10" s="61">
        <v>0</v>
      </c>
      <c r="I10" s="59">
        <v>484.36209570566763</v>
      </c>
      <c r="J10" s="60">
        <v>975.64292030334548</v>
      </c>
      <c r="K10" s="60">
        <v>51.892539322376365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362.75873277451876</v>
      </c>
      <c r="V10" s="62">
        <v>0</v>
      </c>
      <c r="W10" s="62">
        <v>34.350939313570585</v>
      </c>
      <c r="X10" s="62">
        <v>0</v>
      </c>
      <c r="Y10" s="66">
        <v>333.49880472819075</v>
      </c>
      <c r="Z10" s="66">
        <v>0</v>
      </c>
      <c r="AA10" s="67">
        <v>0</v>
      </c>
      <c r="AB10" s="68">
        <v>31.871280070145971</v>
      </c>
      <c r="AC10" s="69">
        <v>0</v>
      </c>
      <c r="AD10" s="69">
        <v>13.162043357557707</v>
      </c>
      <c r="AE10" s="68">
        <v>13.001381832062478</v>
      </c>
      <c r="AF10" s="68">
        <v>0</v>
      </c>
      <c r="AG10" s="68">
        <v>1</v>
      </c>
      <c r="AH10" s="69">
        <v>192.829990919431</v>
      </c>
      <c r="AI10" s="69">
        <v>425.3795793056488</v>
      </c>
      <c r="AJ10" s="69">
        <v>1100.5906400044757</v>
      </c>
      <c r="AK10" s="69">
        <v>672.26804275512688</v>
      </c>
      <c r="AL10" s="69">
        <v>1463.1524881362914</v>
      </c>
      <c r="AM10" s="69">
        <v>1961.8074034372964</v>
      </c>
      <c r="AN10" s="69">
        <v>383.01279042561839</v>
      </c>
      <c r="AO10" s="69">
        <v>1765.0302738189698</v>
      </c>
      <c r="AP10" s="69">
        <v>486.90499817530309</v>
      </c>
      <c r="AQ10" s="69">
        <v>661.232349872589</v>
      </c>
    </row>
    <row r="11" spans="1:53" x14ac:dyDescent="0.25">
      <c r="A11" s="11">
        <v>41916</v>
      </c>
      <c r="B11" s="59"/>
      <c r="C11" s="60">
        <v>0</v>
      </c>
      <c r="D11" s="60">
        <v>0</v>
      </c>
      <c r="E11" s="60">
        <v>1.3079927985866875</v>
      </c>
      <c r="F11" s="60">
        <v>0</v>
      </c>
      <c r="G11" s="60">
        <v>0</v>
      </c>
      <c r="H11" s="61">
        <v>0</v>
      </c>
      <c r="I11" s="59">
        <v>500.18631067276033</v>
      </c>
      <c r="J11" s="60">
        <v>965.08041127522802</v>
      </c>
      <c r="K11" s="60">
        <v>52.943933443228516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367.19691679212536</v>
      </c>
      <c r="V11" s="62">
        <v>0</v>
      </c>
      <c r="W11" s="62">
        <v>33.450455844402313</v>
      </c>
      <c r="X11" s="62">
        <v>0</v>
      </c>
      <c r="Y11" s="66">
        <v>342.79171970685405</v>
      </c>
      <c r="Z11" s="66">
        <v>0</v>
      </c>
      <c r="AA11" s="67">
        <v>0</v>
      </c>
      <c r="AB11" s="68">
        <v>31.941372362772427</v>
      </c>
      <c r="AC11" s="69">
        <v>0</v>
      </c>
      <c r="AD11" s="69">
        <v>13.450576414664585</v>
      </c>
      <c r="AE11" s="68">
        <v>13.284759028796248</v>
      </c>
      <c r="AF11" s="68">
        <v>0</v>
      </c>
      <c r="AG11" s="68">
        <v>1</v>
      </c>
      <c r="AH11" s="69">
        <v>181.911497370402</v>
      </c>
      <c r="AI11" s="69">
        <v>426.01361039479576</v>
      </c>
      <c r="AJ11" s="69">
        <v>1148.5057236989339</v>
      </c>
      <c r="AK11" s="69">
        <v>678.76880353291835</v>
      </c>
      <c r="AL11" s="69">
        <v>1421.1611028035481</v>
      </c>
      <c r="AM11" s="69">
        <v>1822.3251528422038</v>
      </c>
      <c r="AN11" s="69">
        <v>370.6431826909382</v>
      </c>
      <c r="AO11" s="69">
        <v>1738.4867431640623</v>
      </c>
      <c r="AP11" s="69">
        <v>475.84640773137409</v>
      </c>
      <c r="AQ11" s="69">
        <v>743.75356578826904</v>
      </c>
    </row>
    <row r="12" spans="1:53" x14ac:dyDescent="0.25">
      <c r="A12" s="11">
        <v>41917</v>
      </c>
      <c r="B12" s="59"/>
      <c r="C12" s="60">
        <v>0</v>
      </c>
      <c r="D12" s="60">
        <v>0</v>
      </c>
      <c r="E12" s="60">
        <v>1.3054351607958476</v>
      </c>
      <c r="F12" s="60">
        <v>0</v>
      </c>
      <c r="G12" s="60">
        <v>0</v>
      </c>
      <c r="H12" s="61">
        <v>0</v>
      </c>
      <c r="I12" s="59">
        <v>519.23761717478499</v>
      </c>
      <c r="J12" s="60">
        <v>1015.0730971654237</v>
      </c>
      <c r="K12" s="60">
        <v>55.571883742014748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388.56810415055884</v>
      </c>
      <c r="V12" s="62">
        <v>0</v>
      </c>
      <c r="W12" s="62">
        <v>35.213739724953925</v>
      </c>
      <c r="X12" s="62">
        <v>0</v>
      </c>
      <c r="Y12" s="66">
        <v>358.31368770599448</v>
      </c>
      <c r="Z12" s="66">
        <v>0</v>
      </c>
      <c r="AA12" s="67">
        <v>0</v>
      </c>
      <c r="AB12" s="68">
        <v>33.841045151816488</v>
      </c>
      <c r="AC12" s="69">
        <v>0</v>
      </c>
      <c r="AD12" s="69">
        <v>14.041226359208439</v>
      </c>
      <c r="AE12" s="68">
        <v>13.862325870767537</v>
      </c>
      <c r="AF12" s="68">
        <v>0</v>
      </c>
      <c r="AG12" s="68">
        <v>1</v>
      </c>
      <c r="AH12" s="69">
        <v>176.11497233708701</v>
      </c>
      <c r="AI12" s="69">
        <v>426.37931604385375</v>
      </c>
      <c r="AJ12" s="69">
        <v>1154.0679224014282</v>
      </c>
      <c r="AK12" s="69">
        <v>692.77854563395181</v>
      </c>
      <c r="AL12" s="69">
        <v>1429.6947053909307</v>
      </c>
      <c r="AM12" s="69">
        <v>1760.296959177653</v>
      </c>
      <c r="AN12" s="69">
        <v>365.68673192660009</v>
      </c>
      <c r="AO12" s="69">
        <v>1857.5245015462235</v>
      </c>
      <c r="AP12" s="69">
        <v>485.19689483642577</v>
      </c>
      <c r="AQ12" s="69">
        <v>731.27311658859253</v>
      </c>
    </row>
    <row r="13" spans="1:53" x14ac:dyDescent="0.25">
      <c r="A13" s="11">
        <v>41918</v>
      </c>
      <c r="B13" s="59"/>
      <c r="C13" s="60">
        <v>16.187985628843325</v>
      </c>
      <c r="D13" s="60">
        <v>246.5641695539158</v>
      </c>
      <c r="E13" s="60">
        <v>3.721898881097637</v>
      </c>
      <c r="F13" s="60">
        <v>0</v>
      </c>
      <c r="G13" s="60">
        <v>667.51107514699243</v>
      </c>
      <c r="H13" s="61">
        <v>10.258140125870693</v>
      </c>
      <c r="I13" s="59">
        <v>521.85567385355637</v>
      </c>
      <c r="J13" s="60">
        <v>1022.3615962346399</v>
      </c>
      <c r="K13" s="60">
        <v>56.200101256370573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379.69054275088871</v>
      </c>
      <c r="V13" s="62">
        <v>0</v>
      </c>
      <c r="W13" s="62">
        <v>34.534522513548509</v>
      </c>
      <c r="X13" s="62">
        <v>0</v>
      </c>
      <c r="Y13" s="66">
        <v>353.95619494915047</v>
      </c>
      <c r="Z13" s="66">
        <v>0</v>
      </c>
      <c r="AA13" s="67">
        <v>0</v>
      </c>
      <c r="AB13" s="68">
        <v>33.840669968393016</v>
      </c>
      <c r="AC13" s="69">
        <v>0</v>
      </c>
      <c r="AD13" s="69">
        <v>13.87217689123419</v>
      </c>
      <c r="AE13" s="68">
        <v>13.580369672710187</v>
      </c>
      <c r="AF13" s="68">
        <v>0</v>
      </c>
      <c r="AG13" s="68">
        <v>1</v>
      </c>
      <c r="AH13" s="69">
        <v>185.17303388118742</v>
      </c>
      <c r="AI13" s="69">
        <v>742.57217594782514</v>
      </c>
      <c r="AJ13" s="69">
        <v>2385.2336175282803</v>
      </c>
      <c r="AK13" s="69">
        <v>690.44649902979552</v>
      </c>
      <c r="AL13" s="69">
        <v>1414.7854019165043</v>
      </c>
      <c r="AM13" s="69">
        <v>1894.7055143992104</v>
      </c>
      <c r="AN13" s="69">
        <v>375.84949688911433</v>
      </c>
      <c r="AO13" s="69">
        <v>1744.0628126144411</v>
      </c>
      <c r="AP13" s="69">
        <v>492.78335444132495</v>
      </c>
      <c r="AQ13" s="69">
        <v>812.09190689722686</v>
      </c>
    </row>
    <row r="14" spans="1:53" x14ac:dyDescent="0.25">
      <c r="A14" s="11">
        <v>41919</v>
      </c>
      <c r="B14" s="59"/>
      <c r="C14" s="60">
        <v>21.332601159810881</v>
      </c>
      <c r="D14" s="60">
        <v>313.56809070905035</v>
      </c>
      <c r="E14" s="60">
        <v>4.4637770131230301</v>
      </c>
      <c r="F14" s="60">
        <v>0</v>
      </c>
      <c r="G14" s="60">
        <v>421.17574640909822</v>
      </c>
      <c r="H14" s="61">
        <v>18.074042062958107</v>
      </c>
      <c r="I14" s="59">
        <v>525.75669113794993</v>
      </c>
      <c r="J14" s="60">
        <v>1029.9895865122476</v>
      </c>
      <c r="K14" s="60">
        <v>56.359008693695102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389.29640240033962</v>
      </c>
      <c r="V14" s="62">
        <v>17.497582828727719</v>
      </c>
      <c r="W14" s="62">
        <v>34.630636748530897</v>
      </c>
      <c r="X14" s="62">
        <v>1.5565323264813009</v>
      </c>
      <c r="Y14" s="66">
        <v>344.06825336160534</v>
      </c>
      <c r="Z14" s="66">
        <v>15.464727453965065</v>
      </c>
      <c r="AA14" s="67">
        <v>0</v>
      </c>
      <c r="AB14" s="68">
        <v>33.841405484411467</v>
      </c>
      <c r="AC14" s="69">
        <v>0</v>
      </c>
      <c r="AD14" s="69">
        <v>14.460163418783093</v>
      </c>
      <c r="AE14" s="68">
        <v>13.5561997381756</v>
      </c>
      <c r="AF14" s="68">
        <v>0.60930624146270795</v>
      </c>
      <c r="AG14" s="68">
        <v>0.95698662353900155</v>
      </c>
      <c r="AH14" s="69">
        <v>187.65550919373831</v>
      </c>
      <c r="AI14" s="69">
        <v>959.56856273015364</v>
      </c>
      <c r="AJ14" s="69">
        <v>3014.1127719879146</v>
      </c>
      <c r="AK14" s="69">
        <v>648.11312141418443</v>
      </c>
      <c r="AL14" s="69">
        <v>1545.613443374634</v>
      </c>
      <c r="AM14" s="69">
        <v>1938.0247168223061</v>
      </c>
      <c r="AN14" s="69">
        <v>394.34891896247859</v>
      </c>
      <c r="AO14" s="69">
        <v>1871.7780675252282</v>
      </c>
      <c r="AP14" s="69">
        <v>523.2416415850322</v>
      </c>
      <c r="AQ14" s="69">
        <v>886.46978375116976</v>
      </c>
    </row>
    <row r="15" spans="1:53" x14ac:dyDescent="0.25">
      <c r="A15" s="11">
        <v>41920</v>
      </c>
      <c r="B15" s="59"/>
      <c r="C15" s="60">
        <v>21.37540370225905</v>
      </c>
      <c r="D15" s="60">
        <v>312.07244895299283</v>
      </c>
      <c r="E15" s="60">
        <v>4.9332671041289986</v>
      </c>
      <c r="F15" s="60">
        <v>0</v>
      </c>
      <c r="G15" s="60">
        <v>540.72</v>
      </c>
      <c r="H15" s="61">
        <v>19.678645533323309</v>
      </c>
      <c r="I15" s="59">
        <v>510.98373025258445</v>
      </c>
      <c r="J15" s="60">
        <v>1000.7587142308544</v>
      </c>
      <c r="K15" s="60">
        <v>54.708970455328767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394.74590756116771</v>
      </c>
      <c r="V15" s="62">
        <v>56.395355616488438</v>
      </c>
      <c r="W15" s="62">
        <v>35.791253019692334</v>
      </c>
      <c r="X15" s="62">
        <v>5.1133156882506636</v>
      </c>
      <c r="Y15" s="66">
        <v>358.30190526600052</v>
      </c>
      <c r="Z15" s="66">
        <v>51.188784933534365</v>
      </c>
      <c r="AA15" s="67">
        <v>0</v>
      </c>
      <c r="AB15" s="68">
        <v>33.841502009497994</v>
      </c>
      <c r="AC15" s="69">
        <v>0</v>
      </c>
      <c r="AD15" s="69">
        <v>16.303024507231193</v>
      </c>
      <c r="AE15" s="68">
        <v>14.001749670012753</v>
      </c>
      <c r="AF15" s="68">
        <v>2.0003593115681921</v>
      </c>
      <c r="AG15" s="68">
        <v>0.87499402023379014</v>
      </c>
      <c r="AH15" s="69">
        <v>189.03694454034172</v>
      </c>
      <c r="AI15" s="69">
        <v>968.93570302327487</v>
      </c>
      <c r="AJ15" s="69">
        <v>3050.6778724670412</v>
      </c>
      <c r="AK15" s="69">
        <v>617.74371865590399</v>
      </c>
      <c r="AL15" s="69">
        <v>1954.2886958440142</v>
      </c>
      <c r="AM15" s="69">
        <v>1903.6165779113771</v>
      </c>
      <c r="AN15" s="69">
        <v>394.08262807528178</v>
      </c>
      <c r="AO15" s="69">
        <v>1972.6897551218669</v>
      </c>
      <c r="AP15" s="69">
        <v>519.70850330988571</v>
      </c>
      <c r="AQ15" s="69">
        <v>836.02981220881134</v>
      </c>
    </row>
    <row r="16" spans="1:53" x14ac:dyDescent="0.25">
      <c r="A16" s="11">
        <v>41921</v>
      </c>
      <c r="B16" s="59"/>
      <c r="C16" s="60">
        <v>20.716024190187508</v>
      </c>
      <c r="D16" s="60">
        <v>312.31695863405844</v>
      </c>
      <c r="E16" s="60">
        <v>4.9037582278251559</v>
      </c>
      <c r="F16" s="60">
        <v>0</v>
      </c>
      <c r="G16" s="60">
        <v>540.72</v>
      </c>
      <c r="H16" s="61">
        <v>19.98686405519641</v>
      </c>
      <c r="I16" s="59">
        <v>460.14782899220774</v>
      </c>
      <c r="J16" s="60">
        <v>900.80134353637777</v>
      </c>
      <c r="K16" s="60">
        <v>49.236614068349091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345.74597221965286</v>
      </c>
      <c r="V16" s="62">
        <v>55.92788780045548</v>
      </c>
      <c r="W16" s="62">
        <v>31.668771794321593</v>
      </c>
      <c r="X16" s="62">
        <v>5.1227422963753924</v>
      </c>
      <c r="Y16" s="66">
        <v>310.95814076625345</v>
      </c>
      <c r="Z16" s="66">
        <v>50.300606239209039</v>
      </c>
      <c r="AA16" s="67">
        <v>0</v>
      </c>
      <c r="AB16" s="68">
        <v>33.843322078386933</v>
      </c>
      <c r="AC16" s="69">
        <v>0</v>
      </c>
      <c r="AD16" s="69">
        <v>14.282949871818241</v>
      </c>
      <c r="AE16" s="68">
        <v>12.101772258776576</v>
      </c>
      <c r="AF16" s="68">
        <v>1.9575833573139421</v>
      </c>
      <c r="AG16" s="68">
        <v>0.86076293887370303</v>
      </c>
      <c r="AH16" s="69">
        <v>194.76461865901945</v>
      </c>
      <c r="AI16" s="69">
        <v>981.85751489003496</v>
      </c>
      <c r="AJ16" s="69">
        <v>3010.3019540150963</v>
      </c>
      <c r="AK16" s="69">
        <v>599.29207124710092</v>
      </c>
      <c r="AL16" s="69">
        <v>2062.9833557128904</v>
      </c>
      <c r="AM16" s="69">
        <v>1993.2764715830483</v>
      </c>
      <c r="AN16" s="69">
        <v>386.20931334495549</v>
      </c>
      <c r="AO16" s="69">
        <v>1879.633216158549</v>
      </c>
      <c r="AP16" s="69">
        <v>457.22960379918425</v>
      </c>
      <c r="AQ16" s="69">
        <v>702.05455570220943</v>
      </c>
    </row>
    <row r="17" spans="1:43" x14ac:dyDescent="0.25">
      <c r="A17" s="11">
        <v>41922</v>
      </c>
      <c r="B17" s="49"/>
      <c r="C17" s="50">
        <v>20.516122728586254</v>
      </c>
      <c r="D17" s="50">
        <v>312.5314935366315</v>
      </c>
      <c r="E17" s="50">
        <v>4.9098651607831343</v>
      </c>
      <c r="F17" s="50">
        <v>0</v>
      </c>
      <c r="G17" s="50">
        <v>540.72</v>
      </c>
      <c r="H17" s="51">
        <v>20.013492604096758</v>
      </c>
      <c r="I17" s="49">
        <v>382.81951864560432</v>
      </c>
      <c r="J17" s="50">
        <v>749.62509393691937</v>
      </c>
      <c r="K17" s="50">
        <v>41.005508365233574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294.79597825803398</v>
      </c>
      <c r="V17" s="66">
        <v>56.069434899111769</v>
      </c>
      <c r="W17" s="62">
        <v>26.798372539191472</v>
      </c>
      <c r="X17" s="62">
        <v>5.0969813542474665</v>
      </c>
      <c r="Y17" s="66">
        <v>268.65154569887432</v>
      </c>
      <c r="Z17" s="66">
        <v>51.096831242806388</v>
      </c>
      <c r="AA17" s="67">
        <v>0</v>
      </c>
      <c r="AB17" s="68">
        <v>30.257011257276886</v>
      </c>
      <c r="AC17" s="69">
        <v>0</v>
      </c>
      <c r="AD17" s="69">
        <v>12.655136730273592</v>
      </c>
      <c r="AE17" s="68">
        <v>10.513003896396668</v>
      </c>
      <c r="AF17" s="68">
        <v>1.9995462320967294</v>
      </c>
      <c r="AG17" s="68">
        <v>0.84019674554243007</v>
      </c>
      <c r="AH17" s="69">
        <v>201.85574970245358</v>
      </c>
      <c r="AI17" s="69">
        <v>954.52395006815618</v>
      </c>
      <c r="AJ17" s="69">
        <v>2993.9929102579749</v>
      </c>
      <c r="AK17" s="69">
        <v>590.33369859059644</v>
      </c>
      <c r="AL17" s="69">
        <v>2001.4957029978439</v>
      </c>
      <c r="AM17" s="69">
        <v>2037.442762120565</v>
      </c>
      <c r="AN17" s="69">
        <v>393.96460078557328</v>
      </c>
      <c r="AO17" s="69">
        <v>1765.6271722157799</v>
      </c>
      <c r="AP17" s="69">
        <v>448.74367955525719</v>
      </c>
      <c r="AQ17" s="69">
        <v>656.45155439376822</v>
      </c>
    </row>
    <row r="18" spans="1:43" x14ac:dyDescent="0.25">
      <c r="A18" s="11">
        <v>41923</v>
      </c>
      <c r="B18" s="59"/>
      <c r="C18" s="60">
        <v>20.858387400706707</v>
      </c>
      <c r="D18" s="60">
        <v>312.61014900207488</v>
      </c>
      <c r="E18" s="60">
        <v>4.9089947491884178</v>
      </c>
      <c r="F18" s="60">
        <v>0</v>
      </c>
      <c r="G18" s="60">
        <v>540.72</v>
      </c>
      <c r="H18" s="61">
        <v>20.055710104107845</v>
      </c>
      <c r="I18" s="59">
        <v>308.1369170665742</v>
      </c>
      <c r="J18" s="60">
        <v>588.2085385958361</v>
      </c>
      <c r="K18" s="60">
        <v>32.266712299982743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235.41762789291602</v>
      </c>
      <c r="V18" s="62">
        <v>57.500949386072861</v>
      </c>
      <c r="W18" s="62">
        <v>21.532068736800145</v>
      </c>
      <c r="X18" s="62">
        <v>5.2592255120987188</v>
      </c>
      <c r="Y18" s="66">
        <v>209.62088808558133</v>
      </c>
      <c r="Z18" s="66">
        <v>51.200074454727591</v>
      </c>
      <c r="AA18" s="67">
        <v>0</v>
      </c>
      <c r="AB18" s="68">
        <v>24.964206441243636</v>
      </c>
      <c r="AC18" s="69">
        <v>0</v>
      </c>
      <c r="AD18" s="69">
        <v>10.317693783839545</v>
      </c>
      <c r="AE18" s="68">
        <v>8.1886204753087632</v>
      </c>
      <c r="AF18" s="68">
        <v>2.0000772911817184</v>
      </c>
      <c r="AG18" s="68">
        <v>0.80369647456225912</v>
      </c>
      <c r="AH18" s="69">
        <v>198.31887012322744</v>
      </c>
      <c r="AI18" s="69">
        <v>966.50698661804199</v>
      </c>
      <c r="AJ18" s="69">
        <v>3030.7758107503255</v>
      </c>
      <c r="AK18" s="69">
        <v>592.25353914896652</v>
      </c>
      <c r="AL18" s="69">
        <v>1988.4688676198325</v>
      </c>
      <c r="AM18" s="69">
        <v>1985.7089949289957</v>
      </c>
      <c r="AN18" s="69">
        <v>383.49532402356459</v>
      </c>
      <c r="AO18" s="69">
        <v>1595.1890937169394</v>
      </c>
      <c r="AP18" s="69">
        <v>356.3595226605733</v>
      </c>
      <c r="AQ18" s="69">
        <v>744.28964866002389</v>
      </c>
    </row>
    <row r="19" spans="1:43" x14ac:dyDescent="0.25">
      <c r="A19" s="11">
        <v>41924</v>
      </c>
      <c r="B19" s="59"/>
      <c r="C19" s="60">
        <v>20.277486493190221</v>
      </c>
      <c r="D19" s="60">
        <v>311.95184459686294</v>
      </c>
      <c r="E19" s="60">
        <v>4.8698885565002739</v>
      </c>
      <c r="F19" s="60">
        <v>0</v>
      </c>
      <c r="G19" s="60">
        <v>540.72</v>
      </c>
      <c r="H19" s="61">
        <v>20.029848837852466</v>
      </c>
      <c r="I19" s="59">
        <v>316.68004013697345</v>
      </c>
      <c r="J19" s="60">
        <v>574.78090321223067</v>
      </c>
      <c r="K19" s="60">
        <v>31.677706243594486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243.10127104624127</v>
      </c>
      <c r="V19" s="62">
        <v>60.780806679489061</v>
      </c>
      <c r="W19" s="62">
        <v>22.425833958446734</v>
      </c>
      <c r="X19" s="62">
        <v>5.6069648364586238</v>
      </c>
      <c r="Y19" s="66">
        <v>203.83408112079016</v>
      </c>
      <c r="Z19" s="66">
        <v>50.963122594852408</v>
      </c>
      <c r="AA19" s="67">
        <v>0</v>
      </c>
      <c r="AB19" s="68">
        <v>23.551751795080186</v>
      </c>
      <c r="AC19" s="69">
        <v>0</v>
      </c>
      <c r="AD19" s="69">
        <v>10.133413284354745</v>
      </c>
      <c r="AE19" s="68">
        <v>7.9977658236585629</v>
      </c>
      <c r="AF19" s="68">
        <v>1.9996220353086958</v>
      </c>
      <c r="AG19" s="68">
        <v>0.79998554987389892</v>
      </c>
      <c r="AH19" s="69">
        <v>208.15380163987476</v>
      </c>
      <c r="AI19" s="69">
        <v>982.19557399749772</v>
      </c>
      <c r="AJ19" s="69">
        <v>2963.6089467366533</v>
      </c>
      <c r="AK19" s="69">
        <v>593.50346082051578</v>
      </c>
      <c r="AL19" s="69">
        <v>2035.0074345906578</v>
      </c>
      <c r="AM19" s="69">
        <v>2015.1818656921387</v>
      </c>
      <c r="AN19" s="69">
        <v>394.82209370930985</v>
      </c>
      <c r="AO19" s="69">
        <v>1533.253564198812</v>
      </c>
      <c r="AP19" s="69">
        <v>366.01156954765321</v>
      </c>
      <c r="AQ19" s="69">
        <v>622.38594532012951</v>
      </c>
    </row>
    <row r="20" spans="1:43" x14ac:dyDescent="0.25">
      <c r="A20" s="11">
        <v>41925</v>
      </c>
      <c r="B20" s="59"/>
      <c r="C20" s="60">
        <v>23.598797231912723</v>
      </c>
      <c r="D20" s="60">
        <v>312.15454684893251</v>
      </c>
      <c r="E20" s="60">
        <v>4.8672917286555046</v>
      </c>
      <c r="F20" s="60">
        <v>0</v>
      </c>
      <c r="G20" s="60">
        <v>540.72</v>
      </c>
      <c r="H20" s="61">
        <v>19.986526151498179</v>
      </c>
      <c r="I20" s="59">
        <v>307.09028493563369</v>
      </c>
      <c r="J20" s="60">
        <v>539.67782684961912</v>
      </c>
      <c r="K20" s="60">
        <v>28.182452950875039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213.01878541156648</v>
      </c>
      <c r="V20" s="62">
        <v>57.061458271294455</v>
      </c>
      <c r="W20" s="62">
        <v>18.412912022782962</v>
      </c>
      <c r="X20" s="62">
        <v>4.9322767896318913</v>
      </c>
      <c r="Y20" s="66">
        <v>177.22060505550451</v>
      </c>
      <c r="Z20" s="66">
        <v>47.472180167820731</v>
      </c>
      <c r="AA20" s="67">
        <v>0</v>
      </c>
      <c r="AB20" s="68">
        <v>23.550856098864024</v>
      </c>
      <c r="AC20" s="69">
        <v>0</v>
      </c>
      <c r="AD20" s="69">
        <v>8.9999784062306016</v>
      </c>
      <c r="AE20" s="68">
        <v>6.9938231522319718</v>
      </c>
      <c r="AF20" s="68">
        <v>1.8734392236198933</v>
      </c>
      <c r="AG20" s="68">
        <v>0.78872405662408129</v>
      </c>
      <c r="AH20" s="69">
        <v>223.29188905557001</v>
      </c>
      <c r="AI20" s="69">
        <v>999.68712628682476</v>
      </c>
      <c r="AJ20" s="69">
        <v>2978.0354413350419</v>
      </c>
      <c r="AK20" s="69">
        <v>592.68197590510056</v>
      </c>
      <c r="AL20" s="69">
        <v>2095.2329151153567</v>
      </c>
      <c r="AM20" s="69">
        <v>2205.0249546051032</v>
      </c>
      <c r="AN20" s="69">
        <v>415.01525632540393</v>
      </c>
      <c r="AO20" s="69">
        <v>1540.3190806070966</v>
      </c>
      <c r="AP20" s="69">
        <v>368.63903150558474</v>
      </c>
      <c r="AQ20" s="69">
        <v>649.03734865188608</v>
      </c>
    </row>
    <row r="21" spans="1:43" x14ac:dyDescent="0.25">
      <c r="A21" s="11">
        <v>41926</v>
      </c>
      <c r="B21" s="59"/>
      <c r="C21" s="60">
        <v>20.683890775839476</v>
      </c>
      <c r="D21" s="60">
        <v>313.24043633143083</v>
      </c>
      <c r="E21" s="60">
        <v>4.8773402248819702</v>
      </c>
      <c r="F21" s="60">
        <v>0</v>
      </c>
      <c r="G21" s="60">
        <v>600.98</v>
      </c>
      <c r="H21" s="61">
        <v>20.054318928718608</v>
      </c>
      <c r="I21" s="59">
        <v>298.03615417480466</v>
      </c>
      <c r="J21" s="60">
        <v>506.48125511805318</v>
      </c>
      <c r="K21" s="60">
        <v>25.481888635953322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213.85691234560568</v>
      </c>
      <c r="V21" s="62">
        <v>61.113322991544393</v>
      </c>
      <c r="W21" s="62">
        <v>18.199810132355612</v>
      </c>
      <c r="X21" s="62">
        <v>5.2009115010786573</v>
      </c>
      <c r="Y21" s="66">
        <v>176.25154440712657</v>
      </c>
      <c r="Z21" s="66">
        <v>50.366936672611054</v>
      </c>
      <c r="AA21" s="67">
        <v>0</v>
      </c>
      <c r="AB21" s="68">
        <v>23.549882233142959</v>
      </c>
      <c r="AC21" s="69">
        <v>0</v>
      </c>
      <c r="AD21" s="69">
        <v>8.9747580399116025</v>
      </c>
      <c r="AE21" s="68">
        <v>6.8751197249856579</v>
      </c>
      <c r="AF21" s="68">
        <v>1.9646847406062797</v>
      </c>
      <c r="AG21" s="68">
        <v>0.77774567884916224</v>
      </c>
      <c r="AH21" s="69">
        <v>202.58996995290121</v>
      </c>
      <c r="AI21" s="69">
        <v>985.64742259979243</v>
      </c>
      <c r="AJ21" s="69">
        <v>2970.2514792124439</v>
      </c>
      <c r="AK21" s="69">
        <v>602.38665920893345</v>
      </c>
      <c r="AL21" s="69">
        <v>2036.5496753692626</v>
      </c>
      <c r="AM21" s="69">
        <v>2242.4138215382891</v>
      </c>
      <c r="AN21" s="69">
        <v>389.80985554059339</v>
      </c>
      <c r="AO21" s="69">
        <v>1464.1649634043376</v>
      </c>
      <c r="AP21" s="69">
        <v>339.36959064801533</v>
      </c>
      <c r="AQ21" s="69">
        <v>753.06336841583254</v>
      </c>
    </row>
    <row r="22" spans="1:43" x14ac:dyDescent="0.25">
      <c r="A22" s="11">
        <v>41927</v>
      </c>
      <c r="B22" s="59"/>
      <c r="C22" s="60">
        <v>21.00074658791225</v>
      </c>
      <c r="D22" s="60">
        <v>312.84536797205567</v>
      </c>
      <c r="E22" s="60">
        <v>4.8643684809406631</v>
      </c>
      <c r="F22" s="60">
        <v>0</v>
      </c>
      <c r="G22" s="60">
        <v>600.98</v>
      </c>
      <c r="H22" s="61">
        <v>19.992590002218837</v>
      </c>
      <c r="I22" s="59">
        <v>280.53303201993248</v>
      </c>
      <c r="J22" s="60">
        <v>516.30083344777427</v>
      </c>
      <c r="K22" s="60">
        <v>26.341887873411157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219.9929605693259</v>
      </c>
      <c r="V22" s="62">
        <v>60.776734415958551</v>
      </c>
      <c r="W22" s="62">
        <v>18.602667407682116</v>
      </c>
      <c r="X22" s="62">
        <v>5.1392979736222868</v>
      </c>
      <c r="Y22" s="66">
        <v>185.59374685526052</v>
      </c>
      <c r="Z22" s="66">
        <v>51.273376351195743</v>
      </c>
      <c r="AA22" s="67">
        <v>0</v>
      </c>
      <c r="AB22" s="68">
        <v>23.549934244156091</v>
      </c>
      <c r="AC22" s="69">
        <v>0</v>
      </c>
      <c r="AD22" s="69">
        <v>9.373578998115315</v>
      </c>
      <c r="AE22" s="68">
        <v>7.2401648405141206</v>
      </c>
      <c r="AF22" s="68">
        <v>2.0002166182995706</v>
      </c>
      <c r="AG22" s="68">
        <v>0.78353527641526999</v>
      </c>
      <c r="AH22" s="69">
        <v>190.38386457761129</v>
      </c>
      <c r="AI22" s="69">
        <v>984.63446960449244</v>
      </c>
      <c r="AJ22" s="69">
        <v>3011.8847775777181</v>
      </c>
      <c r="AK22" s="69">
        <v>541.59730219841015</v>
      </c>
      <c r="AL22" s="69">
        <v>1999.7410254160566</v>
      </c>
      <c r="AM22" s="69">
        <v>2178.9749471028645</v>
      </c>
      <c r="AN22" s="69">
        <v>371.01938354174303</v>
      </c>
      <c r="AO22" s="69">
        <v>1553.5791072845461</v>
      </c>
      <c r="AP22" s="69">
        <v>332.88459755579629</v>
      </c>
      <c r="AQ22" s="69">
        <v>826.96190732320144</v>
      </c>
    </row>
    <row r="23" spans="1:43" x14ac:dyDescent="0.25">
      <c r="A23" s="11">
        <v>41928</v>
      </c>
      <c r="B23" s="59"/>
      <c r="C23" s="60">
        <v>20.578619341055628</v>
      </c>
      <c r="D23" s="60">
        <v>312.95563308397919</v>
      </c>
      <c r="E23" s="60">
        <v>4.7064829965432464</v>
      </c>
      <c r="F23" s="60">
        <v>0</v>
      </c>
      <c r="G23" s="60">
        <v>600.98</v>
      </c>
      <c r="H23" s="61">
        <v>20.048290761311879</v>
      </c>
      <c r="I23" s="59">
        <v>297.16369832356781</v>
      </c>
      <c r="J23" s="60">
        <v>628.92591215769494</v>
      </c>
      <c r="K23" s="60">
        <v>31.734125423431408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271.94569107787532</v>
      </c>
      <c r="V23" s="62">
        <v>61.223453488979203</v>
      </c>
      <c r="W23" s="62">
        <v>23.238752349180075</v>
      </c>
      <c r="X23" s="62">
        <v>5.2317676663775741</v>
      </c>
      <c r="Y23" s="66">
        <v>227.46701402572808</v>
      </c>
      <c r="Z23" s="66">
        <v>51.209916576663659</v>
      </c>
      <c r="AA23" s="67">
        <v>0</v>
      </c>
      <c r="AB23" s="68">
        <v>23.551941266324874</v>
      </c>
      <c r="AC23" s="69">
        <v>0</v>
      </c>
      <c r="AD23" s="69">
        <v>11.030407946639597</v>
      </c>
      <c r="AE23" s="68">
        <v>8.8843241888393294</v>
      </c>
      <c r="AF23" s="68">
        <v>2.0001383607165009</v>
      </c>
      <c r="AG23" s="68">
        <v>0.81623912511894103</v>
      </c>
      <c r="AH23" s="69">
        <v>191.09549147288007</v>
      </c>
      <c r="AI23" s="69">
        <v>991.37518291473384</v>
      </c>
      <c r="AJ23" s="69">
        <v>3002.2626789093019</v>
      </c>
      <c r="AK23" s="69">
        <v>537.68821945190427</v>
      </c>
      <c r="AL23" s="69">
        <v>1988.4437286376951</v>
      </c>
      <c r="AM23" s="69">
        <v>2149.1161248524986</v>
      </c>
      <c r="AN23" s="69">
        <v>374.22667716344193</v>
      </c>
      <c r="AO23" s="69">
        <v>1525.541526031494</v>
      </c>
      <c r="AP23" s="69">
        <v>353.77012305259706</v>
      </c>
      <c r="AQ23" s="69">
        <v>790.81810537974047</v>
      </c>
    </row>
    <row r="24" spans="1:43" x14ac:dyDescent="0.25">
      <c r="A24" s="11">
        <v>41929</v>
      </c>
      <c r="B24" s="59"/>
      <c r="C24" s="60">
        <v>20.604052046934729</v>
      </c>
      <c r="D24" s="60">
        <v>312.77944761912016</v>
      </c>
      <c r="E24" s="60">
        <v>4.6354280635714487</v>
      </c>
      <c r="F24" s="60">
        <v>0</v>
      </c>
      <c r="G24" s="60">
        <v>600.98</v>
      </c>
      <c r="H24" s="61">
        <v>19.963928408424074</v>
      </c>
      <c r="I24" s="59">
        <v>301.40372897783897</v>
      </c>
      <c r="J24" s="60">
        <v>637.3460512161264</v>
      </c>
      <c r="K24" s="60">
        <v>32.082146630684548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274.15505858146139</v>
      </c>
      <c r="V24" s="62">
        <v>60.919083450740274</v>
      </c>
      <c r="W24" s="62">
        <v>23.716788664686774</v>
      </c>
      <c r="X24" s="62">
        <v>5.2700287031848463</v>
      </c>
      <c r="Y24" s="66">
        <v>230.63860450932896</v>
      </c>
      <c r="Z24" s="66">
        <v>51.249436971053527</v>
      </c>
      <c r="AA24" s="67">
        <v>0</v>
      </c>
      <c r="AB24" s="68">
        <v>31.736598036024493</v>
      </c>
      <c r="AC24" s="69">
        <v>0</v>
      </c>
      <c r="AD24" s="69">
        <v>11.151561545001153</v>
      </c>
      <c r="AE24" s="68">
        <v>9.0007638325122699</v>
      </c>
      <c r="AF24" s="68">
        <v>2.0000297855904581</v>
      </c>
      <c r="AG24" s="68">
        <v>0.81819222730446994</v>
      </c>
      <c r="AH24" s="69">
        <v>197.66565320491787</v>
      </c>
      <c r="AI24" s="69">
        <v>989.56729520161946</v>
      </c>
      <c r="AJ24" s="69">
        <v>3007.2653986612959</v>
      </c>
      <c r="AK24" s="69">
        <v>564.32476654052732</v>
      </c>
      <c r="AL24" s="69">
        <v>2007.3388477325443</v>
      </c>
      <c r="AM24" s="69">
        <v>2160.4393159230553</v>
      </c>
      <c r="AN24" s="69">
        <v>379.99723464647934</v>
      </c>
      <c r="AO24" s="69">
        <v>1576.8553076426188</v>
      </c>
      <c r="AP24" s="69">
        <v>342.24737456639605</v>
      </c>
      <c r="AQ24" s="69">
        <v>707.4606012026469</v>
      </c>
    </row>
    <row r="25" spans="1:43" x14ac:dyDescent="0.25">
      <c r="A25" s="11">
        <v>41930</v>
      </c>
      <c r="B25" s="59"/>
      <c r="C25" s="60">
        <v>21.658774018287769</v>
      </c>
      <c r="D25" s="60">
        <v>312.63247284889229</v>
      </c>
      <c r="E25" s="60">
        <v>4.6147584964831649</v>
      </c>
      <c r="F25" s="60">
        <v>0</v>
      </c>
      <c r="G25" s="60">
        <v>600.98</v>
      </c>
      <c r="H25" s="61">
        <v>19.953316667675981</v>
      </c>
      <c r="I25" s="59">
        <v>301.24975881576535</v>
      </c>
      <c r="J25" s="60">
        <v>636.8195035298678</v>
      </c>
      <c r="K25" s="60">
        <v>32.693905552228273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274.1340877638923</v>
      </c>
      <c r="V25" s="62">
        <v>60.921534697216295</v>
      </c>
      <c r="W25" s="62">
        <v>23.767268306711468</v>
      </c>
      <c r="X25" s="62">
        <v>5.2818621449677581</v>
      </c>
      <c r="Y25" s="66">
        <v>230.11547445522396</v>
      </c>
      <c r="Z25" s="66">
        <v>51.139163231187311</v>
      </c>
      <c r="AA25" s="67">
        <v>0</v>
      </c>
      <c r="AB25" s="68">
        <v>32.859080661668003</v>
      </c>
      <c r="AC25" s="69">
        <v>0</v>
      </c>
      <c r="AD25" s="69">
        <v>11.143599425421819</v>
      </c>
      <c r="AE25" s="68">
        <v>8.9995557418457839</v>
      </c>
      <c r="AF25" s="68">
        <v>1.9999947903545807</v>
      </c>
      <c r="AG25" s="68">
        <v>0.81817486228189551</v>
      </c>
      <c r="AH25" s="69">
        <v>195.50113430817922</v>
      </c>
      <c r="AI25" s="69">
        <v>995.90412457783998</v>
      </c>
      <c r="AJ25" s="69">
        <v>3014.9031453450516</v>
      </c>
      <c r="AK25" s="69">
        <v>608.44713346163439</v>
      </c>
      <c r="AL25" s="69">
        <v>2003.8673456827803</v>
      </c>
      <c r="AM25" s="69">
        <v>2097.6827341715498</v>
      </c>
      <c r="AN25" s="69">
        <v>379.44631503423057</v>
      </c>
      <c r="AO25" s="69">
        <v>1560.9684980392453</v>
      </c>
      <c r="AP25" s="69">
        <v>354.64830309549967</v>
      </c>
      <c r="AQ25" s="69">
        <v>668.82814111709592</v>
      </c>
    </row>
    <row r="26" spans="1:43" x14ac:dyDescent="0.25">
      <c r="A26" s="11">
        <v>41931</v>
      </c>
      <c r="B26" s="59"/>
      <c r="C26" s="60">
        <v>21.019834876060457</v>
      </c>
      <c r="D26" s="60">
        <v>313.1121930758157</v>
      </c>
      <c r="E26" s="60">
        <v>4.6183879698316277</v>
      </c>
      <c r="F26" s="60">
        <v>0</v>
      </c>
      <c r="G26" s="60">
        <v>600.98</v>
      </c>
      <c r="H26" s="61">
        <v>20.015597689151818</v>
      </c>
      <c r="I26" s="59">
        <v>295.96001571019485</v>
      </c>
      <c r="J26" s="60">
        <v>637.27011489868312</v>
      </c>
      <c r="K26" s="60">
        <v>32.25150196949641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268.63328202104896</v>
      </c>
      <c r="V26" s="62">
        <v>59.738288301202395</v>
      </c>
      <c r="W26" s="62">
        <v>23.336874037780913</v>
      </c>
      <c r="X26" s="62">
        <v>5.1896209539984151</v>
      </c>
      <c r="Y26" s="66">
        <v>227.729344314071</v>
      </c>
      <c r="Z26" s="66">
        <v>50.642128640678997</v>
      </c>
      <c r="AA26" s="67">
        <v>0</v>
      </c>
      <c r="AB26" s="68">
        <v>32.858646117316503</v>
      </c>
      <c r="AC26" s="69">
        <v>0</v>
      </c>
      <c r="AD26" s="69">
        <v>11.019476006097261</v>
      </c>
      <c r="AE26" s="68">
        <v>8.8853270504735509</v>
      </c>
      <c r="AF26" s="68">
        <v>1.9759064290107962</v>
      </c>
      <c r="AG26" s="68">
        <v>0.81807716105697725</v>
      </c>
      <c r="AH26" s="69">
        <v>189.80342196623485</v>
      </c>
      <c r="AI26" s="69">
        <v>994.08465213775639</v>
      </c>
      <c r="AJ26" s="69">
        <v>3057.2467028299975</v>
      </c>
      <c r="AK26" s="69">
        <v>608.17175884246819</v>
      </c>
      <c r="AL26" s="69">
        <v>1983.7506769816082</v>
      </c>
      <c r="AM26" s="69">
        <v>2082.6078505198161</v>
      </c>
      <c r="AN26" s="69">
        <v>371.86204371452328</v>
      </c>
      <c r="AO26" s="69">
        <v>1551.5815354665122</v>
      </c>
      <c r="AP26" s="69">
        <v>355.55981790224706</v>
      </c>
      <c r="AQ26" s="69">
        <v>730.39606291453049</v>
      </c>
    </row>
    <row r="27" spans="1:43" x14ac:dyDescent="0.25">
      <c r="A27" s="11">
        <v>41932</v>
      </c>
      <c r="B27" s="59"/>
      <c r="C27" s="60">
        <v>20.71688507994023</v>
      </c>
      <c r="D27" s="60">
        <v>312.89196197191785</v>
      </c>
      <c r="E27" s="60">
        <v>4.6195436989267735</v>
      </c>
      <c r="F27" s="60">
        <v>0</v>
      </c>
      <c r="G27" s="60">
        <v>600.98</v>
      </c>
      <c r="H27" s="61">
        <v>19.982566283146532</v>
      </c>
      <c r="I27" s="59">
        <v>296.37646692593887</v>
      </c>
      <c r="J27" s="60">
        <v>616.05962667465212</v>
      </c>
      <c r="K27" s="60">
        <v>32.177989327907575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258.43679147032657</v>
      </c>
      <c r="V27" s="62">
        <v>56.545472857678973</v>
      </c>
      <c r="W27" s="62">
        <v>22.206619464119356</v>
      </c>
      <c r="X27" s="62">
        <v>4.8587656232117515</v>
      </c>
      <c r="Y27" s="62">
        <v>218.82469864579352</v>
      </c>
      <c r="Z27" s="62">
        <v>47.878423143502829</v>
      </c>
      <c r="AA27" s="72">
        <v>0</v>
      </c>
      <c r="AB27" s="69">
        <v>32.861431778801929</v>
      </c>
      <c r="AC27" s="69">
        <v>0</v>
      </c>
      <c r="AD27" s="69">
        <v>10.563793214493339</v>
      </c>
      <c r="AE27" s="69">
        <v>8.5341364553481487</v>
      </c>
      <c r="AF27" s="69">
        <v>1.8672526405940353</v>
      </c>
      <c r="AG27" s="69">
        <v>0.82048045473825293</v>
      </c>
      <c r="AH27" s="69">
        <v>186.25555431048079</v>
      </c>
      <c r="AI27" s="69">
        <v>995.29635066986066</v>
      </c>
      <c r="AJ27" s="69">
        <v>3019.998216247558</v>
      </c>
      <c r="AK27" s="69">
        <v>584.19990135828652</v>
      </c>
      <c r="AL27" s="69">
        <v>2043.8595706939695</v>
      </c>
      <c r="AM27" s="69">
        <v>2174.6072942097981</v>
      </c>
      <c r="AN27" s="69">
        <v>367.36229271888737</v>
      </c>
      <c r="AO27" s="69">
        <v>1617.8490848541264</v>
      </c>
      <c r="AP27" s="69">
        <v>361.59878557523092</v>
      </c>
      <c r="AQ27" s="69">
        <v>808.76315650939944</v>
      </c>
    </row>
    <row r="28" spans="1:43" x14ac:dyDescent="0.25">
      <c r="A28" s="11">
        <v>41933</v>
      </c>
      <c r="B28" s="59"/>
      <c r="C28" s="60">
        <v>20.406290541092577</v>
      </c>
      <c r="D28" s="60">
        <v>313.52105313936892</v>
      </c>
      <c r="E28" s="60">
        <v>4.6140235687295652</v>
      </c>
      <c r="F28" s="60">
        <v>0</v>
      </c>
      <c r="G28" s="60">
        <v>600.98</v>
      </c>
      <c r="H28" s="61">
        <v>20.016008192300809</v>
      </c>
      <c r="I28" s="59">
        <v>292.76365548769633</v>
      </c>
      <c r="J28" s="60">
        <v>593.47311792373682</v>
      </c>
      <c r="K28" s="60">
        <v>32.330527687072703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266.18565823824463</v>
      </c>
      <c r="V28" s="62">
        <v>59.143705383360818</v>
      </c>
      <c r="W28" s="62">
        <v>22.536391929447689</v>
      </c>
      <c r="X28" s="62">
        <v>5.007353639940396</v>
      </c>
      <c r="Y28" s="66">
        <v>227.67154315172544</v>
      </c>
      <c r="Z28" s="66">
        <v>50.586266598513966</v>
      </c>
      <c r="AA28" s="67">
        <v>0</v>
      </c>
      <c r="AB28" s="68">
        <v>32.861398368411798</v>
      </c>
      <c r="AC28" s="69">
        <v>0</v>
      </c>
      <c r="AD28" s="69">
        <v>11.077878780828572</v>
      </c>
      <c r="AE28" s="68">
        <v>8.8729323305242556</v>
      </c>
      <c r="AF28" s="68">
        <v>1.9714739671411228</v>
      </c>
      <c r="AG28" s="68">
        <v>0.8182036053402435</v>
      </c>
      <c r="AH28" s="69">
        <v>182.65312129656473</v>
      </c>
      <c r="AI28" s="69">
        <v>999.38220558166495</v>
      </c>
      <c r="AJ28" s="69">
        <v>3038.225271479288</v>
      </c>
      <c r="AK28" s="69">
        <v>609.77202115058901</v>
      </c>
      <c r="AL28" s="69">
        <v>2098.5931629180909</v>
      </c>
      <c r="AM28" s="69">
        <v>2146.8983545939132</v>
      </c>
      <c r="AN28" s="69">
        <v>375.97994805971791</v>
      </c>
      <c r="AO28" s="69">
        <v>1566.9772445042931</v>
      </c>
      <c r="AP28" s="69">
        <v>333.93195366859442</v>
      </c>
      <c r="AQ28" s="69">
        <v>824.03389431635537</v>
      </c>
    </row>
    <row r="29" spans="1:43" x14ac:dyDescent="0.25">
      <c r="A29" s="11">
        <v>41934</v>
      </c>
      <c r="B29" s="59"/>
      <c r="C29" s="60">
        <v>20.700042098760637</v>
      </c>
      <c r="D29" s="60">
        <v>315.1741443475081</v>
      </c>
      <c r="E29" s="60">
        <v>4.6048062294721603</v>
      </c>
      <c r="F29" s="60">
        <v>0</v>
      </c>
      <c r="G29" s="60">
        <v>600.98</v>
      </c>
      <c r="H29" s="61">
        <v>20.064484721422172</v>
      </c>
      <c r="I29" s="59">
        <v>289.28726704915357</v>
      </c>
      <c r="J29" s="60">
        <v>593.60132042566943</v>
      </c>
      <c r="K29" s="60">
        <v>32.246779155731282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270.53541443534715</v>
      </c>
      <c r="V29" s="62">
        <v>60.119228983710407</v>
      </c>
      <c r="W29" s="62">
        <v>22.824841112844549</v>
      </c>
      <c r="X29" s="62">
        <v>5.0722078373507795</v>
      </c>
      <c r="Y29" s="66">
        <v>230.08807210980473</v>
      </c>
      <c r="Z29" s="66">
        <v>51.130893611326371</v>
      </c>
      <c r="AA29" s="67">
        <v>0</v>
      </c>
      <c r="AB29" s="68">
        <v>32.864240034421236</v>
      </c>
      <c r="AC29" s="69">
        <v>0</v>
      </c>
      <c r="AD29" s="69">
        <v>11.234389268027414</v>
      </c>
      <c r="AE29" s="68">
        <v>9.0001400649561276</v>
      </c>
      <c r="AF29" s="68">
        <v>2.0000393759164274</v>
      </c>
      <c r="AG29" s="68">
        <v>0.81818120452789811</v>
      </c>
      <c r="AH29" s="69">
        <v>191.18454705874126</v>
      </c>
      <c r="AI29" s="69">
        <v>1002.2334009170534</v>
      </c>
      <c r="AJ29" s="69">
        <v>3020.4294881184887</v>
      </c>
      <c r="AK29" s="69">
        <v>603.68038541475926</v>
      </c>
      <c r="AL29" s="69">
        <v>2015.0414925893149</v>
      </c>
      <c r="AM29" s="69">
        <v>2226.651912689209</v>
      </c>
      <c r="AN29" s="69">
        <v>429.50014975865685</v>
      </c>
      <c r="AO29" s="69">
        <v>1524.4174748738606</v>
      </c>
      <c r="AP29" s="69">
        <v>313.08987897237142</v>
      </c>
      <c r="AQ29" s="69">
        <v>806.7688501358034</v>
      </c>
    </row>
    <row r="30" spans="1:43" x14ac:dyDescent="0.25">
      <c r="A30" s="11">
        <v>41935</v>
      </c>
      <c r="B30" s="59"/>
      <c r="C30" s="60">
        <v>20.108122577269782</v>
      </c>
      <c r="D30" s="60">
        <v>312.7195173899334</v>
      </c>
      <c r="E30" s="60">
        <v>4.5857489903767918</v>
      </c>
      <c r="F30" s="60">
        <v>0</v>
      </c>
      <c r="G30" s="60">
        <v>726.19718513488783</v>
      </c>
      <c r="H30" s="61">
        <v>19.860374604662272</v>
      </c>
      <c r="I30" s="59">
        <v>291.62473646799714</v>
      </c>
      <c r="J30" s="60">
        <v>593.86898136138836</v>
      </c>
      <c r="K30" s="60">
        <v>32.435725229978608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269.70367315318936</v>
      </c>
      <c r="V30" s="62">
        <v>59.940617410606485</v>
      </c>
      <c r="W30" s="62">
        <v>23.337349288479803</v>
      </c>
      <c r="X30" s="62">
        <v>5.1866372775869456</v>
      </c>
      <c r="Y30" s="66">
        <v>230.29358102039583</v>
      </c>
      <c r="Z30" s="66">
        <v>51.181874057093523</v>
      </c>
      <c r="AA30" s="67">
        <v>0</v>
      </c>
      <c r="AB30" s="68">
        <v>32.861580355962147</v>
      </c>
      <c r="AC30" s="69">
        <v>0</v>
      </c>
      <c r="AD30" s="69">
        <v>11.237820147805735</v>
      </c>
      <c r="AE30" s="68">
        <v>8.9993494995050263</v>
      </c>
      <c r="AF30" s="68">
        <v>2.0000712596441872</v>
      </c>
      <c r="AG30" s="68">
        <v>0.81816576495807314</v>
      </c>
      <c r="AH30" s="69">
        <v>184.66776382128398</v>
      </c>
      <c r="AI30" s="69">
        <v>1005.0328664143882</v>
      </c>
      <c r="AJ30" s="69">
        <v>3041.4595893859864</v>
      </c>
      <c r="AK30" s="69">
        <v>587.88689678510025</v>
      </c>
      <c r="AL30" s="69">
        <v>1967.2537253061932</v>
      </c>
      <c r="AM30" s="69">
        <v>2331.4170659383135</v>
      </c>
      <c r="AN30" s="69">
        <v>492.65522311528525</v>
      </c>
      <c r="AO30" s="69">
        <v>1559.2919528961179</v>
      </c>
      <c r="AP30" s="69">
        <v>316.18993794123332</v>
      </c>
      <c r="AQ30" s="69">
        <v>876.72038043340035</v>
      </c>
    </row>
    <row r="31" spans="1:43" x14ac:dyDescent="0.25">
      <c r="A31" s="11">
        <v>41936</v>
      </c>
      <c r="B31" s="59"/>
      <c r="C31" s="60">
        <v>21.807310233513487</v>
      </c>
      <c r="D31" s="60">
        <v>313.12492753664702</v>
      </c>
      <c r="E31" s="60">
        <v>4.5748264715075475</v>
      </c>
      <c r="F31" s="60">
        <v>0</v>
      </c>
      <c r="G31" s="60">
        <v>726.19718513488783</v>
      </c>
      <c r="H31" s="61">
        <v>19.955260351300222</v>
      </c>
      <c r="I31" s="59">
        <v>295.38715171813953</v>
      </c>
      <c r="J31" s="60">
        <v>593.9030541737867</v>
      </c>
      <c r="K31" s="60">
        <v>32.498998725414253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269.22819117031793</v>
      </c>
      <c r="V31" s="62">
        <v>59.845673830087179</v>
      </c>
      <c r="W31" s="62">
        <v>23.330985059183337</v>
      </c>
      <c r="X31" s="62">
        <v>5.1861527424638396</v>
      </c>
      <c r="Y31" s="66">
        <v>230.22408497759605</v>
      </c>
      <c r="Z31" s="66">
        <v>51.175604744465126</v>
      </c>
      <c r="AA31" s="67">
        <v>0</v>
      </c>
      <c r="AB31" s="68">
        <v>32.860963792271306</v>
      </c>
      <c r="AC31" s="69">
        <v>0</v>
      </c>
      <c r="AD31" s="69">
        <v>11.234072897169312</v>
      </c>
      <c r="AE31" s="68">
        <v>8.9975744037468814</v>
      </c>
      <c r="AF31" s="68">
        <v>2.0000353628938337</v>
      </c>
      <c r="AG31" s="68">
        <v>0.81813908609845543</v>
      </c>
      <c r="AH31" s="69">
        <v>178.90094184875488</v>
      </c>
      <c r="AI31" s="69">
        <v>1008.4327792485553</v>
      </c>
      <c r="AJ31" s="69">
        <v>3022.6710496266678</v>
      </c>
      <c r="AK31" s="69">
        <v>601.54309471448255</v>
      </c>
      <c r="AL31" s="69">
        <v>1978.8973589579264</v>
      </c>
      <c r="AM31" s="69">
        <v>2266.5946879069011</v>
      </c>
      <c r="AN31" s="69">
        <v>519.12257359822593</v>
      </c>
      <c r="AO31" s="69">
        <v>1528.2320106506347</v>
      </c>
      <c r="AP31" s="69">
        <v>323.31387233734125</v>
      </c>
      <c r="AQ31" s="69">
        <v>883.2704814592995</v>
      </c>
    </row>
    <row r="32" spans="1:43" x14ac:dyDescent="0.25">
      <c r="A32" s="11">
        <v>41937</v>
      </c>
      <c r="B32" s="59"/>
      <c r="C32" s="60">
        <v>21.935900549093866</v>
      </c>
      <c r="D32" s="60">
        <v>313.18350922266654</v>
      </c>
      <c r="E32" s="60">
        <v>4.570460326969628</v>
      </c>
      <c r="F32" s="60">
        <v>0</v>
      </c>
      <c r="G32" s="60">
        <v>726.19718513488783</v>
      </c>
      <c r="H32" s="61">
        <v>19.921711304783834</v>
      </c>
      <c r="I32" s="59">
        <v>295.31600845654799</v>
      </c>
      <c r="J32" s="60">
        <v>593.85006128946918</v>
      </c>
      <c r="K32" s="60">
        <v>32.528455752134349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269.25565619809629</v>
      </c>
      <c r="V32" s="62">
        <v>59.84663412494664</v>
      </c>
      <c r="W32" s="62">
        <v>23.035072590784061</v>
      </c>
      <c r="X32" s="62">
        <v>5.1199353835226402</v>
      </c>
      <c r="Y32" s="66">
        <v>228.92753273646201</v>
      </c>
      <c r="Z32" s="66">
        <v>50.883025026319395</v>
      </c>
      <c r="AA32" s="67">
        <v>0</v>
      </c>
      <c r="AB32" s="68">
        <v>32.857762148645186</v>
      </c>
      <c r="AC32" s="69">
        <v>0</v>
      </c>
      <c r="AD32" s="69">
        <v>11.234462845987741</v>
      </c>
      <c r="AE32" s="68">
        <v>8.9981282190773406</v>
      </c>
      <c r="AF32" s="68">
        <v>1.9999865367370022</v>
      </c>
      <c r="AG32" s="68">
        <v>0.81815187592221894</v>
      </c>
      <c r="AH32" s="69">
        <v>172.74695924123128</v>
      </c>
      <c r="AI32" s="69">
        <v>1016.3763229370117</v>
      </c>
      <c r="AJ32" s="69">
        <v>3019.5809583028158</v>
      </c>
      <c r="AK32" s="69">
        <v>634.22478872934971</v>
      </c>
      <c r="AL32" s="69">
        <v>2003.1041362762451</v>
      </c>
      <c r="AM32" s="69">
        <v>2196.3550619761149</v>
      </c>
      <c r="AN32" s="69">
        <v>533.55261119206739</v>
      </c>
      <c r="AO32" s="69">
        <v>1517.9650309244794</v>
      </c>
      <c r="AP32" s="69">
        <v>323.74746224085487</v>
      </c>
      <c r="AQ32" s="69">
        <v>819.52066462834659</v>
      </c>
    </row>
    <row r="33" spans="1:43" x14ac:dyDescent="0.25">
      <c r="A33" s="11">
        <v>41938</v>
      </c>
      <c r="B33" s="59"/>
      <c r="C33" s="60">
        <v>21.69259329636877</v>
      </c>
      <c r="D33" s="60">
        <v>313.03862649599711</v>
      </c>
      <c r="E33" s="60">
        <v>4.5664009675383657</v>
      </c>
      <c r="F33" s="60">
        <v>0</v>
      </c>
      <c r="G33" s="60">
        <v>726.19718513488783</v>
      </c>
      <c r="H33" s="61">
        <v>20.607612871130303</v>
      </c>
      <c r="I33" s="59">
        <v>295.50268303553247</v>
      </c>
      <c r="J33" s="60">
        <v>593.66801239649385</v>
      </c>
      <c r="K33" s="60">
        <v>32.612942794958741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269.21316378357807</v>
      </c>
      <c r="V33" s="62">
        <v>59.825344165401482</v>
      </c>
      <c r="W33" s="62">
        <v>22.900128989347738</v>
      </c>
      <c r="X33" s="62">
        <v>5.0889342815389709</v>
      </c>
      <c r="Y33" s="66">
        <v>225.6775860030142</v>
      </c>
      <c r="Z33" s="66">
        <v>50.15073952290475</v>
      </c>
      <c r="AA33" s="67">
        <v>0</v>
      </c>
      <c r="AB33" s="68">
        <v>32.85765064822327</v>
      </c>
      <c r="AC33" s="69">
        <v>0</v>
      </c>
      <c r="AD33" s="69">
        <v>11.235471597645029</v>
      </c>
      <c r="AE33" s="68">
        <v>8.9999369472033131</v>
      </c>
      <c r="AF33" s="68">
        <v>1.9999925626452399</v>
      </c>
      <c r="AG33" s="68">
        <v>0.81818132917537434</v>
      </c>
      <c r="AH33" s="69">
        <v>174.43401063283284</v>
      </c>
      <c r="AI33" s="69">
        <v>1021.73607934316</v>
      </c>
      <c r="AJ33" s="69">
        <v>3060.3255050659186</v>
      </c>
      <c r="AK33" s="69">
        <v>612.93458259900422</v>
      </c>
      <c r="AL33" s="69">
        <v>2005.2811344146726</v>
      </c>
      <c r="AM33" s="69">
        <v>2253.4468413035079</v>
      </c>
      <c r="AN33" s="69">
        <v>530.99573748906448</v>
      </c>
      <c r="AO33" s="69">
        <v>1525.8953432718913</v>
      </c>
      <c r="AP33" s="69">
        <v>331.74111274083458</v>
      </c>
      <c r="AQ33" s="69">
        <v>802.81048987706492</v>
      </c>
    </row>
    <row r="34" spans="1:43" x14ac:dyDescent="0.25">
      <c r="A34" s="11">
        <v>41939</v>
      </c>
      <c r="B34" s="59"/>
      <c r="C34" s="60">
        <v>21.227762848138738</v>
      </c>
      <c r="D34" s="60">
        <v>313.73018740018171</v>
      </c>
      <c r="E34" s="60">
        <v>4.545784930388133</v>
      </c>
      <c r="F34" s="60">
        <v>0</v>
      </c>
      <c r="G34" s="60">
        <v>726.19718513488783</v>
      </c>
      <c r="H34" s="61">
        <v>19.916949097315452</v>
      </c>
      <c r="I34" s="59">
        <v>294.90062616666171</v>
      </c>
      <c r="J34" s="60">
        <v>593.47667051951089</v>
      </c>
      <c r="K34" s="60">
        <v>32.339771840969718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254.80204535048003</v>
      </c>
      <c r="V34" s="62">
        <v>54.560362842470603</v>
      </c>
      <c r="W34" s="62">
        <v>21.361855370032711</v>
      </c>
      <c r="X34" s="62">
        <v>4.5741806286295894</v>
      </c>
      <c r="Y34" s="66">
        <v>209.39237292490756</v>
      </c>
      <c r="Z34" s="66">
        <v>44.836860816852742</v>
      </c>
      <c r="AA34" s="67">
        <v>0</v>
      </c>
      <c r="AB34" s="68">
        <v>32.857242112689228</v>
      </c>
      <c r="AC34" s="69">
        <v>0</v>
      </c>
      <c r="AD34" s="69">
        <v>10.459736003809502</v>
      </c>
      <c r="AE34" s="68">
        <v>8.4308980015908084</v>
      </c>
      <c r="AF34" s="68">
        <v>1.8052949827068119</v>
      </c>
      <c r="AG34" s="68">
        <v>0.82363609346989219</v>
      </c>
      <c r="AH34" s="69">
        <v>193.23817009925844</v>
      </c>
      <c r="AI34" s="69">
        <v>1041.9681021372478</v>
      </c>
      <c r="AJ34" s="69">
        <v>2957.4808807373051</v>
      </c>
      <c r="AK34" s="69">
        <v>497.64467471440634</v>
      </c>
      <c r="AL34" s="69">
        <v>2068.8567624409989</v>
      </c>
      <c r="AM34" s="69">
        <v>2361.5164590199793</v>
      </c>
      <c r="AN34" s="69">
        <v>482.25346447626742</v>
      </c>
      <c r="AO34" s="69">
        <v>1573.5127721150714</v>
      </c>
      <c r="AP34" s="69">
        <v>350.99863670667014</v>
      </c>
      <c r="AQ34" s="69">
        <v>663.44296703338637</v>
      </c>
    </row>
    <row r="35" spans="1:43" x14ac:dyDescent="0.25">
      <c r="A35" s="11">
        <v>41940</v>
      </c>
      <c r="B35" s="59"/>
      <c r="C35" s="60">
        <v>20.232458859682094</v>
      </c>
      <c r="D35" s="60">
        <v>312.76626278559434</v>
      </c>
      <c r="E35" s="60">
        <v>4.5307655856013289</v>
      </c>
      <c r="F35" s="60">
        <v>0</v>
      </c>
      <c r="G35" s="60">
        <v>726.19718513488783</v>
      </c>
      <c r="H35" s="61">
        <v>19.800857726732875</v>
      </c>
      <c r="I35" s="59">
        <v>297.31565678914387</v>
      </c>
      <c r="J35" s="60">
        <v>592.33021793365413</v>
      </c>
      <c r="K35" s="60">
        <v>32.298145445187899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274.89111672861827</v>
      </c>
      <c r="V35" s="62">
        <v>61.040079590114473</v>
      </c>
      <c r="W35" s="62">
        <v>23.58593045624373</v>
      </c>
      <c r="X35" s="62">
        <v>5.2372993692529155</v>
      </c>
      <c r="Y35" s="66">
        <v>224.61039847453921</v>
      </c>
      <c r="Z35" s="66">
        <v>49.875153343672451</v>
      </c>
      <c r="AA35" s="67">
        <v>0</v>
      </c>
      <c r="AB35" s="68">
        <v>32.852233868174608</v>
      </c>
      <c r="AC35" s="69">
        <v>0</v>
      </c>
      <c r="AD35" s="69">
        <v>11.218344093031346</v>
      </c>
      <c r="AE35" s="68">
        <v>9.0002785193682335</v>
      </c>
      <c r="AF35" s="68">
        <v>1.9985284489851247</v>
      </c>
      <c r="AG35" s="68">
        <v>0.81829588838721778</v>
      </c>
      <c r="AH35" s="69">
        <v>205.31344091097517</v>
      </c>
      <c r="AI35" s="69">
        <v>1046.7030165672302</v>
      </c>
      <c r="AJ35" s="69">
        <v>2971.6231538136803</v>
      </c>
      <c r="AK35" s="69">
        <v>500.06197579701745</v>
      </c>
      <c r="AL35" s="69">
        <v>2086.2544404347732</v>
      </c>
      <c r="AM35" s="69">
        <v>2300.6920599619548</v>
      </c>
      <c r="AN35" s="69">
        <v>469.48180481592829</v>
      </c>
      <c r="AO35" s="69">
        <v>1634.2829006195066</v>
      </c>
      <c r="AP35" s="69">
        <v>359.70550874074297</v>
      </c>
      <c r="AQ35" s="69">
        <v>701.23473796844473</v>
      </c>
    </row>
    <row r="36" spans="1:43" x14ac:dyDescent="0.25">
      <c r="A36" s="11">
        <v>41941</v>
      </c>
      <c r="B36" s="59"/>
      <c r="C36" s="60">
        <v>20.223419765631299</v>
      </c>
      <c r="D36" s="60">
        <v>312.37793169021592</v>
      </c>
      <c r="E36" s="60">
        <v>4.5605705206592884</v>
      </c>
      <c r="F36" s="60">
        <v>0</v>
      </c>
      <c r="G36" s="60">
        <v>726.19718513488783</v>
      </c>
      <c r="H36" s="61">
        <v>19.684980359673517</v>
      </c>
      <c r="I36" s="59">
        <v>286.78354279200215</v>
      </c>
      <c r="J36" s="60">
        <v>564.89099922180242</v>
      </c>
      <c r="K36" s="60">
        <v>30.480575942993134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249.66488653898591</v>
      </c>
      <c r="V36" s="62">
        <v>58.342359478472254</v>
      </c>
      <c r="W36" s="62">
        <v>20.912794670412968</v>
      </c>
      <c r="X36" s="62">
        <v>4.8869578789173849</v>
      </c>
      <c r="Y36" s="66">
        <v>202.9167840932667</v>
      </c>
      <c r="Z36" s="66">
        <v>47.418137672060134</v>
      </c>
      <c r="AA36" s="67">
        <v>0</v>
      </c>
      <c r="AB36" s="68">
        <v>32.849706522623421</v>
      </c>
      <c r="AC36" s="69">
        <v>0</v>
      </c>
      <c r="AD36" s="69">
        <v>10.227298829621734</v>
      </c>
      <c r="AE36" s="68">
        <v>8.1040282411848708</v>
      </c>
      <c r="AF36" s="68">
        <v>1.8937710281380258</v>
      </c>
      <c r="AG36" s="68">
        <v>0.81058121121226689</v>
      </c>
      <c r="AH36" s="69">
        <v>195.96530588467917</v>
      </c>
      <c r="AI36" s="69">
        <v>843.36701399485275</v>
      </c>
      <c r="AJ36" s="69">
        <v>2976.2553590138759</v>
      </c>
      <c r="AK36" s="69">
        <v>553.05255150794972</v>
      </c>
      <c r="AL36" s="69">
        <v>2069.7993185679115</v>
      </c>
      <c r="AM36" s="69">
        <v>2273.037901178996</v>
      </c>
      <c r="AN36" s="69">
        <v>489.56718716621401</v>
      </c>
      <c r="AO36" s="69">
        <v>1606.9782032648723</v>
      </c>
      <c r="AP36" s="69">
        <v>343.41707412401831</v>
      </c>
      <c r="AQ36" s="69">
        <v>777.18793439865101</v>
      </c>
    </row>
    <row r="37" spans="1:43" x14ac:dyDescent="0.25">
      <c r="A37" s="11">
        <v>41942</v>
      </c>
      <c r="B37" s="59"/>
      <c r="C37" s="60">
        <v>20.650677680969437</v>
      </c>
      <c r="D37" s="60">
        <v>324.13868896166463</v>
      </c>
      <c r="E37" s="60">
        <v>4.6479914014538082</v>
      </c>
      <c r="F37" s="60">
        <v>0</v>
      </c>
      <c r="G37" s="60">
        <v>726.19718513488783</v>
      </c>
      <c r="H37" s="61">
        <v>19.878139019012451</v>
      </c>
      <c r="I37" s="59">
        <v>284.21115922927856</v>
      </c>
      <c r="J37" s="60">
        <v>560.30852050781243</v>
      </c>
      <c r="K37" s="60">
        <v>30.643833609422067</v>
      </c>
      <c r="L37" s="5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261.76479646062018</v>
      </c>
      <c r="V37" s="62">
        <v>61.596352945819</v>
      </c>
      <c r="W37" s="62">
        <v>22.632613186433652</v>
      </c>
      <c r="X37" s="62">
        <v>5.3257215972793741</v>
      </c>
      <c r="Y37" s="66">
        <v>212.325117362383</v>
      </c>
      <c r="Z37" s="66">
        <v>49.962611646609645</v>
      </c>
      <c r="AA37" s="67">
        <v>0</v>
      </c>
      <c r="AB37" s="68">
        <v>32.853036557303071</v>
      </c>
      <c r="AC37" s="69">
        <v>0</v>
      </c>
      <c r="AD37" s="69">
        <v>10.716765691836697</v>
      </c>
      <c r="AE37" s="68">
        <v>8.5007763133927785</v>
      </c>
      <c r="AF37" s="68">
        <v>2.0003332197191472</v>
      </c>
      <c r="AG37" s="68">
        <v>0.8095122031237052</v>
      </c>
      <c r="AH37" s="69">
        <v>194.75009773572287</v>
      </c>
      <c r="AI37" s="69">
        <v>766.21318937937406</v>
      </c>
      <c r="AJ37" s="69">
        <v>2958.2918465932203</v>
      </c>
      <c r="AK37" s="69">
        <v>522.20028289159131</v>
      </c>
      <c r="AL37" s="69">
        <v>2175.4353604634603</v>
      </c>
      <c r="AM37" s="69">
        <v>2235.9996397654213</v>
      </c>
      <c r="AN37" s="69">
        <v>490.64256477355957</v>
      </c>
      <c r="AO37" s="69">
        <v>1553.3915606180826</v>
      </c>
      <c r="AP37" s="69">
        <v>338.69713970820106</v>
      </c>
      <c r="AQ37" s="69">
        <v>670.68428392410271</v>
      </c>
    </row>
    <row r="38" spans="1:43" ht="15.75" thickBot="1" x14ac:dyDescent="0.3">
      <c r="A38" s="11">
        <v>41943</v>
      </c>
      <c r="B38" s="73"/>
      <c r="C38" s="74">
        <v>19.44075967073449</v>
      </c>
      <c r="D38" s="74">
        <v>302.34311888813937</v>
      </c>
      <c r="E38" s="74">
        <v>4.3226480086644443</v>
      </c>
      <c r="F38" s="74">
        <v>0</v>
      </c>
      <c r="G38" s="74">
        <v>454.97346897125203</v>
      </c>
      <c r="H38" s="75">
        <v>18.554663160443297</v>
      </c>
      <c r="I38" s="76">
        <v>309.08873534202581</v>
      </c>
      <c r="J38" s="74">
        <v>608.9092161814375</v>
      </c>
      <c r="K38" s="74">
        <v>33.123832833767011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271.47095845057851</v>
      </c>
      <c r="V38" s="80">
        <v>49.70221504058005</v>
      </c>
      <c r="W38" s="81">
        <v>23.369315159622822</v>
      </c>
      <c r="X38" s="81">
        <v>4.2785671588738801</v>
      </c>
      <c r="Y38" s="80">
        <v>217.32051280296923</v>
      </c>
      <c r="Z38" s="80">
        <v>39.788089752623371</v>
      </c>
      <c r="AA38" s="82">
        <v>0</v>
      </c>
      <c r="AB38" s="83">
        <v>32.853389739989723</v>
      </c>
      <c r="AC38" s="84">
        <v>0</v>
      </c>
      <c r="AD38" s="85">
        <v>10.536877467234937</v>
      </c>
      <c r="AE38" s="83">
        <v>8.7457184122786256</v>
      </c>
      <c r="AF38" s="83">
        <v>1.6012083933116796</v>
      </c>
      <c r="AG38" s="83">
        <v>0.84524792497357104</v>
      </c>
      <c r="AH38" s="84">
        <v>195.10481344858803</v>
      </c>
      <c r="AI38" s="84">
        <v>758.42526245117187</v>
      </c>
      <c r="AJ38" s="84">
        <v>2860.4833419799802</v>
      </c>
      <c r="AK38" s="84">
        <v>478.69165802001953</v>
      </c>
      <c r="AL38" s="84">
        <v>1966.8201913197836</v>
      </c>
      <c r="AM38" s="84">
        <v>2319.8184244791664</v>
      </c>
      <c r="AN38" s="84">
        <v>483.77018156051639</v>
      </c>
      <c r="AO38" s="84">
        <v>1603.4066286087034</v>
      </c>
      <c r="AP38" s="84">
        <v>366.30711971918731</v>
      </c>
      <c r="AQ38" s="84">
        <v>691.04069735209134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540.48812854886091</v>
      </c>
      <c r="D39" s="30">
        <f t="shared" si="0"/>
        <v>8082.0795082886989</v>
      </c>
      <c r="E39" s="30">
        <f t="shared" si="0"/>
        <v>127.37310712287824</v>
      </c>
      <c r="F39" s="30">
        <f t="shared" si="0"/>
        <v>0</v>
      </c>
      <c r="G39" s="30">
        <f t="shared" si="0"/>
        <v>16006.377771606443</v>
      </c>
      <c r="H39" s="31">
        <f t="shared" si="0"/>
        <v>506.35491962432877</v>
      </c>
      <c r="I39" s="29">
        <f t="shared" si="0"/>
        <v>11098.911559327442</v>
      </c>
      <c r="J39" s="30">
        <f t="shared" si="0"/>
        <v>22090.530074850729</v>
      </c>
      <c r="K39" s="30">
        <f t="shared" si="0"/>
        <v>1185.2024566968287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9072.3167663656186</v>
      </c>
      <c r="V39" s="264">
        <f t="shared" si="0"/>
        <v>1426.4339394805293</v>
      </c>
      <c r="W39" s="264">
        <f t="shared" si="0"/>
        <v>801.42103770969095</v>
      </c>
      <c r="X39" s="264">
        <f t="shared" si="0"/>
        <v>123.82424116534204</v>
      </c>
      <c r="Y39" s="264">
        <f t="shared" si="0"/>
        <v>7891.017546424483</v>
      </c>
      <c r="Z39" s="264">
        <f t="shared" si="0"/>
        <v>1208.4349654662501</v>
      </c>
      <c r="AA39" s="272">
        <f t="shared" si="0"/>
        <v>0</v>
      </c>
      <c r="AB39" s="275">
        <f t="shared" si="0"/>
        <v>961.42734333011754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5942.7236908992136</v>
      </c>
      <c r="AI39" s="275">
        <f t="shared" si="1"/>
        <v>27171.295662339529</v>
      </c>
      <c r="AJ39" s="275">
        <f t="shared" si="1"/>
        <v>83084.957197316471</v>
      </c>
      <c r="AK39" s="275">
        <f t="shared" si="1"/>
        <v>18589.27080942789</v>
      </c>
      <c r="AL39" s="275">
        <f t="shared" si="1"/>
        <v>58796.765856234248</v>
      </c>
      <c r="AM39" s="275">
        <f t="shared" si="1"/>
        <v>65814.779843902579</v>
      </c>
      <c r="AN39" s="275">
        <f t="shared" si="1"/>
        <v>12979.891139284771</v>
      </c>
      <c r="AO39" s="275">
        <f t="shared" si="1"/>
        <v>50784.02498531343</v>
      </c>
      <c r="AP39" s="275">
        <f t="shared" si="1"/>
        <v>12082.517163817087</v>
      </c>
      <c r="AQ39" s="275">
        <f t="shared" si="1"/>
        <v>23284.0530552864</v>
      </c>
    </row>
    <row r="40" spans="1:43" ht="15.75" thickBot="1" x14ac:dyDescent="0.3">
      <c r="A40" s="47" t="s">
        <v>174</v>
      </c>
      <c r="B40" s="32">
        <f>Projection!$AD$30</f>
        <v>0.80583665399999982</v>
      </c>
      <c r="C40" s="33">
        <f>Projection!$AD$28</f>
        <v>1.0959093599999998</v>
      </c>
      <c r="D40" s="33">
        <f>Projection!$AD$31</f>
        <v>2.1834120000000001</v>
      </c>
      <c r="E40" s="33">
        <f>Projection!$AD$26</f>
        <v>4.3368000000000002</v>
      </c>
      <c r="F40" s="33">
        <f>Projection!$AD$23</f>
        <v>5.8379999999999994E-2</v>
      </c>
      <c r="G40" s="33">
        <f>Projection!$AD$24</f>
        <v>5.5119999999999995E-2</v>
      </c>
      <c r="H40" s="34">
        <f>Projection!$AD$29</f>
        <v>3.4361216999999997</v>
      </c>
      <c r="I40" s="32">
        <f>Projection!$AD$30</f>
        <v>0.80583665399999982</v>
      </c>
      <c r="J40" s="33">
        <f>Projection!$AD$28</f>
        <v>1.0959093599999998</v>
      </c>
      <c r="K40" s="33">
        <f>Projection!$AD$26</f>
        <v>4.3368000000000002</v>
      </c>
      <c r="L40" s="33">
        <f>Projection!$AD$25</f>
        <v>0</v>
      </c>
      <c r="M40" s="33">
        <f>Projection!$AD$23</f>
        <v>5.8379999999999994E-2</v>
      </c>
      <c r="N40" s="34">
        <f>Projection!$AD$23</f>
        <v>5.8379999999999994E-2</v>
      </c>
      <c r="O40" s="266">
        <v>15.77</v>
      </c>
      <c r="P40" s="267">
        <v>15.77</v>
      </c>
      <c r="Q40" s="267">
        <v>15.77</v>
      </c>
      <c r="R40" s="267">
        <v>15.77</v>
      </c>
      <c r="S40" s="267">
        <f>Projection!$AD$28</f>
        <v>1.0959093599999998</v>
      </c>
      <c r="T40" s="268">
        <f>Projection!$AD$28</f>
        <v>1.0959093599999998</v>
      </c>
      <c r="U40" s="266">
        <f>Projection!$AD$27</f>
        <v>0.21934999999999999</v>
      </c>
      <c r="V40" s="267">
        <f>Projection!$AD$27</f>
        <v>0.21934999999999999</v>
      </c>
      <c r="W40" s="267">
        <f>Projection!$AD$22</f>
        <v>1.1625000000000001</v>
      </c>
      <c r="X40" s="267">
        <f>Projection!$AD$22</f>
        <v>1.1625000000000001</v>
      </c>
      <c r="Y40" s="267">
        <f>Projection!$AD$31</f>
        <v>2.1834120000000001</v>
      </c>
      <c r="Z40" s="267">
        <f>Projection!$AD$31</f>
        <v>2.1834120000000001</v>
      </c>
      <c r="AA40" s="273">
        <v>0</v>
      </c>
      <c r="AB40" s="276">
        <f>Projection!$AD$27</f>
        <v>0.21934999999999999</v>
      </c>
      <c r="AC40" s="276">
        <f>Projection!$AD$30</f>
        <v>0.80583665399999982</v>
      </c>
      <c r="AD40" s="279">
        <f>SUM(AD8:AD38)</f>
        <v>361.68322034676885</v>
      </c>
      <c r="AE40" s="279">
        <f>SUM(AE8:AE38)</f>
        <v>308.1522387192008</v>
      </c>
      <c r="AF40" s="279">
        <f>SUM(AF8:AF38)</f>
        <v>47.518892195562707</v>
      </c>
      <c r="AG40" s="279">
        <f>IF(SUM(AE40:AF40)&gt;0, AE40/(AE40+AF40), "")</f>
        <v>0.86639654426450874</v>
      </c>
      <c r="AH40" s="315">
        <v>6.8000000000000005E-2</v>
      </c>
      <c r="AI40" s="315">
        <f t="shared" ref="AI40:AQ40" si="2">$AH$40</f>
        <v>6.8000000000000005E-2</v>
      </c>
      <c r="AJ40" s="315">
        <f t="shared" si="2"/>
        <v>6.8000000000000005E-2</v>
      </c>
      <c r="AK40" s="315">
        <f t="shared" si="2"/>
        <v>6.8000000000000005E-2</v>
      </c>
      <c r="AL40" s="315">
        <f t="shared" si="2"/>
        <v>6.8000000000000005E-2</v>
      </c>
      <c r="AM40" s="315">
        <f t="shared" si="2"/>
        <v>6.8000000000000005E-2</v>
      </c>
      <c r="AN40" s="315">
        <f t="shared" si="2"/>
        <v>6.8000000000000005E-2</v>
      </c>
      <c r="AO40" s="315">
        <f t="shared" si="2"/>
        <v>6.8000000000000005E-2</v>
      </c>
      <c r="AP40" s="315">
        <f t="shared" si="2"/>
        <v>6.8000000000000005E-2</v>
      </c>
      <c r="AQ40" s="315">
        <f t="shared" si="2"/>
        <v>6.8000000000000005E-2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592.32599904557981</v>
      </c>
      <c r="D41" s="36">
        <f t="shared" si="3"/>
        <v>17646.509383351644</v>
      </c>
      <c r="E41" s="36">
        <f t="shared" si="3"/>
        <v>552.39169097049842</v>
      </c>
      <c r="F41" s="36">
        <f t="shared" si="3"/>
        <v>0</v>
      </c>
      <c r="G41" s="36">
        <f t="shared" si="3"/>
        <v>882.27154277094712</v>
      </c>
      <c r="H41" s="37">
        <f t="shared" si="3"/>
        <v>1739.8971272229119</v>
      </c>
      <c r="I41" s="35">
        <f t="shared" si="3"/>
        <v>8943.9097540103467</v>
      </c>
      <c r="J41" s="36">
        <f t="shared" si="3"/>
        <v>24209.21867639041</v>
      </c>
      <c r="K41" s="36">
        <f t="shared" si="3"/>
        <v>5139.9860142028065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1990.0126827022984</v>
      </c>
      <c r="V41" s="270">
        <f t="shared" si="3"/>
        <v>312.8882846250541</v>
      </c>
      <c r="W41" s="270">
        <f t="shared" si="3"/>
        <v>931.6519563375158</v>
      </c>
      <c r="X41" s="270">
        <f t="shared" si="3"/>
        <v>143.94568035471013</v>
      </c>
      <c r="Y41" s="270">
        <f t="shared" si="3"/>
        <v>17229.342403073773</v>
      </c>
      <c r="Z41" s="270">
        <f t="shared" si="3"/>
        <v>2638.511404818596</v>
      </c>
      <c r="AA41" s="274">
        <f t="shared" si="3"/>
        <v>0</v>
      </c>
      <c r="AB41" s="277">
        <f t="shared" si="3"/>
        <v>210.88908775946126</v>
      </c>
      <c r="AC41" s="277">
        <f t="shared" si="3"/>
        <v>0</v>
      </c>
      <c r="AH41" s="280">
        <f t="shared" ref="AH41:AQ41" si="4">AH40*AH39</f>
        <v>404.10521098114657</v>
      </c>
      <c r="AI41" s="280">
        <f t="shared" si="4"/>
        <v>1847.648105039088</v>
      </c>
      <c r="AJ41" s="280">
        <f t="shared" si="4"/>
        <v>5649.7770894175201</v>
      </c>
      <c r="AK41" s="280">
        <f t="shared" si="4"/>
        <v>1264.0704150410966</v>
      </c>
      <c r="AL41" s="280">
        <f t="shared" si="4"/>
        <v>3998.1800782239293</v>
      </c>
      <c r="AM41" s="280">
        <f t="shared" si="4"/>
        <v>4475.4050293853761</v>
      </c>
      <c r="AN41" s="280">
        <f t="shared" si="4"/>
        <v>882.63259747136453</v>
      </c>
      <c r="AO41" s="280">
        <f t="shared" si="4"/>
        <v>3453.3136990013136</v>
      </c>
      <c r="AP41" s="280">
        <f t="shared" si="4"/>
        <v>821.61116713956199</v>
      </c>
      <c r="AQ41" s="280">
        <f t="shared" si="4"/>
        <v>1583.3156077594754</v>
      </c>
    </row>
    <row r="42" spans="1:43" ht="49.5" customHeight="1" thickTop="1" thickBot="1" x14ac:dyDescent="0.3">
      <c r="A42" s="564" t="s">
        <v>212</v>
      </c>
      <c r="B42" s="565"/>
      <c r="C42" s="565"/>
      <c r="D42" s="565"/>
      <c r="E42" s="565"/>
      <c r="F42" s="565"/>
      <c r="G42" s="565"/>
      <c r="H42" s="565"/>
      <c r="I42" s="565"/>
      <c r="J42" s="565"/>
      <c r="K42" s="54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514.83000000000004</v>
      </c>
      <c r="AI42" s="280" t="s">
        <v>199</v>
      </c>
      <c r="AJ42" s="280">
        <v>1221.6300000000001</v>
      </c>
      <c r="AK42" s="280">
        <v>163.55000000000001</v>
      </c>
      <c r="AL42" s="280">
        <v>545.41999999999996</v>
      </c>
      <c r="AM42" s="280">
        <v>1969.84</v>
      </c>
      <c r="AN42" s="280">
        <v>389.95</v>
      </c>
      <c r="AO42" s="280" t="s">
        <v>199</v>
      </c>
      <c r="AP42" s="280">
        <v>42.03</v>
      </c>
      <c r="AQ42" s="280">
        <v>280.14999999999998</v>
      </c>
    </row>
    <row r="43" spans="1:43" ht="38.25" customHeight="1" thickTop="1" thickBot="1" x14ac:dyDescent="0.3">
      <c r="A43" s="552" t="s">
        <v>49</v>
      </c>
      <c r="B43" s="548"/>
      <c r="C43" s="291"/>
      <c r="D43" s="548" t="s">
        <v>47</v>
      </c>
      <c r="E43" s="548"/>
      <c r="F43" s="291"/>
      <c r="G43" s="548" t="s">
        <v>48</v>
      </c>
      <c r="H43" s="548"/>
      <c r="I43" s="292"/>
      <c r="J43" s="548" t="s">
        <v>50</v>
      </c>
      <c r="K43" s="549"/>
      <c r="L43" s="44"/>
      <c r="M43" s="44"/>
      <c r="N43" s="44"/>
      <c r="O43" s="45"/>
      <c r="P43" s="45"/>
      <c r="Q43" s="45"/>
      <c r="R43" s="558" t="s">
        <v>168</v>
      </c>
      <c r="S43" s="559"/>
      <c r="T43" s="559"/>
      <c r="U43" s="560"/>
      <c r="AC43" s="45"/>
    </row>
    <row r="44" spans="1:43" ht="24.75" thickTop="1" thickBot="1" x14ac:dyDescent="0.3">
      <c r="A44" s="284" t="s">
        <v>135</v>
      </c>
      <c r="B44" s="285">
        <f>SUM(B41:AC41)</f>
        <v>83163.751687636555</v>
      </c>
      <c r="C44" s="12"/>
      <c r="D44" s="284" t="s">
        <v>135</v>
      </c>
      <c r="E44" s="285">
        <f>SUM(B41:H41)+P41+R41+T41+V41+X41+Z41</f>
        <v>24508.74111315994</v>
      </c>
      <c r="F44" s="12"/>
      <c r="G44" s="284" t="s">
        <v>135</v>
      </c>
      <c r="H44" s="285">
        <f>SUM(I41:N41)+O41+Q41+S41+U41+W41+Y41</f>
        <v>58444.121486717151</v>
      </c>
      <c r="I44" s="12"/>
      <c r="J44" s="284" t="s">
        <v>200</v>
      </c>
      <c r="K44" s="285">
        <v>132694.71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24380.058999459878</v>
      </c>
      <c r="C45" s="12"/>
      <c r="D45" s="286" t="s">
        <v>185</v>
      </c>
      <c r="E45" s="287">
        <f>AH41*(1-$AG$40)+AI41+AJ41*0.5+AL41+AM41*(1-$AG$40)+AN41*(1-$AG$40)+AO41*(1-$AG$40)+AP41*0.5+AQ41*0.5</f>
        <v>11104.396954923239</v>
      </c>
      <c r="F45" s="24"/>
      <c r="G45" s="286" t="s">
        <v>185</v>
      </c>
      <c r="H45" s="287">
        <f>AH41*AG40+AJ41*0.5+AK41+AM41*AG40+AN41*AG40+AO41*AG40+AP41*0.5+AQ41*0.5</f>
        <v>13275.662044536635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925.24527887503302</v>
      </c>
      <c r="U45" s="258">
        <f>(T45*8.34*0.895)/27000</f>
        <v>0.25578919759655216</v>
      </c>
    </row>
    <row r="46" spans="1:43" ht="32.25" thickBot="1" x14ac:dyDescent="0.3">
      <c r="A46" s="288" t="s">
        <v>186</v>
      </c>
      <c r="B46" s="289">
        <f>SUM(AH42:AQ42)</f>
        <v>5127.3999999999987</v>
      </c>
      <c r="C46" s="12"/>
      <c r="D46" s="288" t="s">
        <v>186</v>
      </c>
      <c r="E46" s="289">
        <f>AH42*(1-$AG$40)+AJ42*0.5+AL42+AM42*(1-$AG$40)+AN42*(1-$AG$40)+AP42*0.5+AQ42*0.5</f>
        <v>1701.384165926358</v>
      </c>
      <c r="F46" s="23"/>
      <c r="G46" s="288" t="s">
        <v>186</v>
      </c>
      <c r="H46" s="289">
        <f>AH42*AG40+AJ42*0.5+AK42+AM42*AG40+AN42*AG40+AP42*0.5+AQ42*0.5</f>
        <v>3426.0158340736416</v>
      </c>
      <c r="I46" s="12"/>
      <c r="J46" s="550" t="s">
        <v>201</v>
      </c>
      <c r="K46" s="551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132694.71</v>
      </c>
      <c r="C47" s="12"/>
      <c r="D47" s="288" t="s">
        <v>189</v>
      </c>
      <c r="E47" s="289">
        <f>K44*0.5</f>
        <v>66347.354999999996</v>
      </c>
      <c r="F47" s="24"/>
      <c r="G47" s="288" t="s">
        <v>187</v>
      </c>
      <c r="H47" s="289">
        <f>K44*0.5</f>
        <v>66347.354999999996</v>
      </c>
      <c r="I47" s="12"/>
      <c r="J47" s="284" t="s">
        <v>200</v>
      </c>
      <c r="K47" s="285">
        <v>62583.98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16006.377771606443</v>
      </c>
      <c r="U47" s="258">
        <f>T47/40000</f>
        <v>0.40015944429016109</v>
      </c>
    </row>
    <row r="48" spans="1:43" ht="24" thickBot="1" x14ac:dyDescent="0.3">
      <c r="A48" s="288" t="s">
        <v>188</v>
      </c>
      <c r="B48" s="289">
        <f>K47</f>
        <v>62583.98</v>
      </c>
      <c r="C48" s="12"/>
      <c r="D48" s="288" t="s">
        <v>188</v>
      </c>
      <c r="E48" s="289">
        <f>K47*0.5</f>
        <v>31291.99</v>
      </c>
      <c r="F48" s="23"/>
      <c r="G48" s="288" t="s">
        <v>188</v>
      </c>
      <c r="H48" s="289">
        <f>K47*0.5</f>
        <v>31291.99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361.68322034676885</v>
      </c>
      <c r="C49" s="12"/>
      <c r="D49" s="293" t="s">
        <v>197</v>
      </c>
      <c r="E49" s="294">
        <f>AF40</f>
        <v>47.518892195562707</v>
      </c>
      <c r="F49" s="23"/>
      <c r="G49" s="293" t="s">
        <v>198</v>
      </c>
      <c r="H49" s="294">
        <f>AE40</f>
        <v>308.1522387192008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1312.575563819707</v>
      </c>
      <c r="U49" s="258">
        <f>(T49*8.34*1.04)/45000</f>
        <v>0.25299456467436909</v>
      </c>
    </row>
    <row r="50" spans="1:25" ht="48" thickTop="1" thickBot="1" x14ac:dyDescent="0.3">
      <c r="A50" s="293" t="s">
        <v>192</v>
      </c>
      <c r="B50" s="295">
        <f>(SUM(B44:B48)/AD40)</f>
        <v>851.43540911808168</v>
      </c>
      <c r="C50" s="12"/>
      <c r="D50" s="293" t="s">
        <v>190</v>
      </c>
      <c r="E50" s="295">
        <f>SUM(E44:E48)/AF40</f>
        <v>2840.0044908162117</v>
      </c>
      <c r="F50" s="23"/>
      <c r="G50" s="293" t="s">
        <v>191</v>
      </c>
      <c r="H50" s="295">
        <f>SUM(H44:H48)/AE40</f>
        <v>560.71357807909783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11460.178049176266</v>
      </c>
      <c r="U50" s="258">
        <f>T50/2000/8</f>
        <v>0.71626112807351661</v>
      </c>
    </row>
    <row r="51" spans="1:25" ht="48" thickTop="1" thickBot="1" x14ac:dyDescent="0.3">
      <c r="A51" s="283" t="s">
        <v>193</v>
      </c>
      <c r="B51" s="296">
        <f>B50/1000</f>
        <v>0.85143540911808169</v>
      </c>
      <c r="C51" s="12"/>
      <c r="D51" s="283" t="s">
        <v>194</v>
      </c>
      <c r="E51" s="296">
        <f>E50/1000</f>
        <v>2.8400044908162116</v>
      </c>
      <c r="F51" s="12"/>
      <c r="G51" s="283" t="s">
        <v>195</v>
      </c>
      <c r="H51" s="296">
        <f>H50/1000</f>
        <v>0.56071357807909783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22631.018203399588</v>
      </c>
      <c r="U51" s="258">
        <f>(T51*8.34*1.4)/45000</f>
        <v>5.8719948565087465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506.35491962432877</v>
      </c>
      <c r="U52" s="258">
        <f>(T52*8.34*1.135)/45000</f>
        <v>0.10651344519270965</v>
      </c>
    </row>
    <row r="53" spans="1:25" ht="33" thickTop="1" thickBot="1" x14ac:dyDescent="0.3">
      <c r="A53" s="561" t="s">
        <v>51</v>
      </c>
      <c r="B53" s="562"/>
      <c r="C53" s="562"/>
      <c r="D53" s="562"/>
      <c r="E53" s="563"/>
      <c r="F53" s="12"/>
      <c r="G53" s="12"/>
      <c r="H53" s="373">
        <f>H44/H49</f>
        <v>189.65989580226122</v>
      </c>
      <c r="I53" s="12">
        <f>E44/E49</f>
        <v>515.76836034592066</v>
      </c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11098.911559327442</v>
      </c>
      <c r="U53" s="258">
        <f>(T53*8.34*1.029*0.03)/3300</f>
        <v>0.86590277413208905</v>
      </c>
    </row>
    <row r="54" spans="1:25" ht="59.25" customHeight="1" thickBot="1" x14ac:dyDescent="0.3">
      <c r="A54" s="545" t="s">
        <v>202</v>
      </c>
      <c r="B54" s="546"/>
      <c r="C54" s="546"/>
      <c r="D54" s="546"/>
      <c r="E54" s="54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5" t="s">
        <v>158</v>
      </c>
      <c r="S54" s="556"/>
      <c r="T54" s="260">
        <f>$D$39+$Y$39+$Z$39</f>
        <v>17181.532020179431</v>
      </c>
      <c r="U54" s="261">
        <f>(T54*1.54*8.34)/45000</f>
        <v>4.9038383256528126</v>
      </c>
      <c r="V54" s="328"/>
      <c r="W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25"/>
      <c r="T55" s="597"/>
      <c r="U55" s="597"/>
      <c r="V55" s="326"/>
      <c r="W55" s="327"/>
      <c r="X55" s="325"/>
      <c r="Y55" s="325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5"/>
      <c r="T56" s="598"/>
      <c r="U56" s="598"/>
      <c r="V56" s="326"/>
      <c r="W56" s="327"/>
      <c r="X56" s="325"/>
      <c r="Y56" s="325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5"/>
      <c r="T57" s="598"/>
      <c r="U57" s="598"/>
      <c r="V57" s="326"/>
      <c r="W57" s="327"/>
      <c r="X57" s="325"/>
      <c r="Y57" s="325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5"/>
      <c r="T58" s="598"/>
      <c r="U58" s="598"/>
      <c r="V58" s="326"/>
      <c r="W58" s="327"/>
      <c r="X58" s="325"/>
      <c r="Y58" s="325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5"/>
      <c r="T59" s="598"/>
      <c r="U59" s="598"/>
      <c r="V59" s="326"/>
      <c r="W59" s="327"/>
      <c r="X59" s="325"/>
      <c r="Y59" s="325"/>
    </row>
    <row r="60" spans="1:25" x14ac:dyDescent="0.25">
      <c r="S60" s="325"/>
      <c r="T60" s="598"/>
      <c r="U60" s="598"/>
      <c r="V60" s="326"/>
      <c r="W60" s="327"/>
      <c r="X60" s="325"/>
      <c r="Y60" s="325"/>
    </row>
    <row r="61" spans="1:25" x14ac:dyDescent="0.25">
      <c r="S61" s="325"/>
      <c r="T61" s="598"/>
      <c r="U61" s="598"/>
      <c r="V61" s="326"/>
      <c r="W61" s="327"/>
      <c r="X61" s="325"/>
      <c r="Y61" s="325"/>
    </row>
    <row r="62" spans="1:25" x14ac:dyDescent="0.25">
      <c r="S62" s="325"/>
      <c r="T62" s="598"/>
      <c r="U62" s="598"/>
      <c r="V62" s="326"/>
      <c r="W62" s="327"/>
      <c r="X62" s="325"/>
      <c r="Y62" s="325"/>
    </row>
    <row r="63" spans="1:25" x14ac:dyDescent="0.25">
      <c r="S63" s="325"/>
      <c r="T63" s="325"/>
      <c r="U63" s="325"/>
      <c r="V63" s="325"/>
      <c r="W63" s="325"/>
      <c r="X63" s="325"/>
      <c r="Y63" s="325"/>
    </row>
    <row r="64" spans="1:25" x14ac:dyDescent="0.25">
      <c r="S64" s="325"/>
      <c r="T64" s="325"/>
      <c r="U64" s="325"/>
      <c r="V64" s="325"/>
      <c r="W64" s="325"/>
      <c r="X64" s="325"/>
      <c r="Y64" s="325"/>
    </row>
    <row r="65" spans="19:25" x14ac:dyDescent="0.25">
      <c r="S65" s="325"/>
      <c r="T65" s="325"/>
      <c r="U65" s="325"/>
      <c r="V65" s="325"/>
      <c r="W65" s="325"/>
      <c r="X65" s="325"/>
      <c r="Y65" s="325"/>
    </row>
    <row r="66" spans="19:25" x14ac:dyDescent="0.25">
      <c r="S66" s="325"/>
      <c r="T66" s="325"/>
      <c r="U66" s="325"/>
      <c r="V66" s="325"/>
      <c r="W66" s="325"/>
      <c r="X66" s="325"/>
      <c r="Y66" s="325"/>
    </row>
  </sheetData>
  <sheetProtection algorithmName="SHA-512" hashValue="sJiiodaGqf0H7DTZXEn49OsROg3IEgtLtqhoce/HuAzzfHFSokjigvTjf6BADCCI0kizCGjZ0T+QUyJ1MBaDYQ==" saltValue="bwH5Bd3z72dCaiLcUTFTkA==" spinCount="100000" sheet="1" objects="1" scenarios="1" selectLockedCells="1" selectUnlockedCells="1"/>
  <mergeCells count="38">
    <mergeCell ref="AG4:AG5"/>
    <mergeCell ref="AB4:AB5"/>
    <mergeCell ref="AC4:AC5"/>
    <mergeCell ref="AD4:AD5"/>
    <mergeCell ref="AE4:AE5"/>
    <mergeCell ref="AF4:AF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  <mergeCell ref="T61:U61"/>
    <mergeCell ref="T62:U62"/>
    <mergeCell ref="T56:U56"/>
    <mergeCell ref="T57:U57"/>
    <mergeCell ref="T58:U58"/>
    <mergeCell ref="T59:U59"/>
    <mergeCell ref="T60:U60"/>
    <mergeCell ref="T55:U55"/>
    <mergeCell ref="O4:T5"/>
    <mergeCell ref="U4:AA5"/>
    <mergeCell ref="B4:H5"/>
    <mergeCell ref="I4:N5"/>
    <mergeCell ref="G43:H43"/>
    <mergeCell ref="D43:E43"/>
    <mergeCell ref="A43:B43"/>
    <mergeCell ref="A42:K42"/>
    <mergeCell ref="J43:K43"/>
    <mergeCell ref="R43:U43"/>
    <mergeCell ref="J46:K46"/>
    <mergeCell ref="A53:E53"/>
    <mergeCell ref="A54:E54"/>
    <mergeCell ref="R54:S54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9"/>
  <sheetViews>
    <sheetView topLeftCell="AH1" zoomScale="60" zoomScaleNormal="60" workbookViewId="0">
      <selection activeCell="AH39" sqref="AH39:AQ39"/>
    </sheetView>
  </sheetViews>
  <sheetFormatPr defaultRowHeight="15" x14ac:dyDescent="0.25"/>
  <cols>
    <col min="1" max="1" width="26.2851562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171</v>
      </c>
      <c r="BA3" s="262" t="s">
        <v>208</v>
      </c>
    </row>
    <row r="4" spans="1:53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</row>
    <row r="5" spans="1:53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3" x14ac:dyDescent="0.25">
      <c r="A8" s="11">
        <v>41944</v>
      </c>
      <c r="B8" s="49"/>
      <c r="C8" s="50">
        <v>21.070985943079073</v>
      </c>
      <c r="D8" s="50">
        <v>325.82460241317767</v>
      </c>
      <c r="E8" s="50">
        <v>4.4573063428203303</v>
      </c>
      <c r="F8" s="50">
        <v>0</v>
      </c>
      <c r="G8" s="50">
        <v>408</v>
      </c>
      <c r="H8" s="51">
        <v>20.039140636722227</v>
      </c>
      <c r="I8" s="49">
        <v>344.25940440495782</v>
      </c>
      <c r="J8" s="50">
        <v>691.97673467000277</v>
      </c>
      <c r="K8" s="50">
        <v>37.72951062321664</v>
      </c>
      <c r="L8" s="50">
        <v>1.4256477355957056E-3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321.94592658325382</v>
      </c>
      <c r="V8" s="54">
        <v>60.48131478451031</v>
      </c>
      <c r="W8" s="54">
        <v>28.589615091853613</v>
      </c>
      <c r="X8" s="54">
        <v>5.3708942004310076</v>
      </c>
      <c r="Y8" s="54">
        <v>260.33056438041484</v>
      </c>
      <c r="Z8" s="54">
        <v>48.906147002451583</v>
      </c>
      <c r="AA8" s="55">
        <v>0</v>
      </c>
      <c r="AB8" s="56">
        <v>32.854511756366783</v>
      </c>
      <c r="AC8" s="57">
        <v>0</v>
      </c>
      <c r="AD8" s="57">
        <v>12.783861680163282</v>
      </c>
      <c r="AE8" s="58">
        <v>10.646161353113349</v>
      </c>
      <c r="AF8" s="58">
        <v>2.0000061590399674</v>
      </c>
      <c r="AG8" s="58">
        <v>0.84184883229500906</v>
      </c>
      <c r="AH8" s="57">
        <v>191.92318963209789</v>
      </c>
      <c r="AI8" s="57">
        <v>762.80858945846558</v>
      </c>
      <c r="AJ8" s="57">
        <v>3030.1703028361007</v>
      </c>
      <c r="AK8" s="57">
        <v>479.81354328791298</v>
      </c>
      <c r="AL8" s="57">
        <v>1978.4423873901369</v>
      </c>
      <c r="AM8" s="57">
        <v>2323.124472300211</v>
      </c>
      <c r="AN8" s="57">
        <v>492.73927539189657</v>
      </c>
      <c r="AO8" s="57">
        <v>1706.1779514312741</v>
      </c>
      <c r="AP8" s="57">
        <v>361.05066124598181</v>
      </c>
      <c r="AQ8" s="57">
        <v>778.05586417516088</v>
      </c>
    </row>
    <row r="9" spans="1:53" x14ac:dyDescent="0.25">
      <c r="A9" s="11">
        <v>41945</v>
      </c>
      <c r="B9" s="59"/>
      <c r="C9" s="60">
        <v>20.86584563056633</v>
      </c>
      <c r="D9" s="60">
        <v>327.14299345016457</v>
      </c>
      <c r="E9" s="50">
        <v>4.4332140957315733</v>
      </c>
      <c r="F9" s="60">
        <v>0</v>
      </c>
      <c r="G9" s="60">
        <v>408</v>
      </c>
      <c r="H9" s="61">
        <v>20.164060367147155</v>
      </c>
      <c r="I9" s="59">
        <v>359.79314241409298</v>
      </c>
      <c r="J9" s="60">
        <v>746.2700253168739</v>
      </c>
      <c r="K9" s="60">
        <v>41.054426016410289</v>
      </c>
      <c r="L9" s="50">
        <v>1.4256477355957056E-3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323.02709082262419</v>
      </c>
      <c r="V9" s="62">
        <v>51.817439855166064</v>
      </c>
      <c r="W9" s="62">
        <v>28.661372325220327</v>
      </c>
      <c r="X9" s="62">
        <v>4.5976296689126102</v>
      </c>
      <c r="Y9" s="66">
        <v>275.05894924523778</v>
      </c>
      <c r="Z9" s="66">
        <v>44.122771631456125</v>
      </c>
      <c r="AA9" s="67">
        <v>0</v>
      </c>
      <c r="AB9" s="68">
        <v>32.855433074632991</v>
      </c>
      <c r="AC9" s="69">
        <v>0</v>
      </c>
      <c r="AD9" s="69">
        <v>13.192101398441535</v>
      </c>
      <c r="AE9" s="68">
        <v>11.24789229663285</v>
      </c>
      <c r="AF9" s="68">
        <v>1.8042975314977447</v>
      </c>
      <c r="AG9" s="68">
        <v>0.86176284935658454</v>
      </c>
      <c r="AH9" s="69">
        <v>186.69423120021824</v>
      </c>
      <c r="AI9" s="69">
        <v>767.73298247655225</v>
      </c>
      <c r="AJ9" s="69">
        <v>3029.1772378285727</v>
      </c>
      <c r="AK9" s="69">
        <v>485.33494391441354</v>
      </c>
      <c r="AL9" s="69">
        <v>1979.4188761393227</v>
      </c>
      <c r="AM9" s="69">
        <v>2317.4631724039714</v>
      </c>
      <c r="AN9" s="69">
        <v>509.23546492258703</v>
      </c>
      <c r="AO9" s="69">
        <v>1757.229970550537</v>
      </c>
      <c r="AP9" s="69">
        <v>353.53846012751262</v>
      </c>
      <c r="AQ9" s="69">
        <v>697.22551968892424</v>
      </c>
    </row>
    <row r="10" spans="1:53" x14ac:dyDescent="0.25">
      <c r="A10" s="11">
        <v>41946</v>
      </c>
      <c r="B10" s="59"/>
      <c r="C10" s="60">
        <v>21.085933446884148</v>
      </c>
      <c r="D10" s="60">
        <v>325.16809139251683</v>
      </c>
      <c r="E10" s="50">
        <v>4.4182108566164979</v>
      </c>
      <c r="F10" s="60">
        <v>0</v>
      </c>
      <c r="G10" s="60">
        <v>408</v>
      </c>
      <c r="H10" s="61">
        <v>19.954136790831885</v>
      </c>
      <c r="I10" s="59">
        <v>377.78604550361592</v>
      </c>
      <c r="J10" s="60">
        <v>807.65468581517484</v>
      </c>
      <c r="K10" s="60">
        <v>43.993313844998845</v>
      </c>
      <c r="L10" s="50">
        <v>1.4256477355957056E-3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321.90021164129536</v>
      </c>
      <c r="V10" s="62">
        <v>55.990341833131644</v>
      </c>
      <c r="W10" s="62">
        <v>29.150428813865211</v>
      </c>
      <c r="X10" s="62">
        <v>5.0703367529606869</v>
      </c>
      <c r="Y10" s="66">
        <v>281.58639324294222</v>
      </c>
      <c r="Z10" s="66">
        <v>48.978279115888569</v>
      </c>
      <c r="AA10" s="67">
        <v>0</v>
      </c>
      <c r="AB10" s="68">
        <v>32.853802140553363</v>
      </c>
      <c r="AC10" s="69">
        <v>0</v>
      </c>
      <c r="AD10" s="69">
        <v>13.64312140478031</v>
      </c>
      <c r="AE10" s="68">
        <v>11.498718675899759</v>
      </c>
      <c r="AF10" s="68">
        <v>2.0000520845387659</v>
      </c>
      <c r="AG10" s="68">
        <v>0.85183450256075088</v>
      </c>
      <c r="AH10" s="69">
        <v>214.56075321833296</v>
      </c>
      <c r="AI10" s="69">
        <v>808.03432982762661</v>
      </c>
      <c r="AJ10" s="69">
        <v>3012.8155822753911</v>
      </c>
      <c r="AK10" s="69">
        <v>561.78711182276413</v>
      </c>
      <c r="AL10" s="69">
        <v>2074.1698663075763</v>
      </c>
      <c r="AM10" s="69">
        <v>2285.8019533793126</v>
      </c>
      <c r="AN10" s="69">
        <v>486.32829848925275</v>
      </c>
      <c r="AO10" s="69">
        <v>1802.119534810384</v>
      </c>
      <c r="AP10" s="69">
        <v>396.97458018461862</v>
      </c>
      <c r="AQ10" s="69">
        <v>711.27982076009107</v>
      </c>
    </row>
    <row r="11" spans="1:53" x14ac:dyDescent="0.25">
      <c r="A11" s="11">
        <v>41947</v>
      </c>
      <c r="B11" s="59"/>
      <c r="C11" s="60">
        <v>25.691710263490695</v>
      </c>
      <c r="D11" s="60">
        <v>400.5378829479219</v>
      </c>
      <c r="E11" s="50">
        <v>5.528342763582871</v>
      </c>
      <c r="F11" s="60">
        <v>0</v>
      </c>
      <c r="G11" s="60">
        <v>444</v>
      </c>
      <c r="H11" s="61">
        <v>24.664947444200575</v>
      </c>
      <c r="I11" s="59">
        <v>335.7899905681619</v>
      </c>
      <c r="J11" s="60">
        <v>720.11286468505898</v>
      </c>
      <c r="K11" s="60">
        <v>39.629093366861262</v>
      </c>
      <c r="L11" s="50">
        <v>1.4256477355957056E-3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304.92279809887947</v>
      </c>
      <c r="V11" s="62">
        <v>67.984356832083861</v>
      </c>
      <c r="W11" s="62">
        <v>27.637002122793053</v>
      </c>
      <c r="X11" s="62">
        <v>6.1618344899083048</v>
      </c>
      <c r="Y11" s="66">
        <v>268.43343275124721</v>
      </c>
      <c r="Z11" s="66">
        <v>59.848835153034884</v>
      </c>
      <c r="AA11" s="67">
        <v>0</v>
      </c>
      <c r="AB11" s="68">
        <v>32.853114750649645</v>
      </c>
      <c r="AC11" s="69">
        <v>0</v>
      </c>
      <c r="AD11" s="69">
        <v>13.640268486075946</v>
      </c>
      <c r="AE11" s="68">
        <v>11.039959501704182</v>
      </c>
      <c r="AF11" s="68">
        <v>2.4614248290225498</v>
      </c>
      <c r="AG11" s="68">
        <v>0.81769092940930599</v>
      </c>
      <c r="AH11" s="69">
        <v>219.95622725486754</v>
      </c>
      <c r="AI11" s="69">
        <v>822.50270617802948</v>
      </c>
      <c r="AJ11" s="69">
        <v>3017.8756632486979</v>
      </c>
      <c r="AK11" s="69">
        <v>587.63201233545942</v>
      </c>
      <c r="AL11" s="69">
        <v>2088.0007227579749</v>
      </c>
      <c r="AM11" s="69">
        <v>2231.3195870717368</v>
      </c>
      <c r="AN11" s="69">
        <v>481.88388479550679</v>
      </c>
      <c r="AO11" s="69">
        <v>1845.1814936319986</v>
      </c>
      <c r="AP11" s="69">
        <v>377.00051854451493</v>
      </c>
      <c r="AQ11" s="69">
        <v>701.29598649342847</v>
      </c>
    </row>
    <row r="12" spans="1:53" x14ac:dyDescent="0.25">
      <c r="A12" s="11">
        <v>41948</v>
      </c>
      <c r="B12" s="59"/>
      <c r="C12" s="60">
        <v>35.884646773338218</v>
      </c>
      <c r="D12" s="60">
        <v>555.29066216150966</v>
      </c>
      <c r="E12" s="50">
        <v>8.0338361337780988</v>
      </c>
      <c r="F12" s="60">
        <v>0</v>
      </c>
      <c r="G12" s="60">
        <v>1293.7996260007205</v>
      </c>
      <c r="H12" s="61">
        <v>34.208940430482293</v>
      </c>
      <c r="I12" s="59">
        <v>299.47800822258006</v>
      </c>
      <c r="J12" s="60">
        <v>655.86875718434726</v>
      </c>
      <c r="K12" s="60">
        <v>35.947573024034561</v>
      </c>
      <c r="L12" s="50">
        <v>1.4256477355957056E-3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279.07949062469049</v>
      </c>
      <c r="V12" s="62">
        <v>94.298435735544075</v>
      </c>
      <c r="W12" s="62">
        <v>25.302730875563491</v>
      </c>
      <c r="X12" s="62">
        <v>8.5495639112077324</v>
      </c>
      <c r="Y12" s="66">
        <v>245.47061013218143</v>
      </c>
      <c r="Z12" s="66">
        <v>82.942298994100341</v>
      </c>
      <c r="AA12" s="67">
        <v>0</v>
      </c>
      <c r="AB12" s="68">
        <v>32.05420506530286</v>
      </c>
      <c r="AC12" s="69">
        <v>0</v>
      </c>
      <c r="AD12" s="69">
        <v>13.641738290256916</v>
      </c>
      <c r="AE12" s="68">
        <v>10.091063068050607</v>
      </c>
      <c r="AF12" s="68">
        <v>3.4096789416373752</v>
      </c>
      <c r="AG12" s="68">
        <v>0.74744507085679979</v>
      </c>
      <c r="AH12" s="69">
        <v>208.14223869641626</v>
      </c>
      <c r="AI12" s="69">
        <v>824.45779949824021</v>
      </c>
      <c r="AJ12" s="69">
        <v>3022.7310134887689</v>
      </c>
      <c r="AK12" s="69">
        <v>500.93989221254992</v>
      </c>
      <c r="AL12" s="69">
        <v>2180.8557991027837</v>
      </c>
      <c r="AM12" s="69">
        <v>2270.4889298756916</v>
      </c>
      <c r="AN12" s="69">
        <v>486.52971094449362</v>
      </c>
      <c r="AO12" s="69">
        <v>1864.3921216328943</v>
      </c>
      <c r="AP12" s="69">
        <v>352.54449151357016</v>
      </c>
      <c r="AQ12" s="69">
        <v>729.7510591189066</v>
      </c>
    </row>
    <row r="13" spans="1:53" x14ac:dyDescent="0.25">
      <c r="A13" s="11">
        <v>41949</v>
      </c>
      <c r="B13" s="59"/>
      <c r="C13" s="60">
        <v>42.490965873003141</v>
      </c>
      <c r="D13" s="60">
        <v>651.32656698226799</v>
      </c>
      <c r="E13" s="50">
        <v>9.0768386249740924</v>
      </c>
      <c r="F13" s="60">
        <v>0</v>
      </c>
      <c r="G13" s="60">
        <v>1643.7184754689504</v>
      </c>
      <c r="H13" s="61">
        <v>40.049614548683181</v>
      </c>
      <c r="I13" s="59">
        <v>282.26197743415827</v>
      </c>
      <c r="J13" s="60">
        <v>617.76233873367164</v>
      </c>
      <c r="K13" s="60">
        <v>33.845569817225204</v>
      </c>
      <c r="L13" s="50">
        <v>1.4256477355957056E-3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262.47397709363105</v>
      </c>
      <c r="V13" s="62">
        <v>110.54987300826366</v>
      </c>
      <c r="W13" s="62">
        <v>24.003724598684371</v>
      </c>
      <c r="X13" s="62">
        <v>10.10998779952682</v>
      </c>
      <c r="Y13" s="66">
        <v>231.165962583842</v>
      </c>
      <c r="Z13" s="66">
        <v>97.363434236227235</v>
      </c>
      <c r="AA13" s="67">
        <v>0</v>
      </c>
      <c r="AB13" s="68">
        <v>23.875992186864138</v>
      </c>
      <c r="AC13" s="69">
        <v>0</v>
      </c>
      <c r="AD13" s="69">
        <v>13.642961215972896</v>
      </c>
      <c r="AE13" s="68">
        <v>9.4955264586326962</v>
      </c>
      <c r="AF13" s="68">
        <v>3.9993650257144822</v>
      </c>
      <c r="AG13" s="68">
        <v>0.70363859314071742</v>
      </c>
      <c r="AH13" s="69">
        <v>199.18604345321651</v>
      </c>
      <c r="AI13" s="69">
        <v>822.03629144032811</v>
      </c>
      <c r="AJ13" s="69">
        <v>3046.6305075327546</v>
      </c>
      <c r="AK13" s="69">
        <v>532.51317470868423</v>
      </c>
      <c r="AL13" s="69">
        <v>2540.0975079854329</v>
      </c>
      <c r="AM13" s="69">
        <v>2306.7925053914382</v>
      </c>
      <c r="AN13" s="69">
        <v>497.31738851865134</v>
      </c>
      <c r="AO13" s="69">
        <v>1850.075779215495</v>
      </c>
      <c r="AP13" s="69">
        <v>351.62375210126243</v>
      </c>
      <c r="AQ13" s="69">
        <v>789.61409257253001</v>
      </c>
    </row>
    <row r="14" spans="1:53" x14ac:dyDescent="0.25">
      <c r="A14" s="11">
        <v>41950</v>
      </c>
      <c r="B14" s="59"/>
      <c r="C14" s="60">
        <v>42.322024106979597</v>
      </c>
      <c r="D14" s="60">
        <v>651.19622751871793</v>
      </c>
      <c r="E14" s="50">
        <v>9.0862575893600575</v>
      </c>
      <c r="F14" s="60">
        <v>0</v>
      </c>
      <c r="G14" s="60">
        <v>1476.6097253799433</v>
      </c>
      <c r="H14" s="61">
        <v>39.97261810501422</v>
      </c>
      <c r="I14" s="59">
        <v>282.22644775708534</v>
      </c>
      <c r="J14" s="60">
        <v>617.68927040099913</v>
      </c>
      <c r="K14" s="60">
        <v>33.629135346412681</v>
      </c>
      <c r="L14" s="50">
        <v>1.4256477355957056E-3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262.46057022628838</v>
      </c>
      <c r="V14" s="62">
        <v>110.49162360611501</v>
      </c>
      <c r="W14" s="62">
        <v>23.566434524785151</v>
      </c>
      <c r="X14" s="62">
        <v>9.9210849500391181</v>
      </c>
      <c r="Y14" s="66">
        <v>231.02298570348046</v>
      </c>
      <c r="Z14" s="66">
        <v>97.256912757225749</v>
      </c>
      <c r="AA14" s="67">
        <v>0</v>
      </c>
      <c r="AB14" s="68">
        <v>23.87679468790699</v>
      </c>
      <c r="AC14" s="69">
        <v>0</v>
      </c>
      <c r="AD14" s="69">
        <v>13.641822499036804</v>
      </c>
      <c r="AE14" s="68">
        <v>9.4998484495289084</v>
      </c>
      <c r="AF14" s="68">
        <v>3.9992814093770073</v>
      </c>
      <c r="AG14" s="68">
        <v>0.70373783709188331</v>
      </c>
      <c r="AH14" s="69">
        <v>200.8328694581985</v>
      </c>
      <c r="AI14" s="69">
        <v>819.87342586517332</v>
      </c>
      <c r="AJ14" s="69">
        <v>3020.6201522827155</v>
      </c>
      <c r="AK14" s="69">
        <v>463.22872767448428</v>
      </c>
      <c r="AL14" s="69">
        <v>2502.3475027720137</v>
      </c>
      <c r="AM14" s="69">
        <v>2304.1372057596836</v>
      </c>
      <c r="AN14" s="69">
        <v>505.1092183113098</v>
      </c>
      <c r="AO14" s="69">
        <v>1834.2890463511148</v>
      </c>
      <c r="AP14" s="69">
        <v>349.28488055864972</v>
      </c>
      <c r="AQ14" s="69">
        <v>768.62504018147786</v>
      </c>
    </row>
    <row r="15" spans="1:53" x14ac:dyDescent="0.25">
      <c r="A15" s="11">
        <v>41951</v>
      </c>
      <c r="B15" s="59"/>
      <c r="C15" s="60">
        <v>42.672013243039324</v>
      </c>
      <c r="D15" s="60">
        <v>652.93457336425729</v>
      </c>
      <c r="E15" s="50">
        <v>9.4279739881555216</v>
      </c>
      <c r="F15" s="60">
        <v>0</v>
      </c>
      <c r="G15" s="60">
        <v>1492.5783765792821</v>
      </c>
      <c r="H15" s="61">
        <v>40.005952304601706</v>
      </c>
      <c r="I15" s="59">
        <v>282.05261735916133</v>
      </c>
      <c r="J15" s="60">
        <v>617.643470446268</v>
      </c>
      <c r="K15" s="60">
        <v>33.548624018828065</v>
      </c>
      <c r="L15" s="50">
        <v>1.4256477355957056E-3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259.81337540966109</v>
      </c>
      <c r="V15" s="62">
        <v>104.32942574797126</v>
      </c>
      <c r="W15" s="62">
        <v>23.451487186055409</v>
      </c>
      <c r="X15" s="62">
        <v>9.4170678749670245</v>
      </c>
      <c r="Y15" s="66">
        <v>226.32272418380006</v>
      </c>
      <c r="Z15" s="66">
        <v>90.881078815060633</v>
      </c>
      <c r="AA15" s="67">
        <v>0</v>
      </c>
      <c r="AB15" s="68">
        <v>23.877099344465446</v>
      </c>
      <c r="AC15" s="69">
        <v>0</v>
      </c>
      <c r="AD15" s="69">
        <v>13.176711875862548</v>
      </c>
      <c r="AE15" s="68">
        <v>9.2881580369221268</v>
      </c>
      <c r="AF15" s="68">
        <v>3.7297086522992635</v>
      </c>
      <c r="AG15" s="68">
        <v>0.71349309826721385</v>
      </c>
      <c r="AH15" s="69">
        <v>208.63031803766887</v>
      </c>
      <c r="AI15" s="69">
        <v>821.78515758514402</v>
      </c>
      <c r="AJ15" s="69">
        <v>3020.1241612752278</v>
      </c>
      <c r="AK15" s="69">
        <v>490.34127925237021</v>
      </c>
      <c r="AL15" s="69">
        <v>2510.6432215372729</v>
      </c>
      <c r="AM15" s="69">
        <v>2289.0752848307293</v>
      </c>
      <c r="AN15" s="69">
        <v>499.79063514073692</v>
      </c>
      <c r="AO15" s="69">
        <v>1808.1622774759928</v>
      </c>
      <c r="AP15" s="69">
        <v>364.88018840154012</v>
      </c>
      <c r="AQ15" s="69">
        <v>700.27815752029414</v>
      </c>
    </row>
    <row r="16" spans="1:53" x14ac:dyDescent="0.25">
      <c r="A16" s="11">
        <v>41952</v>
      </c>
      <c r="B16" s="59"/>
      <c r="C16" s="60">
        <v>42.554884056250224</v>
      </c>
      <c r="D16" s="60">
        <v>651.93917681376024</v>
      </c>
      <c r="E16" s="50">
        <v>9.7408396229147947</v>
      </c>
      <c r="F16" s="60">
        <v>0</v>
      </c>
      <c r="G16" s="60">
        <v>1476.339259465534</v>
      </c>
      <c r="H16" s="61">
        <v>39.486400452256191</v>
      </c>
      <c r="I16" s="59">
        <v>282.1651534080504</v>
      </c>
      <c r="J16" s="60">
        <v>617.68062276840135</v>
      </c>
      <c r="K16" s="60">
        <v>33.57053322394696</v>
      </c>
      <c r="L16" s="50">
        <v>1.4256477355957056E-3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266.73028314145273</v>
      </c>
      <c r="V16" s="62">
        <v>112.28770012559076</v>
      </c>
      <c r="W16" s="62">
        <v>23.920906267213528</v>
      </c>
      <c r="X16" s="62">
        <v>10.070185949755025</v>
      </c>
      <c r="Y16" s="66">
        <v>231.09782428450296</v>
      </c>
      <c r="Z16" s="66">
        <v>97.287202965151096</v>
      </c>
      <c r="AA16" s="67">
        <v>0</v>
      </c>
      <c r="AB16" s="68">
        <v>23.875787846247306</v>
      </c>
      <c r="AC16" s="69">
        <v>0</v>
      </c>
      <c r="AD16" s="69">
        <v>13.640645315912046</v>
      </c>
      <c r="AE16" s="68">
        <v>9.4996774756930034</v>
      </c>
      <c r="AF16" s="68">
        <v>3.9991594622000717</v>
      </c>
      <c r="AG16" s="68">
        <v>0.70374044218773502</v>
      </c>
      <c r="AH16" s="69">
        <v>200.93571825027465</v>
      </c>
      <c r="AI16" s="69">
        <v>823.91318912506108</v>
      </c>
      <c r="AJ16" s="69">
        <v>2985.6137723286947</v>
      </c>
      <c r="AK16" s="69">
        <v>454.23414595921838</v>
      </c>
      <c r="AL16" s="69">
        <v>2425.6648433685305</v>
      </c>
      <c r="AM16" s="69">
        <v>2339.0088792165116</v>
      </c>
      <c r="AN16" s="69">
        <v>500.22424505551658</v>
      </c>
      <c r="AO16" s="69">
        <v>1822.0061742146809</v>
      </c>
      <c r="AP16" s="69">
        <v>347.31291869481407</v>
      </c>
      <c r="AQ16" s="69">
        <v>722.41772273381537</v>
      </c>
    </row>
    <row r="17" spans="1:43" x14ac:dyDescent="0.25">
      <c r="A17" s="11">
        <v>41953</v>
      </c>
      <c r="B17" s="49"/>
      <c r="C17" s="50">
        <v>29.100541774431875</v>
      </c>
      <c r="D17" s="50">
        <v>448.5746826012936</v>
      </c>
      <c r="E17" s="50">
        <v>6.7932835842172157</v>
      </c>
      <c r="F17" s="50">
        <v>0</v>
      </c>
      <c r="G17" s="50">
        <v>1026.8405355771388</v>
      </c>
      <c r="H17" s="51">
        <v>27.652834014097859</v>
      </c>
      <c r="I17" s="49">
        <v>314.5923840204872</v>
      </c>
      <c r="J17" s="50">
        <v>699.96963647206451</v>
      </c>
      <c r="K17" s="50">
        <v>38.241032294432337</v>
      </c>
      <c r="L17" s="50">
        <v>1.4256477355957056E-3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285.98075478982855</v>
      </c>
      <c r="V17" s="66">
        <v>57.670561015816581</v>
      </c>
      <c r="W17" s="62">
        <v>25.761529845544299</v>
      </c>
      <c r="X17" s="62">
        <v>5.1950414632274526</v>
      </c>
      <c r="Y17" s="66">
        <v>250.17104830330851</v>
      </c>
      <c r="Z17" s="66">
        <v>50.449215424197803</v>
      </c>
      <c r="AA17" s="67">
        <v>0</v>
      </c>
      <c r="AB17" s="68">
        <v>23.874082618289624</v>
      </c>
      <c r="AC17" s="69">
        <v>0</v>
      </c>
      <c r="AD17" s="69">
        <v>12.459449361099157</v>
      </c>
      <c r="AE17" s="68">
        <v>10.2563511464915</v>
      </c>
      <c r="AF17" s="68">
        <v>2.068284367694857</v>
      </c>
      <c r="AG17" s="68">
        <v>0.83218291808190648</v>
      </c>
      <c r="AH17" s="69">
        <v>212.83947600523629</v>
      </c>
      <c r="AI17" s="69">
        <v>797.94971516927092</v>
      </c>
      <c r="AJ17" s="69">
        <v>2381.6394131342568</v>
      </c>
      <c r="AK17" s="69">
        <v>494.3589394410451</v>
      </c>
      <c r="AL17" s="69">
        <v>2043.8276686350505</v>
      </c>
      <c r="AM17" s="69">
        <v>2430.8181440989174</v>
      </c>
      <c r="AN17" s="69">
        <v>505.69201294581103</v>
      </c>
      <c r="AO17" s="69">
        <v>1718.437476793925</v>
      </c>
      <c r="AP17" s="69">
        <v>406.95824646949774</v>
      </c>
      <c r="AQ17" s="69">
        <v>684.53531796137486</v>
      </c>
    </row>
    <row r="18" spans="1:43" x14ac:dyDescent="0.25">
      <c r="A18" s="11">
        <v>41954</v>
      </c>
      <c r="B18" s="59"/>
      <c r="C18" s="60">
        <v>42.318889496723628</v>
      </c>
      <c r="D18" s="60">
        <v>650.57643588384144</v>
      </c>
      <c r="E18" s="50">
        <v>9.1646055579185433</v>
      </c>
      <c r="F18" s="60">
        <v>0</v>
      </c>
      <c r="G18" s="60">
        <v>1797.9642288843754</v>
      </c>
      <c r="H18" s="61">
        <v>39.937357491254879</v>
      </c>
      <c r="I18" s="59">
        <v>282.71567033131919</v>
      </c>
      <c r="J18" s="60">
        <v>618.88208176294904</v>
      </c>
      <c r="K18" s="60">
        <v>33.807153626283061</v>
      </c>
      <c r="L18" s="50">
        <v>1.4256477355957056E-3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259.07033554599866</v>
      </c>
      <c r="V18" s="62">
        <v>109.08220324099386</v>
      </c>
      <c r="W18" s="62">
        <v>23.553032472506448</v>
      </c>
      <c r="X18" s="62">
        <v>9.9170623672253875</v>
      </c>
      <c r="Y18" s="66">
        <v>230.14631485588257</v>
      </c>
      <c r="Z18" s="66">
        <v>96.903673048347557</v>
      </c>
      <c r="AA18" s="67">
        <v>0</v>
      </c>
      <c r="AB18" s="68">
        <v>27.60247174766323</v>
      </c>
      <c r="AC18" s="69">
        <v>0</v>
      </c>
      <c r="AD18" s="69">
        <v>13.656383930312289</v>
      </c>
      <c r="AE18" s="68">
        <v>9.4997447828139574</v>
      </c>
      <c r="AF18" s="68">
        <v>3.9998909522101331</v>
      </c>
      <c r="AG18" s="68">
        <v>0.70370378647828047</v>
      </c>
      <c r="AH18" s="69">
        <v>288.1563617229462</v>
      </c>
      <c r="AI18" s="69">
        <v>1038.9703187306723</v>
      </c>
      <c r="AJ18" s="69">
        <v>3057.1399121602371</v>
      </c>
      <c r="AK18" s="69">
        <v>581.05596043268838</v>
      </c>
      <c r="AL18" s="69">
        <v>2895.5582218170175</v>
      </c>
      <c r="AM18" s="69">
        <v>2424.0727485656739</v>
      </c>
      <c r="AN18" s="69">
        <v>588.04242054621375</v>
      </c>
      <c r="AO18" s="69">
        <v>1755.4529431660969</v>
      </c>
      <c r="AP18" s="69">
        <v>389.64352755546571</v>
      </c>
      <c r="AQ18" s="69">
        <v>673.45319019953411</v>
      </c>
    </row>
    <row r="19" spans="1:43" x14ac:dyDescent="0.25">
      <c r="A19" s="11">
        <v>41955</v>
      </c>
      <c r="B19" s="59"/>
      <c r="C19" s="60">
        <v>42.241336556275698</v>
      </c>
      <c r="D19" s="60">
        <v>640.03415533701752</v>
      </c>
      <c r="E19" s="50">
        <v>9.072274535894401</v>
      </c>
      <c r="F19" s="60">
        <v>0</v>
      </c>
      <c r="G19" s="60">
        <v>2157.9674997965503</v>
      </c>
      <c r="H19" s="61">
        <v>39.905004185438123</v>
      </c>
      <c r="I19" s="59">
        <v>259.35310198465987</v>
      </c>
      <c r="J19" s="60">
        <v>568.27578439712568</v>
      </c>
      <c r="K19" s="60">
        <v>31.023445135355011</v>
      </c>
      <c r="L19" s="50">
        <v>1.4256477355957056E-3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229.52347477321428</v>
      </c>
      <c r="V19" s="62">
        <v>104.91720857046067</v>
      </c>
      <c r="W19" s="62">
        <v>20.900456400467792</v>
      </c>
      <c r="X19" s="62">
        <v>9.553783313677874</v>
      </c>
      <c r="Y19" s="66">
        <v>225.75488072778526</v>
      </c>
      <c r="Z19" s="66">
        <v>103.19455093000649</v>
      </c>
      <c r="AA19" s="67">
        <v>0</v>
      </c>
      <c r="AB19" s="68">
        <v>29.497606358263145</v>
      </c>
      <c r="AC19" s="69">
        <v>0</v>
      </c>
      <c r="AD19" s="69">
        <v>12.889792506562365</v>
      </c>
      <c r="AE19" s="68">
        <v>8.751359305218994</v>
      </c>
      <c r="AF19" s="68">
        <v>4.0003236723734652</v>
      </c>
      <c r="AG19" s="68">
        <v>0.68629053283375041</v>
      </c>
      <c r="AH19" s="69">
        <v>343.75285324255628</v>
      </c>
      <c r="AI19" s="69">
        <v>1136.8784770329794</v>
      </c>
      <c r="AJ19" s="69">
        <v>3138.7399566650383</v>
      </c>
      <c r="AK19" s="69">
        <v>607.93264576594038</v>
      </c>
      <c r="AL19" s="69">
        <v>3028.8783452351886</v>
      </c>
      <c r="AM19" s="69">
        <v>2520.6907203674314</v>
      </c>
      <c r="AN19" s="69">
        <v>1017.0604873021443</v>
      </c>
      <c r="AO19" s="69">
        <v>1713.5600897471109</v>
      </c>
      <c r="AP19" s="69">
        <v>348.60382823944093</v>
      </c>
      <c r="AQ19" s="69">
        <v>720.94908380508411</v>
      </c>
    </row>
    <row r="20" spans="1:43" x14ac:dyDescent="0.25">
      <c r="A20" s="11">
        <v>41956</v>
      </c>
      <c r="B20" s="59"/>
      <c r="C20" s="60">
        <v>42.200851291418104</v>
      </c>
      <c r="D20" s="60">
        <v>624.8352234840396</v>
      </c>
      <c r="E20" s="50">
        <v>9.0410729944706105</v>
      </c>
      <c r="F20" s="60">
        <v>0</v>
      </c>
      <c r="G20" s="60">
        <v>1354.8030642827389</v>
      </c>
      <c r="H20" s="61">
        <v>40.018901292483008</v>
      </c>
      <c r="I20" s="59">
        <v>249.6341181596118</v>
      </c>
      <c r="J20" s="60">
        <v>528.63248167037943</v>
      </c>
      <c r="K20" s="60">
        <v>31.223586589097938</v>
      </c>
      <c r="L20" s="50">
        <v>1.4256477355957056E-3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228.68293378517879</v>
      </c>
      <c r="V20" s="62">
        <v>107.56443103254506</v>
      </c>
      <c r="W20" s="62">
        <v>19.858782125258365</v>
      </c>
      <c r="X20" s="62">
        <v>9.3408745678823166</v>
      </c>
      <c r="Y20" s="66">
        <v>234.3228797671261</v>
      </c>
      <c r="Z20" s="66">
        <v>110.21726380218382</v>
      </c>
      <c r="AA20" s="67">
        <v>0</v>
      </c>
      <c r="AB20" s="68">
        <v>29.841560835308378</v>
      </c>
      <c r="AC20" s="69">
        <v>0</v>
      </c>
      <c r="AD20" s="69">
        <v>12.405803418821737</v>
      </c>
      <c r="AE20" s="68">
        <v>8.3162789266234682</v>
      </c>
      <c r="AF20" s="68">
        <v>3.9116859148331158</v>
      </c>
      <c r="AG20" s="68">
        <v>0.68010327429374917</v>
      </c>
      <c r="AH20" s="69">
        <v>337.89077655474347</v>
      </c>
      <c r="AI20" s="69">
        <v>1136.3621491114297</v>
      </c>
      <c r="AJ20" s="69">
        <v>3113.4757142384842</v>
      </c>
      <c r="AK20" s="69">
        <v>584.13789103825889</v>
      </c>
      <c r="AL20" s="69">
        <v>3104.8938222249349</v>
      </c>
      <c r="AM20" s="69">
        <v>2527.2562703450521</v>
      </c>
      <c r="AN20" s="69">
        <v>1237.1691449483237</v>
      </c>
      <c r="AO20" s="69">
        <v>1609.2499172210696</v>
      </c>
      <c r="AP20" s="69">
        <v>354.48556752204894</v>
      </c>
      <c r="AQ20" s="69">
        <v>728.14293600718179</v>
      </c>
    </row>
    <row r="21" spans="1:43" x14ac:dyDescent="0.25">
      <c r="A21" s="11">
        <v>41957</v>
      </c>
      <c r="B21" s="59"/>
      <c r="C21" s="60">
        <v>41.99025089542058</v>
      </c>
      <c r="D21" s="60">
        <v>639.63173774083555</v>
      </c>
      <c r="E21" s="50">
        <v>9.0580239320794806</v>
      </c>
      <c r="F21" s="60">
        <v>0</v>
      </c>
      <c r="G21" s="60">
        <v>1336.2918668746927</v>
      </c>
      <c r="H21" s="61">
        <v>39.941441951195337</v>
      </c>
      <c r="I21" s="59">
        <v>211.41340600649539</v>
      </c>
      <c r="J21" s="60">
        <v>478.34393107096258</v>
      </c>
      <c r="K21" s="60">
        <v>30.398108017444596</v>
      </c>
      <c r="L21" s="50">
        <v>1.4256477355957056E-3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234.74805758251122</v>
      </c>
      <c r="V21" s="62">
        <v>110.48874184833328</v>
      </c>
      <c r="W21" s="62">
        <v>21.359201120685078</v>
      </c>
      <c r="X21" s="62">
        <v>10.053123689343026</v>
      </c>
      <c r="Y21" s="66">
        <v>202.93110857723366</v>
      </c>
      <c r="Z21" s="66">
        <v>95.513475593744261</v>
      </c>
      <c r="AA21" s="67">
        <v>0</v>
      </c>
      <c r="AB21" s="68">
        <v>29.841854294140898</v>
      </c>
      <c r="AC21" s="69">
        <v>0</v>
      </c>
      <c r="AD21" s="69">
        <v>12.719099850124788</v>
      </c>
      <c r="AE21" s="68">
        <v>8.4993193388332919</v>
      </c>
      <c r="AF21" s="68">
        <v>4.000370056245611</v>
      </c>
      <c r="AG21" s="68">
        <v>0.67996244308114195</v>
      </c>
      <c r="AH21" s="69">
        <v>295.33835454781854</v>
      </c>
      <c r="AI21" s="69">
        <v>1056.9893321355185</v>
      </c>
      <c r="AJ21" s="69">
        <v>3133.8233198801677</v>
      </c>
      <c r="AK21" s="69">
        <v>543.68083364168797</v>
      </c>
      <c r="AL21" s="69">
        <v>3102.582191975911</v>
      </c>
      <c r="AM21" s="69">
        <v>2494.6111321767171</v>
      </c>
      <c r="AN21" s="69">
        <v>972.13100376129148</v>
      </c>
      <c r="AO21" s="69">
        <v>1664.5165906270345</v>
      </c>
      <c r="AP21" s="69">
        <v>339.78479490280148</v>
      </c>
      <c r="AQ21" s="69">
        <v>709.88942464192712</v>
      </c>
    </row>
    <row r="22" spans="1:43" x14ac:dyDescent="0.25">
      <c r="A22" s="11">
        <v>41958</v>
      </c>
      <c r="B22" s="59"/>
      <c r="C22" s="60">
        <v>42.19453658064203</v>
      </c>
      <c r="D22" s="60">
        <v>651.50724989573223</v>
      </c>
      <c r="E22" s="50">
        <v>9.0863022406895997</v>
      </c>
      <c r="F22" s="60">
        <v>0</v>
      </c>
      <c r="G22" s="60">
        <v>1412.6967891057318</v>
      </c>
      <c r="H22" s="61">
        <v>39.928030163049726</v>
      </c>
      <c r="I22" s="59">
        <v>220.30676155090299</v>
      </c>
      <c r="J22" s="60">
        <v>498.83469241460188</v>
      </c>
      <c r="K22" s="60">
        <v>31.665711845954263</v>
      </c>
      <c r="L22" s="50">
        <v>1.4256477355957056E-3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235.10748447735952</v>
      </c>
      <c r="V22" s="62">
        <v>101.44722691747786</v>
      </c>
      <c r="W22" s="62">
        <v>21.554810240806603</v>
      </c>
      <c r="X22" s="62">
        <v>9.30074910427982</v>
      </c>
      <c r="Y22" s="66">
        <v>201.34570731392543</v>
      </c>
      <c r="Z22" s="66">
        <v>86.879257392177422</v>
      </c>
      <c r="AA22" s="67">
        <v>0</v>
      </c>
      <c r="AB22" s="68">
        <v>29.776959685484545</v>
      </c>
      <c r="AC22" s="69">
        <v>0</v>
      </c>
      <c r="AD22" s="69">
        <v>12.597262833515815</v>
      </c>
      <c r="AE22" s="68">
        <v>8.6449941116249995</v>
      </c>
      <c r="AF22" s="68">
        <v>3.7302541911494784</v>
      </c>
      <c r="AG22" s="68">
        <v>0.69857136601346648</v>
      </c>
      <c r="AH22" s="69">
        <v>304.11174929936726</v>
      </c>
      <c r="AI22" s="69">
        <v>1059.9286381403604</v>
      </c>
      <c r="AJ22" s="69">
        <v>3106.0301815032954</v>
      </c>
      <c r="AK22" s="69">
        <v>563.71160691579178</v>
      </c>
      <c r="AL22" s="69">
        <v>3249.6782834370929</v>
      </c>
      <c r="AM22" s="69">
        <v>2567.9692455291752</v>
      </c>
      <c r="AN22" s="69">
        <v>769.30287590026853</v>
      </c>
      <c r="AO22" s="69">
        <v>1596.7942941029867</v>
      </c>
      <c r="AP22" s="69">
        <v>331.96340066591893</v>
      </c>
      <c r="AQ22" s="69">
        <v>710.68780568440752</v>
      </c>
    </row>
    <row r="23" spans="1:43" x14ac:dyDescent="0.25">
      <c r="A23" s="11">
        <v>41959</v>
      </c>
      <c r="B23" s="59"/>
      <c r="C23" s="60">
        <v>42.094123609860418</v>
      </c>
      <c r="D23" s="60">
        <v>650.40099010467407</v>
      </c>
      <c r="E23" s="50">
        <v>9.0534419938921893</v>
      </c>
      <c r="F23" s="60">
        <v>0</v>
      </c>
      <c r="G23" s="60">
        <v>1497.5248067220048</v>
      </c>
      <c r="H23" s="61">
        <v>39.905146594842229</v>
      </c>
      <c r="I23" s="59">
        <v>229.42454444567377</v>
      </c>
      <c r="J23" s="60">
        <v>535.89306977589911</v>
      </c>
      <c r="K23" s="60">
        <v>34.136674404144365</v>
      </c>
      <c r="L23" s="50">
        <v>3.0778884887695487E-3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258.51739592275254</v>
      </c>
      <c r="V23" s="62">
        <v>108.85393082047439</v>
      </c>
      <c r="W23" s="62">
        <v>24.629238574749504</v>
      </c>
      <c r="X23" s="62">
        <v>10.370634526961764</v>
      </c>
      <c r="Y23" s="66">
        <v>220.31173005235473</v>
      </c>
      <c r="Z23" s="66">
        <v>92.766669478691654</v>
      </c>
      <c r="AA23" s="67">
        <v>0</v>
      </c>
      <c r="AB23" s="68">
        <v>22.525024917390329</v>
      </c>
      <c r="AC23" s="69">
        <v>0</v>
      </c>
      <c r="AD23" s="69">
        <v>13.734595470296037</v>
      </c>
      <c r="AE23" s="68">
        <v>9.4990702049412903</v>
      </c>
      <c r="AF23" s="68">
        <v>3.9997738924172106</v>
      </c>
      <c r="AG23" s="68">
        <v>0.70369508207003451</v>
      </c>
      <c r="AH23" s="69">
        <v>310.33432270685836</v>
      </c>
      <c r="AI23" s="69">
        <v>1062.7534106572468</v>
      </c>
      <c r="AJ23" s="69">
        <v>3121.9975406646731</v>
      </c>
      <c r="AK23" s="69">
        <v>548.36671957969645</v>
      </c>
      <c r="AL23" s="69">
        <v>3281.8386652628583</v>
      </c>
      <c r="AM23" s="69">
        <v>2779.3292640686032</v>
      </c>
      <c r="AN23" s="69">
        <v>1087.407486597697</v>
      </c>
      <c r="AO23" s="69">
        <v>1753.815781021118</v>
      </c>
      <c r="AP23" s="69">
        <v>342.8424262523651</v>
      </c>
      <c r="AQ23" s="69">
        <v>719.10680716832485</v>
      </c>
    </row>
    <row r="24" spans="1:43" x14ac:dyDescent="0.25">
      <c r="A24" s="11">
        <v>41960</v>
      </c>
      <c r="B24" s="59"/>
      <c r="C24" s="60">
        <v>41.373467296361454</v>
      </c>
      <c r="D24" s="60">
        <v>650.57133321762115</v>
      </c>
      <c r="E24" s="50">
        <v>9.1394966567555862</v>
      </c>
      <c r="F24" s="60">
        <v>0</v>
      </c>
      <c r="G24" s="60">
        <v>1415.1698182423925</v>
      </c>
      <c r="H24" s="61">
        <v>39.915081413587025</v>
      </c>
      <c r="I24" s="59">
        <v>227.22024491627994</v>
      </c>
      <c r="J24" s="60">
        <v>535.63589344024615</v>
      </c>
      <c r="K24" s="60">
        <v>34.043357072273963</v>
      </c>
      <c r="L24" s="50">
        <v>1.0385513305664052E-3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258.65321713713797</v>
      </c>
      <c r="V24" s="62">
        <v>108.91550081940183</v>
      </c>
      <c r="W24" s="62">
        <v>24.585915529310743</v>
      </c>
      <c r="X24" s="62">
        <v>10.352808801750282</v>
      </c>
      <c r="Y24" s="66">
        <v>215.484422403743</v>
      </c>
      <c r="Z24" s="66">
        <v>90.73768362386005</v>
      </c>
      <c r="AA24" s="67">
        <v>0</v>
      </c>
      <c r="AB24" s="68">
        <v>28.897309050295028</v>
      </c>
      <c r="AC24" s="69">
        <v>0</v>
      </c>
      <c r="AD24" s="69">
        <v>13.738155525922753</v>
      </c>
      <c r="AE24" s="68">
        <v>9.4998640767733455</v>
      </c>
      <c r="AF24" s="68">
        <v>4.0002690285094138</v>
      </c>
      <c r="AG24" s="68">
        <v>0.70368669721159549</v>
      </c>
      <c r="AH24" s="69">
        <v>294.24472766717275</v>
      </c>
      <c r="AI24" s="69">
        <v>1032.4544055302936</v>
      </c>
      <c r="AJ24" s="69">
        <v>3100.3745610555025</v>
      </c>
      <c r="AK24" s="69">
        <v>547.78917353947963</v>
      </c>
      <c r="AL24" s="69">
        <v>3006.7797133127842</v>
      </c>
      <c r="AM24" s="69">
        <v>2944.7655267079672</v>
      </c>
      <c r="AN24" s="69">
        <v>1132.7970069885255</v>
      </c>
      <c r="AO24" s="69">
        <v>1783.9142363230387</v>
      </c>
      <c r="AP24" s="69">
        <v>353.80316338539126</v>
      </c>
      <c r="AQ24" s="69">
        <v>772.83105185826628</v>
      </c>
    </row>
    <row r="25" spans="1:43" x14ac:dyDescent="0.25">
      <c r="A25" s="11">
        <v>41961</v>
      </c>
      <c r="B25" s="59"/>
      <c r="C25" s="60">
        <v>41.761461496352851</v>
      </c>
      <c r="D25" s="60">
        <v>650.80070546468107</v>
      </c>
      <c r="E25" s="50">
        <v>9.6055250664552059</v>
      </c>
      <c r="F25" s="60">
        <v>0</v>
      </c>
      <c r="G25" s="60">
        <v>1397.2678971608484</v>
      </c>
      <c r="H25" s="61">
        <v>39.970264291763392</v>
      </c>
      <c r="I25" s="59">
        <v>227.42682218551616</v>
      </c>
      <c r="J25" s="60">
        <v>535.66414664586353</v>
      </c>
      <c r="K25" s="60">
        <v>34.067258405685493</v>
      </c>
      <c r="L25" s="50">
        <v>7.9307556152343633E-4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258.99184457532317</v>
      </c>
      <c r="V25" s="62">
        <v>109.04623602159286</v>
      </c>
      <c r="W25" s="62">
        <v>24.549245251703336</v>
      </c>
      <c r="X25" s="62">
        <v>10.336243584267192</v>
      </c>
      <c r="Y25" s="66">
        <v>214.79655885697917</v>
      </c>
      <c r="Z25" s="66">
        <v>90.438200060512031</v>
      </c>
      <c r="AA25" s="67">
        <v>0</v>
      </c>
      <c r="AB25" s="68">
        <v>30.550915178987697</v>
      </c>
      <c r="AC25" s="69">
        <v>0</v>
      </c>
      <c r="AD25" s="69">
        <v>13.734363253249093</v>
      </c>
      <c r="AE25" s="68">
        <v>9.5000593734533947</v>
      </c>
      <c r="AF25" s="68">
        <v>3.9999163616731495</v>
      </c>
      <c r="AG25" s="68">
        <v>0.70370936658312033</v>
      </c>
      <c r="AH25" s="69">
        <v>271.89559156099955</v>
      </c>
      <c r="AI25" s="69">
        <v>1003.3792115529379</v>
      </c>
      <c r="AJ25" s="69">
        <v>3086.5734888712568</v>
      </c>
      <c r="AK25" s="69">
        <v>531.13931484222405</v>
      </c>
      <c r="AL25" s="69">
        <v>2866.7944905598952</v>
      </c>
      <c r="AM25" s="69">
        <v>3013.9366163889567</v>
      </c>
      <c r="AN25" s="69">
        <v>1107.0576929728188</v>
      </c>
      <c r="AO25" s="69">
        <v>1833.9876673380536</v>
      </c>
      <c r="AP25" s="69">
        <v>358.02306062380467</v>
      </c>
      <c r="AQ25" s="69">
        <v>781.43670762379952</v>
      </c>
    </row>
    <row r="26" spans="1:43" x14ac:dyDescent="0.25">
      <c r="A26" s="11">
        <v>41962</v>
      </c>
      <c r="B26" s="59"/>
      <c r="C26" s="60">
        <v>42.161108007033583</v>
      </c>
      <c r="D26" s="60">
        <v>651.13779497146641</v>
      </c>
      <c r="E26" s="50">
        <v>9.6584537799159627</v>
      </c>
      <c r="F26" s="60">
        <v>0</v>
      </c>
      <c r="G26" s="60">
        <v>1343.1427914937342</v>
      </c>
      <c r="H26" s="61">
        <v>40.009216924508465</v>
      </c>
      <c r="I26" s="59">
        <v>227.3624436696368</v>
      </c>
      <c r="J26" s="60">
        <v>536.20897099177046</v>
      </c>
      <c r="K26" s="60">
        <v>34.227787190675777</v>
      </c>
      <c r="L26" s="50">
        <v>2.9457092285156412E-3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255.76793990867057</v>
      </c>
      <c r="V26" s="62">
        <v>107.71017839441318</v>
      </c>
      <c r="W26" s="62">
        <v>22.87453414766221</v>
      </c>
      <c r="X26" s="62">
        <v>9.6330296698388835</v>
      </c>
      <c r="Y26" s="66">
        <v>208.26721153063423</v>
      </c>
      <c r="Z26" s="66">
        <v>87.706451855075258</v>
      </c>
      <c r="AA26" s="67">
        <v>0</v>
      </c>
      <c r="AB26" s="68">
        <v>30.557288988431218</v>
      </c>
      <c r="AC26" s="69">
        <v>0</v>
      </c>
      <c r="AD26" s="69">
        <v>13.59392819404602</v>
      </c>
      <c r="AE26" s="68">
        <v>9.3985735209977825</v>
      </c>
      <c r="AF26" s="68">
        <v>3.9579707721036432</v>
      </c>
      <c r="AG26" s="68">
        <v>0.70366805325926174</v>
      </c>
      <c r="AH26" s="69">
        <v>245.50694642066955</v>
      </c>
      <c r="AI26" s="69">
        <v>961.03141708374039</v>
      </c>
      <c r="AJ26" s="69">
        <v>3065.8763596852627</v>
      </c>
      <c r="AK26" s="69">
        <v>509.6838013331095</v>
      </c>
      <c r="AL26" s="69">
        <v>2727.7239360809326</v>
      </c>
      <c r="AM26" s="69">
        <v>3017.7631741841628</v>
      </c>
      <c r="AN26" s="69">
        <v>1068.0956291834514</v>
      </c>
      <c r="AO26" s="69">
        <v>1830.8286437988281</v>
      </c>
      <c r="AP26" s="69">
        <v>363.17240068117781</v>
      </c>
      <c r="AQ26" s="69">
        <v>736.88759536743169</v>
      </c>
    </row>
    <row r="27" spans="1:43" x14ac:dyDescent="0.25">
      <c r="A27" s="11">
        <v>41963</v>
      </c>
      <c r="B27" s="59"/>
      <c r="C27" s="60">
        <v>42.155797630548506</v>
      </c>
      <c r="D27" s="60">
        <v>651.061841964721</v>
      </c>
      <c r="E27" s="50">
        <v>9.6874560589591621</v>
      </c>
      <c r="F27" s="60">
        <v>0</v>
      </c>
      <c r="G27" s="60">
        <v>1428.0309883117654</v>
      </c>
      <c r="H27" s="61">
        <v>39.967820372184057</v>
      </c>
      <c r="I27" s="59">
        <v>219.09233020146667</v>
      </c>
      <c r="J27" s="60">
        <v>516.25956840515209</v>
      </c>
      <c r="K27" s="60">
        <v>32.823373593886764</v>
      </c>
      <c r="L27" s="50">
        <v>4.2202949523925913E-3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245.61005402127998</v>
      </c>
      <c r="V27" s="62">
        <v>107.87293376405793</v>
      </c>
      <c r="W27" s="62">
        <v>21.566097662226657</v>
      </c>
      <c r="X27" s="62">
        <v>9.4719177272157538</v>
      </c>
      <c r="Y27" s="62">
        <v>199.17093452021115</v>
      </c>
      <c r="Z27" s="62">
        <v>87.476683773550889</v>
      </c>
      <c r="AA27" s="72">
        <v>0</v>
      </c>
      <c r="AB27" s="69">
        <v>30.821142212549809</v>
      </c>
      <c r="AC27" s="69">
        <v>0</v>
      </c>
      <c r="AD27" s="69">
        <v>13.195963139004194</v>
      </c>
      <c r="AE27" s="69">
        <v>9.008638784701672</v>
      </c>
      <c r="AF27" s="69">
        <v>3.9566307608981259</v>
      </c>
      <c r="AG27" s="69">
        <v>0.69482849955549575</v>
      </c>
      <c r="AH27" s="69">
        <v>242.30109628041586</v>
      </c>
      <c r="AI27" s="69">
        <v>956.64869187672934</v>
      </c>
      <c r="AJ27" s="69">
        <v>3080.5940196990964</v>
      </c>
      <c r="AK27" s="69">
        <v>513.39996587435394</v>
      </c>
      <c r="AL27" s="69">
        <v>2788.8650421142579</v>
      </c>
      <c r="AM27" s="69">
        <v>3045.7605225880939</v>
      </c>
      <c r="AN27" s="69">
        <v>1051.8843551635744</v>
      </c>
      <c r="AO27" s="69">
        <v>1807.2248676300048</v>
      </c>
      <c r="AP27" s="69">
        <v>360.05533447265623</v>
      </c>
      <c r="AQ27" s="69">
        <v>705.46275984446208</v>
      </c>
    </row>
    <row r="28" spans="1:43" x14ac:dyDescent="0.25">
      <c r="A28" s="11">
        <v>41964</v>
      </c>
      <c r="B28" s="59"/>
      <c r="C28" s="60">
        <v>42.112244268258472</v>
      </c>
      <c r="D28" s="60">
        <v>652.15986124674384</v>
      </c>
      <c r="E28" s="50">
        <v>9.7088462437192611</v>
      </c>
      <c r="F28" s="60">
        <v>0</v>
      </c>
      <c r="G28" s="60">
        <v>1369.3005878448473</v>
      </c>
      <c r="H28" s="61">
        <v>39.550961161653234</v>
      </c>
      <c r="I28" s="59">
        <v>208.21905937194842</v>
      </c>
      <c r="J28" s="60">
        <v>510.66637407938629</v>
      </c>
      <c r="K28" s="60">
        <v>32.398190345366828</v>
      </c>
      <c r="L28" s="50">
        <v>3.9181709289551024E-3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241.60654971975666</v>
      </c>
      <c r="V28" s="62">
        <v>104.63538003386817</v>
      </c>
      <c r="W28" s="62">
        <v>21.057061904897786</v>
      </c>
      <c r="X28" s="62">
        <v>9.1194285807703768</v>
      </c>
      <c r="Y28" s="66">
        <v>196.56087575739875</v>
      </c>
      <c r="Z28" s="66">
        <v>85.126922090984777</v>
      </c>
      <c r="AA28" s="67">
        <v>0</v>
      </c>
      <c r="AB28" s="68">
        <v>30.88772677448106</v>
      </c>
      <c r="AC28" s="69">
        <v>0</v>
      </c>
      <c r="AD28" s="69">
        <v>12.966286533739824</v>
      </c>
      <c r="AE28" s="68">
        <v>8.8816554521912039</v>
      </c>
      <c r="AF28" s="68">
        <v>3.8464826166668704</v>
      </c>
      <c r="AG28" s="68">
        <v>0.69779691296105151</v>
      </c>
      <c r="AH28" s="69">
        <v>233.68378792603809</v>
      </c>
      <c r="AI28" s="69">
        <v>939.14524688720712</v>
      </c>
      <c r="AJ28" s="69">
        <v>3090.5737358093265</v>
      </c>
      <c r="AK28" s="69">
        <v>501.87120447158821</v>
      </c>
      <c r="AL28" s="69">
        <v>2651.9882050832111</v>
      </c>
      <c r="AM28" s="69">
        <v>2881.1454832712807</v>
      </c>
      <c r="AN28" s="69">
        <v>1020.5210503896076</v>
      </c>
      <c r="AO28" s="69">
        <v>1746.033228302002</v>
      </c>
      <c r="AP28" s="69">
        <v>355.21369887987777</v>
      </c>
      <c r="AQ28" s="69">
        <v>683.15301100413001</v>
      </c>
    </row>
    <row r="29" spans="1:43" x14ac:dyDescent="0.25">
      <c r="A29" s="11">
        <v>41966</v>
      </c>
      <c r="B29" s="59"/>
      <c r="C29" s="60">
        <v>42.33620146910318</v>
      </c>
      <c r="D29" s="60">
        <v>652.42379446029668</v>
      </c>
      <c r="E29" s="50">
        <v>9.6831676810979914</v>
      </c>
      <c r="F29" s="60">
        <v>0</v>
      </c>
      <c r="G29" s="60">
        <v>1552.3176932016947</v>
      </c>
      <c r="H29" s="61">
        <v>39.894185541073483</v>
      </c>
      <c r="I29" s="59">
        <v>208.22504496574709</v>
      </c>
      <c r="J29" s="60">
        <v>509.15671631495792</v>
      </c>
      <c r="K29" s="60">
        <v>32.374326364198907</v>
      </c>
      <c r="L29" s="50">
        <v>1.3548374176025061E-2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252.49733439776395</v>
      </c>
      <c r="V29" s="62">
        <v>112.53113265342854</v>
      </c>
      <c r="W29" s="62">
        <v>21.661776832583186</v>
      </c>
      <c r="X29" s="62">
        <v>9.6540594698570033</v>
      </c>
      <c r="Y29" s="66">
        <v>195.86582953119171</v>
      </c>
      <c r="Z29" s="66">
        <v>87.292025073527057</v>
      </c>
      <c r="AA29" s="67">
        <v>0</v>
      </c>
      <c r="AB29" s="68">
        <v>30.885115771822814</v>
      </c>
      <c r="AC29" s="69">
        <v>0</v>
      </c>
      <c r="AD29" s="69">
        <v>13.076494229501941</v>
      </c>
      <c r="AE29" s="68">
        <v>8.9669969825532121</v>
      </c>
      <c r="AF29" s="68">
        <v>3.996344473708334</v>
      </c>
      <c r="AG29" s="68">
        <v>0.69171957035984566</v>
      </c>
      <c r="AH29" s="69">
        <v>184.19804462591807</v>
      </c>
      <c r="AI29" s="69">
        <v>899.10564066569009</v>
      </c>
      <c r="AJ29" s="69">
        <v>2946.399856185913</v>
      </c>
      <c r="AK29" s="69">
        <v>495.77627563476562</v>
      </c>
      <c r="AL29" s="69">
        <v>2709.6784421284992</v>
      </c>
      <c r="AM29" s="69">
        <v>2521.4689997355144</v>
      </c>
      <c r="AN29" s="69">
        <v>1004.8925081888834</v>
      </c>
      <c r="AO29" s="69">
        <v>1728.7424926757812</v>
      </c>
      <c r="AP29" s="69">
        <v>333.87982177734375</v>
      </c>
      <c r="AQ29" s="69">
        <v>673.7133903503418</v>
      </c>
    </row>
    <row r="30" spans="1:43" x14ac:dyDescent="0.25">
      <c r="A30" s="11">
        <v>41967</v>
      </c>
      <c r="B30" s="59"/>
      <c r="C30" s="60">
        <v>41.278077214956575</v>
      </c>
      <c r="D30" s="60">
        <v>650.94258931477941</v>
      </c>
      <c r="E30" s="50">
        <v>9.632157047589601</v>
      </c>
      <c r="F30" s="60">
        <v>0</v>
      </c>
      <c r="G30" s="60">
        <v>1478.6531179428075</v>
      </c>
      <c r="H30" s="61">
        <v>40.002368219693558</v>
      </c>
      <c r="I30" s="59">
        <v>214.40562224388177</v>
      </c>
      <c r="J30" s="60">
        <v>527.35208902359022</v>
      </c>
      <c r="K30" s="60">
        <v>30.686082470416885</v>
      </c>
      <c r="L30" s="50">
        <v>5.6081771850585559E-3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242.72183624938222</v>
      </c>
      <c r="V30" s="62">
        <v>107.60896711315182</v>
      </c>
      <c r="W30" s="62">
        <v>21.621185755346396</v>
      </c>
      <c r="X30" s="62">
        <v>9.5855960174260542</v>
      </c>
      <c r="Y30" s="66">
        <v>193.96545631041539</v>
      </c>
      <c r="Z30" s="66">
        <v>85.993179401254224</v>
      </c>
      <c r="AA30" s="67">
        <v>0</v>
      </c>
      <c r="AB30" s="68">
        <v>23.213412563006013</v>
      </c>
      <c r="AC30" s="69">
        <v>0</v>
      </c>
      <c r="AD30" s="69">
        <v>12.704933241340854</v>
      </c>
      <c r="AE30" s="68">
        <v>8.6506524485451592</v>
      </c>
      <c r="AF30" s="68">
        <v>3.8352040723949146</v>
      </c>
      <c r="AG30" s="68">
        <v>0.6928361249416185</v>
      </c>
      <c r="AH30" s="69">
        <v>272.06391100883485</v>
      </c>
      <c r="AI30" s="69">
        <v>1020.2193869908652</v>
      </c>
      <c r="AJ30" s="69">
        <v>3092.7706261952708</v>
      </c>
      <c r="AK30" s="69">
        <v>560.74961264928186</v>
      </c>
      <c r="AL30" s="69">
        <v>2846.3518037160229</v>
      </c>
      <c r="AM30" s="69">
        <v>2701.7744241078694</v>
      </c>
      <c r="AN30" s="69">
        <v>1089.4568298975626</v>
      </c>
      <c r="AO30" s="69">
        <v>1755.8200293223065</v>
      </c>
      <c r="AP30" s="69">
        <v>358.67171096801758</v>
      </c>
      <c r="AQ30" s="69">
        <v>696.57301435470583</v>
      </c>
    </row>
    <row r="31" spans="1:43" x14ac:dyDescent="0.25">
      <c r="A31" s="11">
        <v>41968</v>
      </c>
      <c r="B31" s="59"/>
      <c r="C31" s="60">
        <v>42.002487828334097</v>
      </c>
      <c r="D31" s="60">
        <v>651.15247917175304</v>
      </c>
      <c r="E31" s="60">
        <v>9.5624130020538818</v>
      </c>
      <c r="F31" s="60">
        <v>0</v>
      </c>
      <c r="G31" s="60">
        <v>1474.9197654088307</v>
      </c>
      <c r="H31" s="61">
        <v>33.730283192793571</v>
      </c>
      <c r="I31" s="59">
        <v>217.61156652768454</v>
      </c>
      <c r="J31" s="60">
        <v>534.96817646026659</v>
      </c>
      <c r="K31" s="60">
        <v>29.333078575134234</v>
      </c>
      <c r="L31" s="50">
        <v>2.5774955749511847E-3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254.31298238909289</v>
      </c>
      <c r="V31" s="62">
        <v>109.78816791167337</v>
      </c>
      <c r="W31" s="62">
        <v>22.795361048351971</v>
      </c>
      <c r="X31" s="62">
        <v>9.840869714447658</v>
      </c>
      <c r="Y31" s="66">
        <v>204.99743356252142</v>
      </c>
      <c r="Z31" s="66">
        <v>88.498402425205754</v>
      </c>
      <c r="AA31" s="67">
        <v>0</v>
      </c>
      <c r="AB31" s="68">
        <v>21.929242136743298</v>
      </c>
      <c r="AC31" s="69">
        <v>0</v>
      </c>
      <c r="AD31" s="69">
        <v>13.139550912049092</v>
      </c>
      <c r="AE31" s="68">
        <v>9.0646688154713502</v>
      </c>
      <c r="AF31" s="68">
        <v>3.9132622040272236</v>
      </c>
      <c r="AG31" s="68">
        <v>0.69846794545696245</v>
      </c>
      <c r="AH31" s="69">
        <v>274.92926217714944</v>
      </c>
      <c r="AI31" s="69">
        <v>1030.7040712356568</v>
      </c>
      <c r="AJ31" s="69">
        <v>3082.1583342234298</v>
      </c>
      <c r="AK31" s="69">
        <v>549.98048969904573</v>
      </c>
      <c r="AL31" s="69">
        <v>2797.46561571757</v>
      </c>
      <c r="AM31" s="69">
        <v>2721.1373457590739</v>
      </c>
      <c r="AN31" s="69">
        <v>1109.240641562144</v>
      </c>
      <c r="AO31" s="69">
        <v>1782.5561500549318</v>
      </c>
      <c r="AP31" s="69">
        <v>350.67767553329475</v>
      </c>
      <c r="AQ31" s="69">
        <v>715.7715480804444</v>
      </c>
    </row>
    <row r="32" spans="1:43" x14ac:dyDescent="0.25">
      <c r="A32" s="11">
        <v>41969</v>
      </c>
      <c r="B32" s="59"/>
      <c r="C32" s="60">
        <v>42.026063104470467</v>
      </c>
      <c r="D32" s="60">
        <v>650.95696442922031</v>
      </c>
      <c r="E32" s="60">
        <v>9.651949140926213</v>
      </c>
      <c r="F32" s="60">
        <v>0</v>
      </c>
      <c r="G32" s="60">
        <v>1469.8741409937518</v>
      </c>
      <c r="H32" s="61">
        <v>39.929331705967563</v>
      </c>
      <c r="I32" s="59">
        <v>234.01600991884794</v>
      </c>
      <c r="J32" s="60">
        <v>560.06996857325282</v>
      </c>
      <c r="K32" s="60">
        <v>30.591791347662578</v>
      </c>
      <c r="L32" s="50">
        <v>5.4569840431213058E-3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280.45800847688531</v>
      </c>
      <c r="V32" s="62">
        <v>112.16872405265279</v>
      </c>
      <c r="W32" s="62">
        <v>25.709268695200421</v>
      </c>
      <c r="X32" s="62">
        <v>10.282380173519327</v>
      </c>
      <c r="Y32" s="66">
        <v>227.19537297622821</v>
      </c>
      <c r="Z32" s="66">
        <v>90.866419667635981</v>
      </c>
      <c r="AA32" s="67">
        <v>0</v>
      </c>
      <c r="AB32" s="68">
        <v>21.683931703037583</v>
      </c>
      <c r="AC32" s="69">
        <v>0</v>
      </c>
      <c r="AD32" s="69">
        <v>14.127134312523758</v>
      </c>
      <c r="AE32" s="68">
        <v>10.003176560613777</v>
      </c>
      <c r="AF32" s="68">
        <v>4.0007541855233821</v>
      </c>
      <c r="AG32" s="68">
        <v>0.71431205580426416</v>
      </c>
      <c r="AH32" s="69">
        <v>253.66255967617036</v>
      </c>
      <c r="AI32" s="69">
        <v>1014.0576155980426</v>
      </c>
      <c r="AJ32" s="69">
        <v>3118.5476245880127</v>
      </c>
      <c r="AK32" s="69">
        <v>537.85108318328855</v>
      </c>
      <c r="AL32" s="69">
        <v>2814.9062028249109</v>
      </c>
      <c r="AM32" s="69">
        <v>2716.1776330312082</v>
      </c>
      <c r="AN32" s="69">
        <v>1105.134742673238</v>
      </c>
      <c r="AO32" s="69">
        <v>1857.5866912841796</v>
      </c>
      <c r="AP32" s="69">
        <v>347.06046587626145</v>
      </c>
      <c r="AQ32" s="69">
        <v>728.73597148259478</v>
      </c>
    </row>
    <row r="33" spans="1:43" x14ac:dyDescent="0.25">
      <c r="A33" s="11">
        <v>41970</v>
      </c>
      <c r="B33" s="59"/>
      <c r="C33" s="60">
        <v>41.862727502981791</v>
      </c>
      <c r="D33" s="60">
        <v>650.79905567169328</v>
      </c>
      <c r="E33" s="60">
        <v>9.6512892420093159</v>
      </c>
      <c r="F33" s="60">
        <v>0</v>
      </c>
      <c r="G33" s="60">
        <v>1533.1162862777699</v>
      </c>
      <c r="H33" s="61">
        <v>39.942583948373823</v>
      </c>
      <c r="I33" s="59">
        <v>229.74164519309997</v>
      </c>
      <c r="J33" s="60">
        <v>559.36256879170787</v>
      </c>
      <c r="K33" s="60">
        <v>30.636094808578481</v>
      </c>
      <c r="L33" s="50">
        <v>1.1931931972503404E-2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277.78394495169528</v>
      </c>
      <c r="V33" s="62">
        <v>108.11929116195981</v>
      </c>
      <c r="W33" s="62">
        <v>25.226487355595385</v>
      </c>
      <c r="X33" s="62">
        <v>9.8186737605278207</v>
      </c>
      <c r="Y33" s="66">
        <v>226.4956881655842</v>
      </c>
      <c r="Z33" s="66">
        <v>88.156834477822855</v>
      </c>
      <c r="AA33" s="67">
        <v>0</v>
      </c>
      <c r="AB33" s="68">
        <v>21.709500161806346</v>
      </c>
      <c r="AC33" s="69">
        <v>0</v>
      </c>
      <c r="AD33" s="69">
        <v>14.020654984646386</v>
      </c>
      <c r="AE33" s="68">
        <v>9.9991018644946834</v>
      </c>
      <c r="AF33" s="68">
        <v>3.891858494677908</v>
      </c>
      <c r="AG33" s="68">
        <v>0.71982797488094441</v>
      </c>
      <c r="AH33" s="69">
        <v>234.48719361623125</v>
      </c>
      <c r="AI33" s="69">
        <v>989.73539657592767</v>
      </c>
      <c r="AJ33" s="69">
        <v>3097.4750720977786</v>
      </c>
      <c r="AK33" s="69">
        <v>501.50748179753629</v>
      </c>
      <c r="AL33" s="69">
        <v>2726.3064609527592</v>
      </c>
      <c r="AM33" s="69">
        <v>2451.7857205708819</v>
      </c>
      <c r="AN33" s="69">
        <v>1056.9777340571086</v>
      </c>
      <c r="AO33" s="69">
        <v>1832.3107796986899</v>
      </c>
      <c r="AP33" s="69">
        <v>337.19038716952008</v>
      </c>
      <c r="AQ33" s="69">
        <v>820.21842762629205</v>
      </c>
    </row>
    <row r="34" spans="1:43" x14ac:dyDescent="0.25">
      <c r="A34" s="11">
        <v>41971</v>
      </c>
      <c r="B34" s="59"/>
      <c r="C34" s="60">
        <v>42.390156288941412</v>
      </c>
      <c r="D34" s="60">
        <v>651.77377618153821</v>
      </c>
      <c r="E34" s="60">
        <v>9.6632871478796023</v>
      </c>
      <c r="F34" s="60">
        <v>0</v>
      </c>
      <c r="G34" s="60">
        <v>1550.4767175038628</v>
      </c>
      <c r="H34" s="61">
        <v>40.051255625486419</v>
      </c>
      <c r="I34" s="59">
        <v>224.2742544968925</v>
      </c>
      <c r="J34" s="60">
        <v>559.91745360692312</v>
      </c>
      <c r="K34" s="60">
        <v>30.701463842391949</v>
      </c>
      <c r="L34" s="50">
        <v>1.073392629623391E-2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276.52574693334765</v>
      </c>
      <c r="V34" s="62">
        <v>110.62418046024933</v>
      </c>
      <c r="W34" s="62">
        <v>25.148978993041137</v>
      </c>
      <c r="X34" s="62">
        <v>10.060854084548525</v>
      </c>
      <c r="Y34" s="66">
        <v>222.51796780080193</v>
      </c>
      <c r="Z34" s="66">
        <v>89.018357598278712</v>
      </c>
      <c r="AA34" s="67">
        <v>0</v>
      </c>
      <c r="AB34" s="68">
        <v>21.906946486896537</v>
      </c>
      <c r="AC34" s="69">
        <v>0</v>
      </c>
      <c r="AD34" s="69">
        <v>13.967881227201897</v>
      </c>
      <c r="AE34" s="68">
        <v>9.8802010438870767</v>
      </c>
      <c r="AF34" s="68">
        <v>3.9525764070206328</v>
      </c>
      <c r="AG34" s="68">
        <v>0.71426010278497876</v>
      </c>
      <c r="AH34" s="69">
        <v>220.36111729145051</v>
      </c>
      <c r="AI34" s="69">
        <v>959.16235249837246</v>
      </c>
      <c r="AJ34" s="69">
        <v>3084.6329418182372</v>
      </c>
      <c r="AK34" s="69">
        <v>483.02288554509494</v>
      </c>
      <c r="AL34" s="69">
        <v>2637.5257293701175</v>
      </c>
      <c r="AM34" s="69">
        <v>2425.3238461812339</v>
      </c>
      <c r="AN34" s="69">
        <v>1051.553890800476</v>
      </c>
      <c r="AO34" s="69">
        <v>1878.1918497721354</v>
      </c>
      <c r="AP34" s="69">
        <v>344.71219603220612</v>
      </c>
      <c r="AQ34" s="69">
        <v>772.86564868291191</v>
      </c>
    </row>
    <row r="35" spans="1:43" x14ac:dyDescent="0.25">
      <c r="A35" s="11">
        <v>41972</v>
      </c>
      <c r="B35" s="59"/>
      <c r="C35" s="60">
        <v>41.723003337780767</v>
      </c>
      <c r="D35" s="60">
        <v>650.72459573745732</v>
      </c>
      <c r="E35" s="60">
        <v>9.6442155987024343</v>
      </c>
      <c r="F35" s="60">
        <v>0</v>
      </c>
      <c r="G35" s="60">
        <v>1530.8469339370711</v>
      </c>
      <c r="H35" s="61">
        <v>39.736172504226424</v>
      </c>
      <c r="I35" s="59">
        <v>215.66653917630538</v>
      </c>
      <c r="J35" s="60">
        <v>537.3018351554872</v>
      </c>
      <c r="K35" s="60">
        <v>29.514114687839996</v>
      </c>
      <c r="L35" s="50">
        <v>7.0148110389708597E-3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269.38205737936767</v>
      </c>
      <c r="V35" s="62">
        <v>112.17130514911078</v>
      </c>
      <c r="W35" s="62">
        <v>24.053777521318796</v>
      </c>
      <c r="X35" s="62">
        <v>10.016048004759678</v>
      </c>
      <c r="Y35" s="66">
        <v>216.47099090266121</v>
      </c>
      <c r="Z35" s="66">
        <v>90.139015986046061</v>
      </c>
      <c r="AA35" s="67">
        <v>0</v>
      </c>
      <c r="AB35" s="68">
        <v>21.908125336964623</v>
      </c>
      <c r="AC35" s="69">
        <v>0</v>
      </c>
      <c r="AD35" s="69">
        <v>13.731677071915756</v>
      </c>
      <c r="AE35" s="68">
        <v>9.6064345061324001</v>
      </c>
      <c r="AF35" s="68">
        <v>4.0001413118053399</v>
      </c>
      <c r="AG35" s="68">
        <v>0.70601410925650399</v>
      </c>
      <c r="AH35" s="69">
        <v>216.0184760093689</v>
      </c>
      <c r="AI35" s="69">
        <v>962.01358617146798</v>
      </c>
      <c r="AJ35" s="69">
        <v>3092.2237462361654</v>
      </c>
      <c r="AK35" s="69">
        <v>484.01210595766696</v>
      </c>
      <c r="AL35" s="69">
        <v>2619.7761173248296</v>
      </c>
      <c r="AM35" s="69">
        <v>2295.4374412536622</v>
      </c>
      <c r="AN35" s="69">
        <v>890.41370309193917</v>
      </c>
      <c r="AO35" s="69">
        <v>1841.4326890309651</v>
      </c>
      <c r="AP35" s="69">
        <v>339.00369919141133</v>
      </c>
      <c r="AQ35" s="69">
        <v>674.42086359659834</v>
      </c>
    </row>
    <row r="36" spans="1:43" x14ac:dyDescent="0.25">
      <c r="A36" s="11">
        <v>41973</v>
      </c>
      <c r="B36" s="59"/>
      <c r="C36" s="60">
        <v>42.400934938589913</v>
      </c>
      <c r="D36" s="60">
        <v>650.48698034286599</v>
      </c>
      <c r="E36" s="60">
        <v>9.6205051044623051</v>
      </c>
      <c r="F36" s="60">
        <v>0</v>
      </c>
      <c r="G36" s="60">
        <v>1500.6669243494673</v>
      </c>
      <c r="H36" s="61">
        <v>39.845540664593479</v>
      </c>
      <c r="I36" s="59">
        <v>208.24722615877795</v>
      </c>
      <c r="J36" s="60">
        <v>510.84097280502414</v>
      </c>
      <c r="K36" s="60">
        <v>27.738326728344067</v>
      </c>
      <c r="L36" s="50">
        <v>5.5230736732482582E-3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255.28961904596142</v>
      </c>
      <c r="V36" s="62">
        <v>112.09835278970415</v>
      </c>
      <c r="W36" s="62">
        <v>22.925658598553696</v>
      </c>
      <c r="X36" s="62">
        <v>10.066717852143867</v>
      </c>
      <c r="Y36" s="66">
        <v>205.08376300357821</v>
      </c>
      <c r="Z36" s="66">
        <v>90.052827461332186</v>
      </c>
      <c r="AA36" s="67">
        <v>0</v>
      </c>
      <c r="AB36" s="68">
        <v>20.409573382801433</v>
      </c>
      <c r="AC36" s="69">
        <v>0</v>
      </c>
      <c r="AD36" s="69">
        <v>13.236107872592077</v>
      </c>
      <c r="AE36" s="68">
        <v>9.1090694433033796</v>
      </c>
      <c r="AF36" s="68">
        <v>3.9998166939075541</v>
      </c>
      <c r="AG36" s="68">
        <v>0.69487745548771995</v>
      </c>
      <c r="AH36" s="69">
        <v>239.90671557585398</v>
      </c>
      <c r="AI36" s="69">
        <v>1005.0512789408367</v>
      </c>
      <c r="AJ36" s="69">
        <v>3102.5493699391677</v>
      </c>
      <c r="AK36" s="69">
        <v>525.71570170720429</v>
      </c>
      <c r="AL36" s="69">
        <v>2770.6021972656245</v>
      </c>
      <c r="AM36" s="69">
        <v>2362.1166404724117</v>
      </c>
      <c r="AN36" s="69">
        <v>668.9659376144408</v>
      </c>
      <c r="AO36" s="69">
        <v>1740.5342557271319</v>
      </c>
      <c r="AP36" s="69">
        <v>332.41744988759359</v>
      </c>
      <c r="AQ36" s="69">
        <v>631.60098962783809</v>
      </c>
    </row>
    <row r="37" spans="1:43" x14ac:dyDescent="0.25">
      <c r="A37" s="11"/>
      <c r="B37" s="59"/>
      <c r="C37" s="60"/>
      <c r="D37" s="60"/>
      <c r="E37" s="60"/>
      <c r="F37" s="60"/>
      <c r="G37" s="60"/>
      <c r="H37" s="61"/>
      <c r="I37" s="59"/>
      <c r="J37" s="60"/>
      <c r="K37" s="60"/>
      <c r="L37" s="60"/>
      <c r="M37" s="60"/>
      <c r="N37" s="61"/>
      <c r="O37" s="59"/>
      <c r="P37" s="60"/>
      <c r="Q37" s="60"/>
      <c r="R37" s="63"/>
      <c r="S37" s="60"/>
      <c r="T37" s="64"/>
      <c r="U37" s="65"/>
      <c r="V37" s="62"/>
      <c r="W37" s="62"/>
      <c r="X37" s="62"/>
      <c r="Y37" s="66"/>
      <c r="Z37" s="66"/>
      <c r="AA37" s="67"/>
      <c r="AB37" s="68"/>
      <c r="AC37" s="69"/>
      <c r="AD37" s="69"/>
      <c r="AE37" s="68"/>
      <c r="AF37" s="68"/>
      <c r="AG37" s="68"/>
      <c r="AH37" s="69"/>
      <c r="AI37" s="69"/>
      <c r="AJ37" s="69"/>
      <c r="AK37" s="69"/>
      <c r="AL37" s="69"/>
      <c r="AM37" s="69"/>
      <c r="AN37" s="69"/>
      <c r="AO37" s="69"/>
      <c r="AP37" s="69"/>
      <c r="AQ37" s="69"/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1122.3632699251161</v>
      </c>
      <c r="D39" s="30">
        <f t="shared" si="0"/>
        <v>17311.913024266571</v>
      </c>
      <c r="E39" s="30">
        <f t="shared" si="0"/>
        <v>250.38058662762239</v>
      </c>
      <c r="F39" s="30">
        <f t="shared" si="0"/>
        <v>0</v>
      </c>
      <c r="G39" s="30">
        <f t="shared" si="0"/>
        <v>38678.917916806509</v>
      </c>
      <c r="H39" s="31">
        <f t="shared" si="0"/>
        <v>1058.3795923382052</v>
      </c>
      <c r="I39" s="29">
        <f t="shared" si="0"/>
        <v>7474.7615825970988</v>
      </c>
      <c r="J39" s="30">
        <f t="shared" si="0"/>
        <v>16954.895181878408</v>
      </c>
      <c r="K39" s="30">
        <f t="shared" si="0"/>
        <v>972.57873662710199</v>
      </c>
      <c r="L39" s="30">
        <f t="shared" si="0"/>
        <v>9.9773180484770851E-2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7703.5852957042835</v>
      </c>
      <c r="V39" s="264">
        <f t="shared" si="0"/>
        <v>2891.5451652997426</v>
      </c>
      <c r="W39" s="264">
        <f t="shared" si="0"/>
        <v>695.67610188184392</v>
      </c>
      <c r="X39" s="264">
        <f t="shared" si="0"/>
        <v>261.23848207137837</v>
      </c>
      <c r="Y39" s="264">
        <f t="shared" si="0"/>
        <v>6542.3456214272137</v>
      </c>
      <c r="Z39" s="264">
        <f t="shared" si="0"/>
        <v>2455.014069835031</v>
      </c>
      <c r="AA39" s="272">
        <f t="shared" si="0"/>
        <v>0</v>
      </c>
      <c r="AB39" s="275">
        <f t="shared" si="0"/>
        <v>787.29653105735315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7106.5449131170917</v>
      </c>
      <c r="AI39" s="275">
        <f t="shared" si="1"/>
        <v>27335.684814039872</v>
      </c>
      <c r="AJ39" s="275">
        <f t="shared" si="1"/>
        <v>88279.354167747486</v>
      </c>
      <c r="AK39" s="275">
        <f t="shared" si="1"/>
        <v>15221.568524217608</v>
      </c>
      <c r="AL39" s="275">
        <f t="shared" si="1"/>
        <v>76951.661882400513</v>
      </c>
      <c r="AM39" s="275">
        <f t="shared" si="1"/>
        <v>73510.552889633153</v>
      </c>
      <c r="AN39" s="275">
        <f t="shared" si="1"/>
        <v>23992.955276155473</v>
      </c>
      <c r="AO39" s="275">
        <f t="shared" si="1"/>
        <v>51520.625022951761</v>
      </c>
      <c r="AP39" s="275">
        <f t="shared" si="1"/>
        <v>10302.373307458558</v>
      </c>
      <c r="AQ39" s="275">
        <f t="shared" si="1"/>
        <v>20938.97880821228</v>
      </c>
    </row>
    <row r="40" spans="1:43" ht="15.75" thickBot="1" x14ac:dyDescent="0.3">
      <c r="A40" s="47" t="s">
        <v>174</v>
      </c>
      <c r="B40" s="32">
        <f>Projection!$AD$30</f>
        <v>0.80583665399999982</v>
      </c>
      <c r="C40" s="33">
        <f>Projection!$AD$28</f>
        <v>1.0959093599999998</v>
      </c>
      <c r="D40" s="33">
        <f>Projection!$AD$31</f>
        <v>2.1834120000000001</v>
      </c>
      <c r="E40" s="33">
        <f>Projection!$AD$26</f>
        <v>4.3368000000000002</v>
      </c>
      <c r="F40" s="33">
        <f>Projection!$AD$23</f>
        <v>5.8379999999999994E-2</v>
      </c>
      <c r="G40" s="33">
        <f>Projection!$AD$24</f>
        <v>5.5119999999999995E-2</v>
      </c>
      <c r="H40" s="34">
        <f>Projection!$AD$29</f>
        <v>3.4361216999999997</v>
      </c>
      <c r="I40" s="32">
        <f>Projection!$AD$30</f>
        <v>0.80583665399999982</v>
      </c>
      <c r="J40" s="33">
        <f>Projection!$AD$28</f>
        <v>1.0959093599999998</v>
      </c>
      <c r="K40" s="33">
        <f>Projection!$AD$26</f>
        <v>4.3368000000000002</v>
      </c>
      <c r="L40" s="33">
        <f>Projection!$AD$25</f>
        <v>0</v>
      </c>
      <c r="M40" s="33">
        <f>Projection!$AD$23</f>
        <v>5.8379999999999994E-2</v>
      </c>
      <c r="N40" s="34">
        <f>Projection!$AD$23</f>
        <v>5.8379999999999994E-2</v>
      </c>
      <c r="O40" s="266">
        <v>15.77</v>
      </c>
      <c r="P40" s="267">
        <v>15.77</v>
      </c>
      <c r="Q40" s="267">
        <v>15.77</v>
      </c>
      <c r="R40" s="267">
        <v>15.77</v>
      </c>
      <c r="S40" s="267">
        <f>Projection!$AD$28</f>
        <v>1.0959093599999998</v>
      </c>
      <c r="T40" s="268">
        <f>Projection!$AD$28</f>
        <v>1.0959093599999998</v>
      </c>
      <c r="U40" s="266">
        <f>Projection!$AD$27</f>
        <v>0.21934999999999999</v>
      </c>
      <c r="V40" s="267">
        <f>Projection!$AD$27</f>
        <v>0.21934999999999999</v>
      </c>
      <c r="W40" s="267">
        <f>Projection!$AD$22</f>
        <v>1.1625000000000001</v>
      </c>
      <c r="X40" s="267">
        <f>Projection!$AD$22</f>
        <v>1.1625000000000001</v>
      </c>
      <c r="Y40" s="267">
        <f>Projection!$AD$31</f>
        <v>2.1834120000000001</v>
      </c>
      <c r="Z40" s="267">
        <f>Projection!$AD$31</f>
        <v>2.1834120000000001</v>
      </c>
      <c r="AA40" s="273">
        <v>0</v>
      </c>
      <c r="AB40" s="276">
        <f>Projection!$AD$27</f>
        <v>0.21934999999999999</v>
      </c>
      <c r="AC40" s="276">
        <f>Projection!$AD$30</f>
        <v>0.80583665399999982</v>
      </c>
      <c r="AD40" s="279">
        <f>SUM(AD8:AD38)</f>
        <v>386.69875003496821</v>
      </c>
      <c r="AE40" s="279">
        <f>SUM(AE8:AE38)</f>
        <v>277.34321600584349</v>
      </c>
      <c r="AF40" s="279">
        <f>SUM(AF8:AF38)</f>
        <v>104.46478452516757</v>
      </c>
      <c r="AG40" s="279">
        <f>IF(SUM(AE40:AF40)&gt;0, AE40/(AE40+AF40), "")</f>
        <v>0.72639445904779354</v>
      </c>
      <c r="AH40" s="315">
        <v>6.9000000000000006E-2</v>
      </c>
      <c r="AI40" s="315">
        <f t="shared" ref="AI40:AQ40" si="2">$AH$40</f>
        <v>6.9000000000000006E-2</v>
      </c>
      <c r="AJ40" s="315">
        <f t="shared" si="2"/>
        <v>6.9000000000000006E-2</v>
      </c>
      <c r="AK40" s="315">
        <f t="shared" si="2"/>
        <v>6.9000000000000006E-2</v>
      </c>
      <c r="AL40" s="315">
        <f t="shared" si="2"/>
        <v>6.9000000000000006E-2</v>
      </c>
      <c r="AM40" s="315">
        <f t="shared" si="2"/>
        <v>6.9000000000000006E-2</v>
      </c>
      <c r="AN40" s="315">
        <f t="shared" si="2"/>
        <v>6.9000000000000006E-2</v>
      </c>
      <c r="AO40" s="315">
        <f t="shared" si="2"/>
        <v>6.9000000000000006E-2</v>
      </c>
      <c r="AP40" s="315">
        <f t="shared" si="2"/>
        <v>6.9000000000000006E-2</v>
      </c>
      <c r="AQ40" s="315">
        <f t="shared" si="2"/>
        <v>6.9000000000000006E-2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1230.0084128311412</v>
      </c>
      <c r="D41" s="36">
        <f t="shared" si="3"/>
        <v>37799.038640139923</v>
      </c>
      <c r="E41" s="36">
        <f t="shared" si="3"/>
        <v>1085.8505280866727</v>
      </c>
      <c r="F41" s="36">
        <f t="shared" si="3"/>
        <v>0</v>
      </c>
      <c r="G41" s="36">
        <f t="shared" si="3"/>
        <v>2131.9819555743748</v>
      </c>
      <c r="H41" s="37">
        <f t="shared" si="3"/>
        <v>3636.7210840704602</v>
      </c>
      <c r="I41" s="35">
        <f t="shared" si="3"/>
        <v>6023.4368631677889</v>
      </c>
      <c r="J41" s="36">
        <f t="shared" si="3"/>
        <v>18581.028327639448</v>
      </c>
      <c r="K41" s="36">
        <f t="shared" si="3"/>
        <v>4217.8794650044165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1689.7814346127345</v>
      </c>
      <c r="V41" s="270">
        <f t="shared" si="3"/>
        <v>634.26043200849847</v>
      </c>
      <c r="W41" s="270">
        <f t="shared" si="3"/>
        <v>808.72346843764365</v>
      </c>
      <c r="X41" s="270">
        <f t="shared" si="3"/>
        <v>303.68973540797737</v>
      </c>
      <c r="Y41" s="270">
        <f t="shared" si="3"/>
        <v>14284.635937971636</v>
      </c>
      <c r="Z41" s="270">
        <f t="shared" si="3"/>
        <v>5360.3071802466447</v>
      </c>
      <c r="AA41" s="274">
        <f t="shared" si="3"/>
        <v>0</v>
      </c>
      <c r="AB41" s="277">
        <f t="shared" si="3"/>
        <v>172.69349408743039</v>
      </c>
      <c r="AC41" s="277">
        <f t="shared" si="3"/>
        <v>0</v>
      </c>
      <c r="AH41" s="280">
        <f t="shared" ref="AH41:AQ41" si="4">AH40*AH39</f>
        <v>490.35159900507938</v>
      </c>
      <c r="AI41" s="280">
        <f t="shared" si="4"/>
        <v>1886.1622521687514</v>
      </c>
      <c r="AJ41" s="280">
        <f t="shared" si="4"/>
        <v>6091.2754375745772</v>
      </c>
      <c r="AK41" s="280">
        <f t="shared" si="4"/>
        <v>1050.2882281710151</v>
      </c>
      <c r="AL41" s="280">
        <f t="shared" si="4"/>
        <v>5309.6646698856357</v>
      </c>
      <c r="AM41" s="280">
        <f t="shared" si="4"/>
        <v>5072.2281493846876</v>
      </c>
      <c r="AN41" s="280">
        <f t="shared" si="4"/>
        <v>1655.5139140547278</v>
      </c>
      <c r="AO41" s="280">
        <f t="shared" si="4"/>
        <v>3554.923126583672</v>
      </c>
      <c r="AP41" s="280">
        <f t="shared" si="4"/>
        <v>710.8637582146406</v>
      </c>
      <c r="AQ41" s="280">
        <f t="shared" si="4"/>
        <v>1444.7895377666473</v>
      </c>
    </row>
    <row r="42" spans="1:43" ht="49.5" customHeight="1" thickTop="1" thickBot="1" x14ac:dyDescent="0.3">
      <c r="A42" s="564" t="s">
        <v>211</v>
      </c>
      <c r="B42" s="565"/>
      <c r="C42" s="565"/>
      <c r="D42" s="565"/>
      <c r="E42" s="565"/>
      <c r="F42" s="565"/>
      <c r="G42" s="565"/>
      <c r="H42" s="565"/>
      <c r="I42" s="565"/>
      <c r="J42" s="565"/>
      <c r="K42" s="54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121.04</v>
      </c>
      <c r="AI42" s="280" t="s">
        <v>199</v>
      </c>
      <c r="AJ42" s="280">
        <v>2556.5</v>
      </c>
      <c r="AK42" s="280">
        <v>691.37</v>
      </c>
      <c r="AL42" s="280">
        <v>849.07</v>
      </c>
      <c r="AM42" s="280">
        <v>5540.12</v>
      </c>
      <c r="AN42" s="280">
        <v>2845.28</v>
      </c>
      <c r="AO42" s="280" t="s">
        <v>199</v>
      </c>
      <c r="AP42" s="280">
        <v>159.72</v>
      </c>
      <c r="AQ42" s="280">
        <v>593.57000000000005</v>
      </c>
    </row>
    <row r="43" spans="1:43" ht="38.25" customHeight="1" thickTop="1" thickBot="1" x14ac:dyDescent="0.3">
      <c r="A43" s="552" t="s">
        <v>49</v>
      </c>
      <c r="B43" s="548"/>
      <c r="C43" s="291"/>
      <c r="D43" s="548" t="s">
        <v>47</v>
      </c>
      <c r="E43" s="548"/>
      <c r="F43" s="291"/>
      <c r="G43" s="548" t="s">
        <v>48</v>
      </c>
      <c r="H43" s="548"/>
      <c r="I43" s="292"/>
      <c r="J43" s="548" t="s">
        <v>50</v>
      </c>
      <c r="K43" s="549"/>
      <c r="L43" s="44"/>
      <c r="M43" s="44"/>
      <c r="N43" s="44"/>
      <c r="O43" s="45"/>
      <c r="P43" s="45"/>
      <c r="Q43" s="45"/>
      <c r="R43" s="558" t="s">
        <v>168</v>
      </c>
      <c r="S43" s="559"/>
      <c r="T43" s="559"/>
      <c r="U43" s="560"/>
      <c r="AC43" s="45"/>
    </row>
    <row r="44" spans="1:43" ht="24.75" thickTop="1" thickBot="1" x14ac:dyDescent="0.3">
      <c r="A44" s="284" t="s">
        <v>135</v>
      </c>
      <c r="B44" s="285">
        <f>SUM(B41:AC41)</f>
        <v>97960.036959286779</v>
      </c>
      <c r="C44" s="12"/>
      <c r="D44" s="284" t="s">
        <v>135</v>
      </c>
      <c r="E44" s="285">
        <f>SUM(B41:H41)+P41+R41+T41+V41+X41+Z41</f>
        <v>52181.857968365694</v>
      </c>
      <c r="F44" s="12"/>
      <c r="G44" s="284" t="s">
        <v>135</v>
      </c>
      <c r="H44" s="285">
        <f>SUM(I41:N41)+O41+Q41+S41+U41+W41+Y41</f>
        <v>45605.485496833673</v>
      </c>
      <c r="I44" s="12"/>
      <c r="J44" s="284" t="s">
        <v>200</v>
      </c>
      <c r="K44" s="285">
        <v>94852.27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27266.060672809435</v>
      </c>
      <c r="C45" s="12"/>
      <c r="D45" s="286" t="s">
        <v>185</v>
      </c>
      <c r="E45" s="287">
        <f>AH41*(1-$AG$40)+AI41+AJ41*0.5+AL41+AM41*(1-$AG$40)+AN41*(1-$AG$40)+AO41*(1-$AG$40)+AP41*0.5+AQ41*0.5</f>
        <v>14266.84837508157</v>
      </c>
      <c r="F45" s="24"/>
      <c r="G45" s="286" t="s">
        <v>185</v>
      </c>
      <c r="H45" s="287">
        <f>AH41*AG40+AJ41*0.5+AK41+AM41*AG40+AN41*AG40+AO41*AG40+AP41*0.5+AQ41*0.5</f>
        <v>12999.21229772786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956.91458395322229</v>
      </c>
      <c r="U45" s="258">
        <f>(T45*8.34*0.895)/27000</f>
        <v>0.26454435292600137</v>
      </c>
    </row>
    <row r="46" spans="1:43" ht="32.25" thickBot="1" x14ac:dyDescent="0.3">
      <c r="A46" s="288" t="s">
        <v>186</v>
      </c>
      <c r="B46" s="289">
        <f>SUM(AH42:AQ42)</f>
        <v>13356.669999999998</v>
      </c>
      <c r="C46" s="12"/>
      <c r="D46" s="288" t="s">
        <v>186</v>
      </c>
      <c r="E46" s="289">
        <f>AH42*(1-$AG$40)+AJ42*0.5+AL42+AM42*(1-$AG$40)+AN42*(1-$AG$40)+AP42*0.5+AQ42*0.5</f>
        <v>4831.3741177774873</v>
      </c>
      <c r="F46" s="23"/>
      <c r="G46" s="288" t="s">
        <v>186</v>
      </c>
      <c r="H46" s="289">
        <f>AH42*AG40+AJ42*0.5+AK42+AM42*AG40+AN42*AG40+AP42*0.5+AQ42*0.5</f>
        <v>8525.2958822225119</v>
      </c>
      <c r="I46" s="12"/>
      <c r="J46" s="550" t="s">
        <v>201</v>
      </c>
      <c r="K46" s="551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94852.27</v>
      </c>
      <c r="C47" s="12"/>
      <c r="D47" s="288" t="s">
        <v>189</v>
      </c>
      <c r="E47" s="289">
        <f>K44*0.5</f>
        <v>47426.135000000002</v>
      </c>
      <c r="F47" s="24"/>
      <c r="G47" s="288" t="s">
        <v>187</v>
      </c>
      <c r="H47" s="289">
        <f>K44*0.5</f>
        <v>47426.135000000002</v>
      </c>
      <c r="I47" s="12"/>
      <c r="J47" s="284" t="s">
        <v>200</v>
      </c>
      <c r="K47" s="285">
        <v>70227.64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38678.917916806509</v>
      </c>
      <c r="U47" s="258">
        <f>T47/40000</f>
        <v>0.96697294792016275</v>
      </c>
    </row>
    <row r="48" spans="1:43" ht="24" thickBot="1" x14ac:dyDescent="0.3">
      <c r="A48" s="288" t="s">
        <v>188</v>
      </c>
      <c r="B48" s="289">
        <f>K47</f>
        <v>70227.64</v>
      </c>
      <c r="C48" s="12"/>
      <c r="D48" s="288" t="s">
        <v>188</v>
      </c>
      <c r="E48" s="289">
        <f>K47*0.5</f>
        <v>35113.82</v>
      </c>
      <c r="F48" s="23"/>
      <c r="G48" s="288" t="s">
        <v>188</v>
      </c>
      <c r="H48" s="289">
        <f>K47*0.5</f>
        <v>35113.82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9.9773180484770851E-2</v>
      </c>
      <c r="U48" s="258">
        <f>T48*9.34*0.107</f>
        <v>9.9711321112870288E-2</v>
      </c>
    </row>
    <row r="49" spans="1:25" ht="48" thickTop="1" thickBot="1" x14ac:dyDescent="0.3">
      <c r="A49" s="293" t="s">
        <v>196</v>
      </c>
      <c r="B49" s="294">
        <f>AD40</f>
        <v>386.69875003496821</v>
      </c>
      <c r="C49" s="12"/>
      <c r="D49" s="293" t="s">
        <v>197</v>
      </c>
      <c r="E49" s="294">
        <f>AF40</f>
        <v>104.46478452516757</v>
      </c>
      <c r="F49" s="23"/>
      <c r="G49" s="293" t="s">
        <v>198</v>
      </c>
      <c r="H49" s="294">
        <f>AE40</f>
        <v>277.34321600584349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1222.9593232547245</v>
      </c>
      <c r="U49" s="258">
        <f>(T49*8.34*1.04)/45000</f>
        <v>0.23572133302627063</v>
      </c>
    </row>
    <row r="50" spans="1:25" ht="48" thickTop="1" thickBot="1" x14ac:dyDescent="0.3">
      <c r="A50" s="293" t="s">
        <v>192</v>
      </c>
      <c r="B50" s="295">
        <f>(SUM(B44:B48)/AD40)</f>
        <v>785.26935399878266</v>
      </c>
      <c r="C50" s="12"/>
      <c r="D50" s="293" t="s">
        <v>190</v>
      </c>
      <c r="E50" s="295">
        <f>SUM(E44:E48)/AF40</f>
        <v>1472.4582658203499</v>
      </c>
      <c r="F50" s="23"/>
      <c r="G50" s="293" t="s">
        <v>191</v>
      </c>
      <c r="H50" s="295">
        <f>SUM(H44:H48)/AE40</f>
        <v>539.65606526186161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11382.426992061379</v>
      </c>
      <c r="U50" s="258">
        <f>T50/2000/8</f>
        <v>0.71140168700383621</v>
      </c>
    </row>
    <row r="51" spans="1:25" ht="48" thickTop="1" thickBot="1" x14ac:dyDescent="0.3">
      <c r="A51" s="283" t="s">
        <v>193</v>
      </c>
      <c r="B51" s="296">
        <f>B50/1000</f>
        <v>0.78526935399878262</v>
      </c>
      <c r="C51" s="12"/>
      <c r="D51" s="283" t="s">
        <v>194</v>
      </c>
      <c r="E51" s="296">
        <f>E50/1000</f>
        <v>1.4724582658203498</v>
      </c>
      <c r="F51" s="12"/>
      <c r="G51" s="283" t="s">
        <v>195</v>
      </c>
      <c r="H51" s="296">
        <f>H50/1000</f>
        <v>0.53965606526186161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18077.258451803526</v>
      </c>
      <c r="U51" s="258">
        <f>(T51*8.34*1.4)/45000</f>
        <v>4.6904459929612878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1058.3795923382052</v>
      </c>
      <c r="U52" s="258">
        <f>(T52*8.34*1.135)/45000</f>
        <v>0.2226336751803159</v>
      </c>
    </row>
    <row r="53" spans="1:25" ht="33" thickTop="1" thickBot="1" x14ac:dyDescent="0.3">
      <c r="A53" s="561" t="s">
        <v>51</v>
      </c>
      <c r="B53" s="562"/>
      <c r="C53" s="562"/>
      <c r="D53" s="562"/>
      <c r="E53" s="563"/>
      <c r="F53" s="12"/>
      <c r="G53" s="12"/>
      <c r="H53" s="373">
        <f>H44/H49</f>
        <v>164.43699670617789</v>
      </c>
      <c r="I53" s="12">
        <f>E44/E49</f>
        <v>499.51625521990218</v>
      </c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7474.7615825970988</v>
      </c>
      <c r="U53" s="258">
        <f>(T53*8.34*1.029*0.03)/3300</f>
        <v>0.58315779486569752</v>
      </c>
    </row>
    <row r="54" spans="1:25" ht="66.75" customHeight="1" thickBot="1" x14ac:dyDescent="0.3">
      <c r="A54" s="545" t="s">
        <v>202</v>
      </c>
      <c r="B54" s="546"/>
      <c r="C54" s="546"/>
      <c r="D54" s="546"/>
      <c r="E54" s="54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5" t="s">
        <v>158</v>
      </c>
      <c r="S54" s="556"/>
      <c r="T54" s="260">
        <f>$D$39+$Y$39+$Z$39</f>
        <v>26309.272715528816</v>
      </c>
      <c r="U54" s="261">
        <f>(T54*1.54*8.34)/45000</f>
        <v>7.5090172233147969</v>
      </c>
      <c r="V54" s="328"/>
      <c r="W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25"/>
      <c r="T55" s="598"/>
      <c r="U55" s="598"/>
      <c r="V55" s="326"/>
      <c r="W55" s="327"/>
      <c r="X55" s="325"/>
      <c r="Y55" s="325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5"/>
      <c r="T56" s="598"/>
      <c r="U56" s="598"/>
      <c r="V56" s="326"/>
      <c r="W56" s="327"/>
      <c r="X56" s="325"/>
      <c r="Y56" s="325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5"/>
      <c r="T57" s="598"/>
      <c r="U57" s="598"/>
      <c r="V57" s="326"/>
      <c r="W57" s="327"/>
      <c r="X57" s="325"/>
      <c r="Y57" s="325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5"/>
      <c r="T58" s="598"/>
      <c r="U58" s="598"/>
      <c r="V58" s="326"/>
      <c r="W58" s="327"/>
      <c r="X58" s="325"/>
      <c r="Y58" s="325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5"/>
      <c r="T59" s="598"/>
      <c r="U59" s="598"/>
      <c r="V59" s="326"/>
      <c r="W59" s="327"/>
      <c r="X59" s="325"/>
      <c r="Y59" s="325"/>
    </row>
    <row r="60" spans="1:25" x14ac:dyDescent="0.25">
      <c r="S60" s="325"/>
      <c r="T60" s="598"/>
      <c r="U60" s="598"/>
      <c r="V60" s="326"/>
      <c r="W60" s="327"/>
      <c r="X60" s="325"/>
      <c r="Y60" s="331"/>
    </row>
    <row r="61" spans="1:25" x14ac:dyDescent="0.25">
      <c r="S61" s="325"/>
      <c r="T61" s="598"/>
      <c r="U61" s="598"/>
      <c r="V61" s="326"/>
      <c r="W61" s="327"/>
      <c r="X61" s="325"/>
      <c r="Y61" s="331"/>
    </row>
    <row r="62" spans="1:25" x14ac:dyDescent="0.25">
      <c r="S62" s="325"/>
      <c r="T62" s="598"/>
      <c r="U62" s="598"/>
      <c r="V62" s="326"/>
      <c r="W62" s="327"/>
      <c r="X62" s="325"/>
      <c r="Y62" s="331"/>
    </row>
    <row r="63" spans="1:25" x14ac:dyDescent="0.25">
      <c r="S63" s="325"/>
      <c r="T63" s="325"/>
      <c r="U63" s="325"/>
      <c r="V63" s="325"/>
      <c r="W63" s="325"/>
      <c r="X63" s="325"/>
      <c r="Y63" s="331"/>
    </row>
    <row r="64" spans="1:25" x14ac:dyDescent="0.25">
      <c r="S64" s="325"/>
      <c r="T64" s="325"/>
      <c r="U64" s="325"/>
      <c r="V64" s="325"/>
      <c r="W64" s="325"/>
      <c r="X64" s="325"/>
      <c r="Y64" s="331"/>
    </row>
    <row r="65" spans="19:24" x14ac:dyDescent="0.25">
      <c r="S65" s="12"/>
      <c r="T65" s="12"/>
      <c r="U65" s="12"/>
      <c r="V65" s="12"/>
      <c r="W65" s="12"/>
      <c r="X65" s="12"/>
    </row>
    <row r="66" spans="19:24" x14ac:dyDescent="0.25">
      <c r="S66" s="12"/>
      <c r="T66" s="12"/>
      <c r="U66" s="12"/>
      <c r="V66" s="12"/>
      <c r="W66" s="12"/>
      <c r="X66" s="12"/>
    </row>
    <row r="67" spans="19:24" x14ac:dyDescent="0.25">
      <c r="S67" s="12"/>
      <c r="T67" s="12"/>
      <c r="U67" s="12"/>
      <c r="V67" s="12"/>
      <c r="W67" s="12"/>
      <c r="X67" s="12"/>
    </row>
    <row r="68" spans="19:24" x14ac:dyDescent="0.25">
      <c r="S68" s="12"/>
      <c r="T68" s="12"/>
      <c r="U68" s="12"/>
      <c r="V68" s="12"/>
      <c r="W68" s="12"/>
      <c r="X68" s="12"/>
    </row>
    <row r="69" spans="19:24" x14ac:dyDescent="0.25">
      <c r="S69" s="12"/>
      <c r="T69" s="12"/>
      <c r="U69" s="12"/>
      <c r="V69" s="12"/>
      <c r="W69" s="12"/>
      <c r="X69" s="12"/>
    </row>
  </sheetData>
  <sheetProtection algorithmName="SHA-512" hashValue="CRAVDqbQ9HWnFIYV8dMtfQ7QIOXW0lvDGTSDKFxupRpTqAJk5KmBKBlHHU6ggEZzLYxa6k+c9j6Wh+ZqE6tnOg==" saltValue="+nk/TU1lJo4l5znLcpVSqw==" spinCount="100000" sheet="1" objects="1" scenarios="1" selectLockedCells="1" selectUnlockedCells="1"/>
  <mergeCells count="38"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T61:U61"/>
    <mergeCell ref="T62:U62"/>
    <mergeCell ref="T56:U56"/>
    <mergeCell ref="T57:U57"/>
    <mergeCell ref="T58:U58"/>
    <mergeCell ref="T59:U59"/>
    <mergeCell ref="T60:U60"/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topLeftCell="AH1" zoomScale="60" zoomScaleNormal="60" workbookViewId="0">
      <selection activeCell="AH39" sqref="AH39:AQ39"/>
    </sheetView>
  </sheetViews>
  <sheetFormatPr defaultRowHeight="15" x14ac:dyDescent="0.25"/>
  <cols>
    <col min="1" max="1" width="26.2851562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53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 x14ac:dyDescent="0.25">
      <c r="A2" s="1" t="s">
        <v>2</v>
      </c>
      <c r="B2" s="5"/>
      <c r="O2" s="4"/>
      <c r="P2" s="4"/>
      <c r="Q2" s="4"/>
      <c r="R2" s="4"/>
    </row>
    <row r="3" spans="1:53" ht="15.75" thickBot="1" x14ac:dyDescent="0.3">
      <c r="A3" s="6"/>
      <c r="AZ3" t="s">
        <v>171</v>
      </c>
      <c r="BA3" s="262" t="s">
        <v>208</v>
      </c>
    </row>
    <row r="4" spans="1:53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</row>
    <row r="5" spans="1:53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</row>
    <row r="6" spans="1:53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53" x14ac:dyDescent="0.25">
      <c r="A8" s="11">
        <v>41974</v>
      </c>
      <c r="B8" s="49"/>
      <c r="C8" s="50">
        <v>42.362716794013927</v>
      </c>
      <c r="D8" s="50">
        <v>650.4664610862726</v>
      </c>
      <c r="E8" s="50">
        <v>9.5784721076488744</v>
      </c>
      <c r="F8" s="50">
        <v>0</v>
      </c>
      <c r="G8" s="50">
        <v>1531.955753962196</v>
      </c>
      <c r="H8" s="51">
        <v>39.943904026349387</v>
      </c>
      <c r="I8" s="49">
        <v>210.92311383883205</v>
      </c>
      <c r="J8" s="50">
        <v>478.20404148101761</v>
      </c>
      <c r="K8" s="50">
        <v>27.493469731012912</v>
      </c>
      <c r="L8" s="50">
        <v>4.786777496337883E-3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243.59293156873468</v>
      </c>
      <c r="V8" s="54">
        <v>108.26734096594903</v>
      </c>
      <c r="W8" s="54">
        <v>22.495110356498994</v>
      </c>
      <c r="X8" s="54">
        <v>9.9981792055674088</v>
      </c>
      <c r="Y8" s="54">
        <v>198.13381537949999</v>
      </c>
      <c r="Z8" s="54">
        <v>88.062577220241579</v>
      </c>
      <c r="AA8" s="55">
        <v>0</v>
      </c>
      <c r="AB8" s="56">
        <v>18.613353538513067</v>
      </c>
      <c r="AC8" s="57">
        <v>0</v>
      </c>
      <c r="AD8" s="57">
        <v>12.842696907122946</v>
      </c>
      <c r="AE8" s="58">
        <v>8.8153933381755252</v>
      </c>
      <c r="AF8" s="58">
        <v>3.9180906857467512</v>
      </c>
      <c r="AG8" s="58">
        <v>0.6923001844282467</v>
      </c>
      <c r="AH8" s="57">
        <v>261.55684291521709</v>
      </c>
      <c r="AI8" s="57">
        <v>1033.1849814097088</v>
      </c>
      <c r="AJ8" s="57">
        <v>3148.5247802734375</v>
      </c>
      <c r="AK8" s="57">
        <v>555.12766119639082</v>
      </c>
      <c r="AL8" s="57">
        <v>2801.4295904795331</v>
      </c>
      <c r="AM8" s="57">
        <v>2517.769703801473</v>
      </c>
      <c r="AN8" s="57">
        <v>691.45563316345215</v>
      </c>
      <c r="AO8" s="57">
        <v>1770.5740619659423</v>
      </c>
      <c r="AP8" s="57">
        <v>347.46057713826502</v>
      </c>
      <c r="AQ8" s="57">
        <v>688.51240568160995</v>
      </c>
    </row>
    <row r="9" spans="1:53" x14ac:dyDescent="0.25">
      <c r="A9" s="11">
        <v>41975</v>
      </c>
      <c r="B9" s="59"/>
      <c r="C9" s="60">
        <v>49.51487469673161</v>
      </c>
      <c r="D9" s="60">
        <v>650.56878484090112</v>
      </c>
      <c r="E9" s="60">
        <v>9.3570635169744261</v>
      </c>
      <c r="F9" s="60">
        <v>0</v>
      </c>
      <c r="G9" s="60">
        <v>1452.4865362803141</v>
      </c>
      <c r="H9" s="61">
        <v>39.992005741596209</v>
      </c>
      <c r="I9" s="59">
        <v>210.98282828331037</v>
      </c>
      <c r="J9" s="60">
        <v>455.53547150293969</v>
      </c>
      <c r="K9" s="60">
        <v>26.300630716482846</v>
      </c>
      <c r="L9" s="50">
        <v>4.786777496337883E-3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248.57183715025957</v>
      </c>
      <c r="V9" s="62">
        <v>110.47472631612743</v>
      </c>
      <c r="W9" s="62">
        <v>22.090234393582076</v>
      </c>
      <c r="X9" s="62">
        <v>9.8177356971251584</v>
      </c>
      <c r="Y9" s="66">
        <v>202.50378273671421</v>
      </c>
      <c r="Z9" s="66">
        <v>90.000340474193067</v>
      </c>
      <c r="AA9" s="67">
        <v>0</v>
      </c>
      <c r="AB9" s="68">
        <v>18.615411382251267</v>
      </c>
      <c r="AC9" s="69">
        <v>0</v>
      </c>
      <c r="AD9" s="69">
        <v>13.119793693224588</v>
      </c>
      <c r="AE9" s="68">
        <v>9.0007565031746921</v>
      </c>
      <c r="AF9" s="68">
        <v>4.0002766311987665</v>
      </c>
      <c r="AG9" s="68">
        <v>0.69231086561710042</v>
      </c>
      <c r="AH9" s="69">
        <v>237.02711073557532</v>
      </c>
      <c r="AI9" s="69">
        <v>991.20140342712398</v>
      </c>
      <c r="AJ9" s="69">
        <v>3116.4604108174635</v>
      </c>
      <c r="AK9" s="69">
        <v>503.55878435770671</v>
      </c>
      <c r="AL9" s="69">
        <v>2822.1841575622566</v>
      </c>
      <c r="AM9" s="69">
        <v>2680.1672381083167</v>
      </c>
      <c r="AN9" s="69">
        <v>641.53229955037432</v>
      </c>
      <c r="AO9" s="69">
        <v>1752.3780707041421</v>
      </c>
      <c r="AP9" s="69">
        <v>345.27460349400837</v>
      </c>
      <c r="AQ9" s="69">
        <v>690.86426134109502</v>
      </c>
    </row>
    <row r="10" spans="1:53" x14ac:dyDescent="0.25">
      <c r="A10" s="11">
        <v>41976</v>
      </c>
      <c r="B10" s="59"/>
      <c r="C10" s="60">
        <v>56.494600631794157</v>
      </c>
      <c r="D10" s="60">
        <v>650.42481123606467</v>
      </c>
      <c r="E10" s="60">
        <v>9.4629745682080415</v>
      </c>
      <c r="F10" s="60">
        <v>0</v>
      </c>
      <c r="G10" s="60">
        <v>1381.0405666987094</v>
      </c>
      <c r="H10" s="61">
        <v>39.923410334189732</v>
      </c>
      <c r="I10" s="59">
        <v>239.20127220153765</v>
      </c>
      <c r="J10" s="60">
        <v>504.61392018000259</v>
      </c>
      <c r="K10" s="60">
        <v>27.654440591732691</v>
      </c>
      <c r="L10" s="50">
        <v>4.786777496337883E-3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250.2829231631151</v>
      </c>
      <c r="V10" s="62">
        <v>111.24194183898454</v>
      </c>
      <c r="W10" s="62">
        <v>22.430613492657123</v>
      </c>
      <c r="X10" s="62">
        <v>9.9696174634204286</v>
      </c>
      <c r="Y10" s="66">
        <v>200.71190772556477</v>
      </c>
      <c r="Z10" s="66">
        <v>89.209371871717806</v>
      </c>
      <c r="AA10" s="67">
        <v>0</v>
      </c>
      <c r="AB10" s="68">
        <v>18.615292519993123</v>
      </c>
      <c r="AC10" s="69">
        <v>0</v>
      </c>
      <c r="AD10" s="69">
        <v>13.122683374749313</v>
      </c>
      <c r="AE10" s="68">
        <v>8.9994433672791025</v>
      </c>
      <c r="AF10" s="68">
        <v>3.9999355249404993</v>
      </c>
      <c r="AG10" s="68">
        <v>0.69229795068635602</v>
      </c>
      <c r="AH10" s="69">
        <v>243.12269892692566</v>
      </c>
      <c r="AI10" s="69">
        <v>971.49301122029635</v>
      </c>
      <c r="AJ10" s="69">
        <v>3100.9119027455649</v>
      </c>
      <c r="AK10" s="69">
        <v>597.49510504404714</v>
      </c>
      <c r="AL10" s="69">
        <v>2800.8140413920082</v>
      </c>
      <c r="AM10" s="69">
        <v>2669.3497810363774</v>
      </c>
      <c r="AN10" s="69">
        <v>651.77015288670873</v>
      </c>
      <c r="AO10" s="69">
        <v>1742.3352455139161</v>
      </c>
      <c r="AP10" s="69">
        <v>354.47815896670022</v>
      </c>
      <c r="AQ10" s="69">
        <v>711.70661926269531</v>
      </c>
    </row>
    <row r="11" spans="1:53" x14ac:dyDescent="0.25">
      <c r="A11" s="11">
        <v>41977</v>
      </c>
      <c r="B11" s="59"/>
      <c r="C11" s="60">
        <v>56.744129518668359</v>
      </c>
      <c r="D11" s="60">
        <v>654.18765935897659</v>
      </c>
      <c r="E11" s="60">
        <v>9.7520510653654746</v>
      </c>
      <c r="F11" s="60">
        <v>0</v>
      </c>
      <c r="G11" s="60">
        <v>1366.4558992385862</v>
      </c>
      <c r="H11" s="61">
        <v>40.072871999939295</v>
      </c>
      <c r="I11" s="59">
        <v>231.02717429002089</v>
      </c>
      <c r="J11" s="60">
        <v>466.43173284530616</v>
      </c>
      <c r="K11" s="60">
        <v>25.512415909767203</v>
      </c>
      <c r="L11" s="50">
        <v>4.786777496337883E-3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237.72813962022568</v>
      </c>
      <c r="V11" s="62">
        <v>104.29010887424042</v>
      </c>
      <c r="W11" s="62">
        <v>21.379395156972009</v>
      </c>
      <c r="X11" s="62">
        <v>9.3790304006413958</v>
      </c>
      <c r="Y11" s="66">
        <v>181.56829050704877</v>
      </c>
      <c r="Z11" s="66">
        <v>79.653072687734905</v>
      </c>
      <c r="AA11" s="67">
        <v>0</v>
      </c>
      <c r="AB11" s="68">
        <v>18.617892877260843</v>
      </c>
      <c r="AC11" s="69">
        <v>0</v>
      </c>
      <c r="AD11" s="69">
        <v>12.326185921165685</v>
      </c>
      <c r="AE11" s="68">
        <v>8.4897955292111806</v>
      </c>
      <c r="AF11" s="68">
        <v>3.7244295163202636</v>
      </c>
      <c r="AG11" s="68">
        <v>0.69507443145704595</v>
      </c>
      <c r="AH11" s="69">
        <v>238.38464534282684</v>
      </c>
      <c r="AI11" s="69">
        <v>970.31256542205824</v>
      </c>
      <c r="AJ11" s="69">
        <v>3102.8458137512207</v>
      </c>
      <c r="AK11" s="69">
        <v>628.41020463307689</v>
      </c>
      <c r="AL11" s="69">
        <v>2581.7918540954588</v>
      </c>
      <c r="AM11" s="69">
        <v>2723.2550075531008</v>
      </c>
      <c r="AN11" s="69">
        <v>641.29903879165647</v>
      </c>
      <c r="AO11" s="69">
        <v>1724.2278273264567</v>
      </c>
      <c r="AP11" s="69">
        <v>343.08847368558247</v>
      </c>
      <c r="AQ11" s="69">
        <v>705.179895591736</v>
      </c>
    </row>
    <row r="12" spans="1:53" x14ac:dyDescent="0.25">
      <c r="A12" s="11">
        <v>41978</v>
      </c>
      <c r="B12" s="59"/>
      <c r="C12" s="60">
        <v>55.918658173083777</v>
      </c>
      <c r="D12" s="60">
        <v>650.9419882138576</v>
      </c>
      <c r="E12" s="60">
        <v>9.6257719000180568</v>
      </c>
      <c r="F12" s="60">
        <v>0</v>
      </c>
      <c r="G12" s="60">
        <v>1157.8107089519542</v>
      </c>
      <c r="H12" s="61">
        <v>39.984389954805401</v>
      </c>
      <c r="I12" s="59">
        <v>239.88598682085592</v>
      </c>
      <c r="J12" s="60">
        <v>483.61852423350041</v>
      </c>
      <c r="K12" s="60">
        <v>26.405305721362474</v>
      </c>
      <c r="L12" s="50">
        <v>4.786777496337883E-3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249.72626084944281</v>
      </c>
      <c r="V12" s="62">
        <v>109.75619142657511</v>
      </c>
      <c r="W12" s="62">
        <v>22.314468261065006</v>
      </c>
      <c r="X12" s="62">
        <v>9.8073428149402808</v>
      </c>
      <c r="Y12" s="66">
        <v>182.62090689412642</v>
      </c>
      <c r="Z12" s="66">
        <v>80.262985347987325</v>
      </c>
      <c r="AA12" s="67">
        <v>0</v>
      </c>
      <c r="AB12" s="68">
        <v>18.619044584697988</v>
      </c>
      <c r="AC12" s="69">
        <v>0</v>
      </c>
      <c r="AD12" s="69">
        <v>12.959763949778354</v>
      </c>
      <c r="AE12" s="68">
        <v>8.8985007839823318</v>
      </c>
      <c r="AF12" s="68">
        <v>3.9109445363662183</v>
      </c>
      <c r="AG12" s="68">
        <v>0.69468275646928634</v>
      </c>
      <c r="AH12" s="69">
        <v>234.12971100012459</v>
      </c>
      <c r="AI12" s="69">
        <v>960.66060892740882</v>
      </c>
      <c r="AJ12" s="69">
        <v>3087.7271156311022</v>
      </c>
      <c r="AK12" s="69">
        <v>624.01708548863735</v>
      </c>
      <c r="AL12" s="69">
        <v>2589.2384994506833</v>
      </c>
      <c r="AM12" s="69">
        <v>2687.117213821411</v>
      </c>
      <c r="AN12" s="69">
        <v>623.86058867772408</v>
      </c>
      <c r="AO12" s="69">
        <v>1774.4832565307615</v>
      </c>
      <c r="AP12" s="69">
        <v>329.32298801740006</v>
      </c>
      <c r="AQ12" s="69">
        <v>704.08932596842442</v>
      </c>
    </row>
    <row r="13" spans="1:53" x14ac:dyDescent="0.25">
      <c r="A13" s="11">
        <v>41979</v>
      </c>
      <c r="B13" s="59"/>
      <c r="C13" s="60">
        <v>55.736284295717994</v>
      </c>
      <c r="D13" s="60">
        <v>650.73463061650591</v>
      </c>
      <c r="E13" s="60">
        <v>9.6178493921955344</v>
      </c>
      <c r="F13" s="60">
        <v>0</v>
      </c>
      <c r="G13" s="60">
        <v>1168.3634293238322</v>
      </c>
      <c r="H13" s="61">
        <v>39.939961993694375</v>
      </c>
      <c r="I13" s="59">
        <v>241.14596009254404</v>
      </c>
      <c r="J13" s="60">
        <v>486.53090807596834</v>
      </c>
      <c r="K13" s="60">
        <v>26.688530544439942</v>
      </c>
      <c r="L13" s="50">
        <v>4.786777496337883E-3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262.17790790506126</v>
      </c>
      <c r="V13" s="62">
        <v>112.19547758790148</v>
      </c>
      <c r="W13" s="62">
        <v>23.40330099128283</v>
      </c>
      <c r="X13" s="62">
        <v>10.015125045551924</v>
      </c>
      <c r="Y13" s="66">
        <v>192.79619329835475</v>
      </c>
      <c r="Z13" s="66">
        <v>82.504514423355431</v>
      </c>
      <c r="AA13" s="67">
        <v>0</v>
      </c>
      <c r="AB13" s="68">
        <v>18.618851396772548</v>
      </c>
      <c r="AC13" s="69">
        <v>0</v>
      </c>
      <c r="AD13" s="69">
        <v>13.577063935332824</v>
      </c>
      <c r="AE13" s="68">
        <v>9.3490597841694907</v>
      </c>
      <c r="AF13" s="68">
        <v>4.0008032555609931</v>
      </c>
      <c r="AG13" s="68">
        <v>0.70031128831402878</v>
      </c>
      <c r="AH13" s="69">
        <v>244.77467180093137</v>
      </c>
      <c r="AI13" s="69">
        <v>970.03350582122789</v>
      </c>
      <c r="AJ13" s="69">
        <v>3082.6922135670984</v>
      </c>
      <c r="AK13" s="69">
        <v>625.25762777328498</v>
      </c>
      <c r="AL13" s="69">
        <v>2739.2747361501056</v>
      </c>
      <c r="AM13" s="69">
        <v>2590.4743958791096</v>
      </c>
      <c r="AN13" s="69">
        <v>580.87751385370882</v>
      </c>
      <c r="AO13" s="69">
        <v>1851.4617813110356</v>
      </c>
      <c r="AP13" s="69">
        <v>327.14995675086976</v>
      </c>
      <c r="AQ13" s="69">
        <v>708.0038903236391</v>
      </c>
    </row>
    <row r="14" spans="1:53" x14ac:dyDescent="0.25">
      <c r="A14" s="11">
        <v>41980</v>
      </c>
      <c r="B14" s="59"/>
      <c r="C14" s="60">
        <v>55.28503601551121</v>
      </c>
      <c r="D14" s="60">
        <v>651.02917693456072</v>
      </c>
      <c r="E14" s="60">
        <v>9.601399734616276</v>
      </c>
      <c r="F14" s="60">
        <v>0</v>
      </c>
      <c r="G14" s="60">
        <v>996.55278307596927</v>
      </c>
      <c r="H14" s="61">
        <v>38.298842404286091</v>
      </c>
      <c r="I14" s="59">
        <v>241.02910248438457</v>
      </c>
      <c r="J14" s="60">
        <v>486.33229258855147</v>
      </c>
      <c r="K14" s="60">
        <v>26.793685330947277</v>
      </c>
      <c r="L14" s="50">
        <v>4.786777496337883E-3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262.14283002552287</v>
      </c>
      <c r="V14" s="62">
        <v>112.17440015670199</v>
      </c>
      <c r="W14" s="62">
        <v>23.482934868691874</v>
      </c>
      <c r="X14" s="62">
        <v>10.048659856758018</v>
      </c>
      <c r="Y14" s="66">
        <v>189.02924553446792</v>
      </c>
      <c r="Z14" s="66">
        <v>80.888125865728924</v>
      </c>
      <c r="AA14" s="67">
        <v>0</v>
      </c>
      <c r="AB14" s="68">
        <v>18.617187012566355</v>
      </c>
      <c r="AC14" s="69">
        <v>0</v>
      </c>
      <c r="AD14" s="69">
        <v>13.571528114875164</v>
      </c>
      <c r="AE14" s="68">
        <v>9.3495440154961358</v>
      </c>
      <c r="AF14" s="68">
        <v>4.0007941150816526</v>
      </c>
      <c r="AG14" s="68">
        <v>0.70032263782756321</v>
      </c>
      <c r="AH14" s="69">
        <v>235.87152813275654</v>
      </c>
      <c r="AI14" s="69">
        <v>966.46852080027259</v>
      </c>
      <c r="AJ14" s="69">
        <v>3076.0325847625736</v>
      </c>
      <c r="AK14" s="69">
        <v>629.14961175918586</v>
      </c>
      <c r="AL14" s="69">
        <v>2755.4962095896408</v>
      </c>
      <c r="AM14" s="69">
        <v>2740.0071037292487</v>
      </c>
      <c r="AN14" s="69">
        <v>632.42697006861374</v>
      </c>
      <c r="AO14" s="69">
        <v>1800.8658649444583</v>
      </c>
      <c r="AP14" s="69">
        <v>335.67202150026958</v>
      </c>
      <c r="AQ14" s="69">
        <v>698.79157183965049</v>
      </c>
    </row>
    <row r="15" spans="1:53" x14ac:dyDescent="0.25">
      <c r="A15" s="11">
        <v>41981</v>
      </c>
      <c r="B15" s="59"/>
      <c r="C15" s="60">
        <v>56.391587464015302</v>
      </c>
      <c r="D15" s="60">
        <v>650.67785329818832</v>
      </c>
      <c r="E15" s="60">
        <v>9.595808240274609</v>
      </c>
      <c r="F15" s="60">
        <v>0</v>
      </c>
      <c r="G15" s="60">
        <v>960.24841772715331</v>
      </c>
      <c r="H15" s="61">
        <v>39.934022547801312</v>
      </c>
      <c r="I15" s="59">
        <v>241.00346136093063</v>
      </c>
      <c r="J15" s="60">
        <v>486.37621231079049</v>
      </c>
      <c r="K15" s="60">
        <v>26.580721833308576</v>
      </c>
      <c r="L15" s="50">
        <v>4.6545982360839816E-3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262.05430066810561</v>
      </c>
      <c r="V15" s="62">
        <v>112.11643225392123</v>
      </c>
      <c r="W15" s="62">
        <v>23.607081800807521</v>
      </c>
      <c r="X15" s="62">
        <v>10.099974626194509</v>
      </c>
      <c r="Y15" s="66">
        <v>180.28534502118407</v>
      </c>
      <c r="Z15" s="66">
        <v>77.132676776948998</v>
      </c>
      <c r="AA15" s="67">
        <v>0</v>
      </c>
      <c r="AB15" s="68">
        <v>18.615730814138978</v>
      </c>
      <c r="AC15" s="69">
        <v>0</v>
      </c>
      <c r="AD15" s="69">
        <v>13.568646533621692</v>
      </c>
      <c r="AE15" s="68">
        <v>9.3493799269460816</v>
      </c>
      <c r="AF15" s="68">
        <v>4.000007321090302</v>
      </c>
      <c r="AG15" s="68">
        <v>0.70036023026609862</v>
      </c>
      <c r="AH15" s="69">
        <v>237.44095742702481</v>
      </c>
      <c r="AI15" s="69">
        <v>977.24892279307062</v>
      </c>
      <c r="AJ15" s="69">
        <v>3081.6881827036536</v>
      </c>
      <c r="AK15" s="69">
        <v>637.49839827219637</v>
      </c>
      <c r="AL15" s="69">
        <v>2802.6506946563723</v>
      </c>
      <c r="AM15" s="69">
        <v>2751.4236066182448</v>
      </c>
      <c r="AN15" s="69">
        <v>635.08740768432608</v>
      </c>
      <c r="AO15" s="69">
        <v>1787.0560756683351</v>
      </c>
      <c r="AP15" s="69">
        <v>336.10687565803528</v>
      </c>
      <c r="AQ15" s="69">
        <v>713.7049972534179</v>
      </c>
    </row>
    <row r="16" spans="1:53" x14ac:dyDescent="0.25">
      <c r="A16" s="11">
        <v>41982</v>
      </c>
      <c r="B16" s="59"/>
      <c r="C16" s="60">
        <v>55.704427508513696</v>
      </c>
      <c r="D16" s="60">
        <v>650.39035085042349</v>
      </c>
      <c r="E16" s="60">
        <v>9.5742236673832029</v>
      </c>
      <c r="F16" s="60">
        <v>0</v>
      </c>
      <c r="G16" s="60">
        <v>988.31281828880378</v>
      </c>
      <c r="H16" s="61">
        <v>39.907412066062342</v>
      </c>
      <c r="I16" s="59">
        <v>240.98385682105948</v>
      </c>
      <c r="J16" s="60">
        <v>486.33019574483234</v>
      </c>
      <c r="K16" s="60">
        <v>26.587324460347538</v>
      </c>
      <c r="L16" s="50">
        <v>5.3721427917480177E-3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262.16734032191539</v>
      </c>
      <c r="V16" s="62">
        <v>112.1541894691762</v>
      </c>
      <c r="W16" s="62">
        <v>23.861445183240175</v>
      </c>
      <c r="X16" s="62">
        <v>10.207835349755699</v>
      </c>
      <c r="Y16" s="66">
        <v>178.08662864654397</v>
      </c>
      <c r="Z16" s="66">
        <v>76.184781318017201</v>
      </c>
      <c r="AA16" s="67">
        <v>0</v>
      </c>
      <c r="AB16" s="68">
        <v>18.615236793623936</v>
      </c>
      <c r="AC16" s="69">
        <v>0</v>
      </c>
      <c r="AD16" s="69">
        <v>13.57204636798963</v>
      </c>
      <c r="AE16" s="68">
        <v>9.348879864395947</v>
      </c>
      <c r="AF16" s="68">
        <v>3.9994151916426968</v>
      </c>
      <c r="AG16" s="68">
        <v>0.70038007289677051</v>
      </c>
      <c r="AH16" s="69">
        <v>242.90608729521438</v>
      </c>
      <c r="AI16" s="69">
        <v>990.81071535746264</v>
      </c>
      <c r="AJ16" s="69">
        <v>3101.7501576741533</v>
      </c>
      <c r="AK16" s="69">
        <v>642.52355604171748</v>
      </c>
      <c r="AL16" s="69">
        <v>2826.8498949686682</v>
      </c>
      <c r="AM16" s="69">
        <v>2737.2238333384203</v>
      </c>
      <c r="AN16" s="69">
        <v>646.94946381251009</v>
      </c>
      <c r="AO16" s="69">
        <v>1780.8286462148028</v>
      </c>
      <c r="AP16" s="69">
        <v>331.61396692593894</v>
      </c>
      <c r="AQ16" s="69">
        <v>687.4243654886883</v>
      </c>
    </row>
    <row r="17" spans="1:43" x14ac:dyDescent="0.25">
      <c r="A17" s="11">
        <v>41983</v>
      </c>
      <c r="B17" s="49"/>
      <c r="C17" s="50">
        <v>56.033164016406076</v>
      </c>
      <c r="D17" s="50">
        <v>651.19412495295148</v>
      </c>
      <c r="E17" s="50">
        <v>9.5447790672381583</v>
      </c>
      <c r="F17" s="50">
        <v>0</v>
      </c>
      <c r="G17" s="50">
        <v>933.04241371154717</v>
      </c>
      <c r="H17" s="51">
        <v>39.909908493359957</v>
      </c>
      <c r="I17" s="49">
        <v>241.16817657152762</v>
      </c>
      <c r="J17" s="50">
        <v>486.32137702306085</v>
      </c>
      <c r="K17" s="50">
        <v>26.676898207267172</v>
      </c>
      <c r="L17" s="50">
        <v>5.6648254394530851E-3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257.06524724084528</v>
      </c>
      <c r="V17" s="66">
        <v>105.1579738386624</v>
      </c>
      <c r="W17" s="62">
        <v>23.291708443701793</v>
      </c>
      <c r="X17" s="62">
        <v>9.5279657342627093</v>
      </c>
      <c r="Y17" s="66">
        <v>170.48217731145763</v>
      </c>
      <c r="Z17" s="66">
        <v>69.739338685793172</v>
      </c>
      <c r="AA17" s="67">
        <v>0</v>
      </c>
      <c r="AB17" s="68">
        <v>18.615069641007285</v>
      </c>
      <c r="AC17" s="69">
        <v>0</v>
      </c>
      <c r="AD17" s="69">
        <v>13.106108502546965</v>
      </c>
      <c r="AE17" s="68">
        <v>9.1508478430521123</v>
      </c>
      <c r="AF17" s="68">
        <v>3.7433477625222777</v>
      </c>
      <c r="AG17" s="68">
        <v>0.7096873758527471</v>
      </c>
      <c r="AH17" s="69">
        <v>233.74829814434051</v>
      </c>
      <c r="AI17" s="69">
        <v>991.43651593526192</v>
      </c>
      <c r="AJ17" s="69">
        <v>3091.540173085531</v>
      </c>
      <c r="AK17" s="69">
        <v>631.83059393564872</v>
      </c>
      <c r="AL17" s="69">
        <v>2814.9414887746179</v>
      </c>
      <c r="AM17" s="69">
        <v>2755.0718413035074</v>
      </c>
      <c r="AN17" s="69">
        <v>663.90934524536124</v>
      </c>
      <c r="AO17" s="69">
        <v>1806.8010867436724</v>
      </c>
      <c r="AP17" s="69">
        <v>335.44570598602297</v>
      </c>
      <c r="AQ17" s="69">
        <v>729.77921435038263</v>
      </c>
    </row>
    <row r="18" spans="1:43" x14ac:dyDescent="0.25">
      <c r="A18" s="11">
        <v>41984</v>
      </c>
      <c r="B18" s="59"/>
      <c r="C18" s="60">
        <v>55.807691840330605</v>
      </c>
      <c r="D18" s="60">
        <v>650.80085433324155</v>
      </c>
      <c r="E18" s="60">
        <v>9.5391393999258636</v>
      </c>
      <c r="F18" s="60">
        <v>0</v>
      </c>
      <c r="G18" s="60">
        <v>857.78908233642483</v>
      </c>
      <c r="H18" s="61">
        <v>39.952909980217576</v>
      </c>
      <c r="I18" s="59">
        <v>241.2087981383001</v>
      </c>
      <c r="J18" s="60">
        <v>486.56472431818685</v>
      </c>
      <c r="K18" s="60">
        <v>26.880000436306059</v>
      </c>
      <c r="L18" s="50">
        <v>5.7902488708495648E-3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257.07701580607579</v>
      </c>
      <c r="V18" s="62">
        <v>109.96883840213303</v>
      </c>
      <c r="W18" s="62">
        <v>22.859835978660502</v>
      </c>
      <c r="X18" s="62">
        <v>9.778663412418414</v>
      </c>
      <c r="Y18" s="66">
        <v>170.70201908894575</v>
      </c>
      <c r="Z18" s="66">
        <v>73.02054091942064</v>
      </c>
      <c r="AA18" s="67">
        <v>0</v>
      </c>
      <c r="AB18" s="68">
        <v>18.615047319730078</v>
      </c>
      <c r="AC18" s="69">
        <v>0</v>
      </c>
      <c r="AD18" s="69">
        <v>13.294146065579517</v>
      </c>
      <c r="AE18" s="68">
        <v>9.1582482126623113</v>
      </c>
      <c r="AF18" s="68">
        <v>3.9175883327687329</v>
      </c>
      <c r="AG18" s="68">
        <v>0.7003948222236217</v>
      </c>
      <c r="AH18" s="69">
        <v>226.32701382637026</v>
      </c>
      <c r="AI18" s="69">
        <v>1004.0342995325725</v>
      </c>
      <c r="AJ18" s="69">
        <v>3073.9094224294022</v>
      </c>
      <c r="AK18" s="69">
        <v>622.60137055714938</v>
      </c>
      <c r="AL18" s="69">
        <v>2821.4367987314859</v>
      </c>
      <c r="AM18" s="69">
        <v>2745.8396012624103</v>
      </c>
      <c r="AN18" s="69">
        <v>667.66943848927804</v>
      </c>
      <c r="AO18" s="69">
        <v>1786.5820138295492</v>
      </c>
      <c r="AP18" s="69">
        <v>330.67535360654193</v>
      </c>
      <c r="AQ18" s="69">
        <v>719.5158170382183</v>
      </c>
    </row>
    <row r="19" spans="1:43" x14ac:dyDescent="0.25">
      <c r="A19" s="11">
        <v>41985</v>
      </c>
      <c r="B19" s="59"/>
      <c r="C19" s="60">
        <v>55.782683006923087</v>
      </c>
      <c r="D19" s="60">
        <v>651.19202725092566</v>
      </c>
      <c r="E19" s="60">
        <v>9.5438747331499751</v>
      </c>
      <c r="F19" s="60">
        <v>0</v>
      </c>
      <c r="G19" s="60">
        <v>891.57028862635332</v>
      </c>
      <c r="H19" s="61">
        <v>39.944153020779275</v>
      </c>
      <c r="I19" s="59">
        <v>248.75061918894437</v>
      </c>
      <c r="J19" s="60">
        <v>486.41687491734808</v>
      </c>
      <c r="K19" s="60">
        <v>26.696021451552749</v>
      </c>
      <c r="L19" s="50">
        <v>6.6939353942870317E-3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271.38643901265931</v>
      </c>
      <c r="V19" s="62">
        <v>116.08131653815255</v>
      </c>
      <c r="W19" s="62">
        <v>21.603143420419332</v>
      </c>
      <c r="X19" s="62">
        <v>9.2404076590128614</v>
      </c>
      <c r="Y19" s="66">
        <v>174.07642578160085</v>
      </c>
      <c r="Z19" s="66">
        <v>74.458476099616874</v>
      </c>
      <c r="AA19" s="67">
        <v>0</v>
      </c>
      <c r="AB19" s="68">
        <v>18.61479474306098</v>
      </c>
      <c r="AC19" s="69">
        <v>0</v>
      </c>
      <c r="AD19" s="69">
        <v>13.568766666120959</v>
      </c>
      <c r="AE19" s="68">
        <v>9.351136704658412</v>
      </c>
      <c r="AF19" s="68">
        <v>3.9998028779704611</v>
      </c>
      <c r="AG19" s="68">
        <v>0.70041038286363977</v>
      </c>
      <c r="AH19" s="69">
        <v>222.93781687418621</v>
      </c>
      <c r="AI19" s="69">
        <v>1003.3357144037881</v>
      </c>
      <c r="AJ19" s="69">
        <v>3085.2768718719476</v>
      </c>
      <c r="AK19" s="69">
        <v>613.68312880198164</v>
      </c>
      <c r="AL19" s="69">
        <v>2824.3011346181233</v>
      </c>
      <c r="AM19" s="69">
        <v>2714.5153836568193</v>
      </c>
      <c r="AN19" s="69">
        <v>674.23363504409792</v>
      </c>
      <c r="AO19" s="69">
        <v>1828.5600018819173</v>
      </c>
      <c r="AP19" s="69">
        <v>329.81932258605951</v>
      </c>
      <c r="AQ19" s="69">
        <v>734.35499788920083</v>
      </c>
    </row>
    <row r="20" spans="1:43" x14ac:dyDescent="0.25">
      <c r="A20" s="11">
        <v>41986</v>
      </c>
      <c r="B20" s="59"/>
      <c r="C20" s="60">
        <v>55.792351345221178</v>
      </c>
      <c r="D20" s="60">
        <v>651.15607395172105</v>
      </c>
      <c r="E20" s="60">
        <v>9.5897459263602922</v>
      </c>
      <c r="F20" s="60">
        <v>0</v>
      </c>
      <c r="G20" s="60">
        <v>876.33702249527016</v>
      </c>
      <c r="H20" s="61">
        <v>39.96198846697812</v>
      </c>
      <c r="I20" s="59">
        <v>257.03879216512013</v>
      </c>
      <c r="J20" s="60">
        <v>486.38729651768966</v>
      </c>
      <c r="K20" s="60">
        <v>26.494656389951782</v>
      </c>
      <c r="L20" s="50">
        <v>2.5586128234863408E-3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267.83812460613706</v>
      </c>
      <c r="V20" s="62">
        <v>114.59535622882645</v>
      </c>
      <c r="W20" s="62">
        <v>23.685718756313079</v>
      </c>
      <c r="X20" s="62">
        <v>10.13400680880253</v>
      </c>
      <c r="Y20" s="66">
        <v>174.1167830221053</v>
      </c>
      <c r="Z20" s="66">
        <v>74.496395183384763</v>
      </c>
      <c r="AA20" s="67">
        <v>0</v>
      </c>
      <c r="AB20" s="68">
        <v>18.615667695469266</v>
      </c>
      <c r="AC20" s="69">
        <v>0</v>
      </c>
      <c r="AD20" s="69">
        <v>13.571013087034226</v>
      </c>
      <c r="AE20" s="68">
        <v>9.3496525876419696</v>
      </c>
      <c r="AF20" s="68">
        <v>4.000277296117428</v>
      </c>
      <c r="AG20" s="68">
        <v>0.70035218679433753</v>
      </c>
      <c r="AH20" s="69">
        <v>224.78785250186917</v>
      </c>
      <c r="AI20" s="69">
        <v>978.88927981058748</v>
      </c>
      <c r="AJ20" s="69">
        <v>3061.5160324096678</v>
      </c>
      <c r="AK20" s="69">
        <v>620.50427748362222</v>
      </c>
      <c r="AL20" s="69">
        <v>2862.0235663096119</v>
      </c>
      <c r="AM20" s="69">
        <v>2658.302054595948</v>
      </c>
      <c r="AN20" s="69">
        <v>673.68342806498219</v>
      </c>
      <c r="AO20" s="69">
        <v>1800.9328556060791</v>
      </c>
      <c r="AP20" s="69">
        <v>330.93656578063963</v>
      </c>
      <c r="AQ20" s="69">
        <v>662.04505488077803</v>
      </c>
    </row>
    <row r="21" spans="1:43" x14ac:dyDescent="0.25">
      <c r="A21" s="11">
        <v>41987</v>
      </c>
      <c r="B21" s="59"/>
      <c r="C21" s="60">
        <v>55.881171719233492</v>
      </c>
      <c r="D21" s="60">
        <v>650.26809927622469</v>
      </c>
      <c r="E21" s="60">
        <v>9.5309386824568101</v>
      </c>
      <c r="F21" s="60">
        <v>0</v>
      </c>
      <c r="G21" s="60">
        <v>906.39142223993963</v>
      </c>
      <c r="H21" s="61">
        <v>39.997659522295066</v>
      </c>
      <c r="I21" s="59">
        <v>256.82318226496335</v>
      </c>
      <c r="J21" s="60">
        <v>486.26371866861984</v>
      </c>
      <c r="K21" s="60">
        <v>26.559577755133308</v>
      </c>
      <c r="L21" s="50">
        <v>3.9370536804199455E-3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262.9026843678472</v>
      </c>
      <c r="V21" s="62">
        <v>112.46547079369725</v>
      </c>
      <c r="W21" s="62">
        <v>23.767146986429552</v>
      </c>
      <c r="X21" s="62">
        <v>10.16719696749778</v>
      </c>
      <c r="Y21" s="66">
        <v>174.06398553926098</v>
      </c>
      <c r="Z21" s="66">
        <v>74.461727650181615</v>
      </c>
      <c r="AA21" s="67">
        <v>0</v>
      </c>
      <c r="AB21" s="68">
        <v>18.61643290122343</v>
      </c>
      <c r="AC21" s="69">
        <v>0</v>
      </c>
      <c r="AD21" s="69">
        <v>13.568969449069762</v>
      </c>
      <c r="AE21" s="68">
        <v>9.3501247630129782</v>
      </c>
      <c r="AF21" s="68">
        <v>3.9998305303750152</v>
      </c>
      <c r="AG21" s="68">
        <v>0.70038622283955787</v>
      </c>
      <c r="AH21" s="69">
        <v>249.75709067185721</v>
      </c>
      <c r="AI21" s="69">
        <v>1017.2521181106569</v>
      </c>
      <c r="AJ21" s="69">
        <v>3087.2347061157229</v>
      </c>
      <c r="AK21" s="69">
        <v>655.98985509872455</v>
      </c>
      <c r="AL21" s="69">
        <v>3073.6182329813637</v>
      </c>
      <c r="AM21" s="69">
        <v>2695.2413223266599</v>
      </c>
      <c r="AN21" s="69">
        <v>688.22919212977092</v>
      </c>
      <c r="AO21" s="69">
        <v>1805.2393801371259</v>
      </c>
      <c r="AP21" s="69">
        <v>333.94075709978739</v>
      </c>
      <c r="AQ21" s="69">
        <v>687.03375104268389</v>
      </c>
    </row>
    <row r="22" spans="1:43" x14ac:dyDescent="0.25">
      <c r="A22" s="11">
        <v>41988</v>
      </c>
      <c r="B22" s="59"/>
      <c r="C22" s="60">
        <v>49.596357800562984</v>
      </c>
      <c r="D22" s="60">
        <v>575.4644733746851</v>
      </c>
      <c r="E22" s="60">
        <v>8.7691757529974144</v>
      </c>
      <c r="F22" s="60">
        <v>0</v>
      </c>
      <c r="G22" s="60">
        <v>731.43046260674953</v>
      </c>
      <c r="H22" s="61">
        <v>35.272419526179711</v>
      </c>
      <c r="I22" s="59">
        <v>254.44748932520542</v>
      </c>
      <c r="J22" s="60">
        <v>504.83911695480356</v>
      </c>
      <c r="K22" s="60">
        <v>27.646199216445197</v>
      </c>
      <c r="L22" s="50">
        <v>5.4571151733398115E-3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250.46758726646848</v>
      </c>
      <c r="V22" s="62">
        <v>94.147828550368686</v>
      </c>
      <c r="W22" s="62">
        <v>22.866100840487391</v>
      </c>
      <c r="X22" s="62">
        <v>8.5950991305526685</v>
      </c>
      <c r="Y22" s="66">
        <v>170.28403945185656</v>
      </c>
      <c r="Z22" s="66">
        <v>64.0077733256621</v>
      </c>
      <c r="AA22" s="67">
        <v>0</v>
      </c>
      <c r="AB22" s="68">
        <v>18.613201222154689</v>
      </c>
      <c r="AC22" s="69">
        <v>0</v>
      </c>
      <c r="AD22" s="69">
        <v>12.768338068657473</v>
      </c>
      <c r="AE22" s="68">
        <v>9.1129595779939212</v>
      </c>
      <c r="AF22" s="68">
        <v>3.4254546278782012</v>
      </c>
      <c r="AG22" s="68">
        <v>0.72680320081673833</v>
      </c>
      <c r="AH22" s="69">
        <v>254.68138400713607</v>
      </c>
      <c r="AI22" s="69">
        <v>1027.3753985087076</v>
      </c>
      <c r="AJ22" s="69">
        <v>3096.9746662139892</v>
      </c>
      <c r="AK22" s="69">
        <v>664.46118373870843</v>
      </c>
      <c r="AL22" s="69">
        <v>3138.5155630747486</v>
      </c>
      <c r="AM22" s="69">
        <v>2762.650354512532</v>
      </c>
      <c r="AN22" s="69">
        <v>703.48574269612652</v>
      </c>
      <c r="AO22" s="69">
        <v>1779.639830907186</v>
      </c>
      <c r="AP22" s="69">
        <v>334.94738701184588</v>
      </c>
      <c r="AQ22" s="69">
        <v>788.29405676523857</v>
      </c>
    </row>
    <row r="23" spans="1:43" x14ac:dyDescent="0.25">
      <c r="A23" s="11">
        <v>41989</v>
      </c>
      <c r="B23" s="59"/>
      <c r="C23" s="60">
        <v>36.434233884016741</v>
      </c>
      <c r="D23" s="60">
        <v>423.00631872812983</v>
      </c>
      <c r="E23" s="60">
        <v>6.4229198197523649</v>
      </c>
      <c r="F23" s="60">
        <v>0</v>
      </c>
      <c r="G23" s="60">
        <v>133.03387556076046</v>
      </c>
      <c r="H23" s="61">
        <v>25.943148880203559</v>
      </c>
      <c r="I23" s="59">
        <v>273.80070211092618</v>
      </c>
      <c r="J23" s="60">
        <v>545.21417875289978</v>
      </c>
      <c r="K23" s="60">
        <v>29.800430520375549</v>
      </c>
      <c r="L23" s="50">
        <v>1.0130202770232957E-2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281.00983900757114</v>
      </c>
      <c r="V23" s="62">
        <v>67.358508160396966</v>
      </c>
      <c r="W23" s="62">
        <v>25.084315993908771</v>
      </c>
      <c r="X23" s="62">
        <v>6.0127506906552002</v>
      </c>
      <c r="Y23" s="66">
        <v>187.24000107663898</v>
      </c>
      <c r="Z23" s="66">
        <v>44.881727931717421</v>
      </c>
      <c r="AA23" s="67">
        <v>0</v>
      </c>
      <c r="AB23" s="68">
        <v>20.630129171742215</v>
      </c>
      <c r="AC23" s="69">
        <v>0</v>
      </c>
      <c r="AD23" s="69">
        <v>12.661629021498893</v>
      </c>
      <c r="AE23" s="68">
        <v>10.111917740201434</v>
      </c>
      <c r="AF23" s="68">
        <v>2.4238428662359741</v>
      </c>
      <c r="AG23" s="68">
        <v>0.80664572798308909</v>
      </c>
      <c r="AH23" s="69">
        <v>275.10414710044859</v>
      </c>
      <c r="AI23" s="69">
        <v>1054.4751114527385</v>
      </c>
      <c r="AJ23" s="69">
        <v>3099.0979812622068</v>
      </c>
      <c r="AK23" s="69">
        <v>692.04524978001939</v>
      </c>
      <c r="AL23" s="69">
        <v>2828.1342427571608</v>
      </c>
      <c r="AM23" s="69">
        <v>2731.4688151041664</v>
      </c>
      <c r="AN23" s="69">
        <v>723.19278662999466</v>
      </c>
      <c r="AO23" s="69">
        <v>1803.767220687866</v>
      </c>
      <c r="AP23" s="69">
        <v>320.90897789001463</v>
      </c>
      <c r="AQ23" s="69">
        <v>776.30948813756311</v>
      </c>
    </row>
    <row r="24" spans="1:43" x14ac:dyDescent="0.25">
      <c r="A24" s="11">
        <v>41990</v>
      </c>
      <c r="B24" s="59"/>
      <c r="C24" s="60">
        <v>15.160274257262593</v>
      </c>
      <c r="D24" s="60">
        <v>173.36931804021197</v>
      </c>
      <c r="E24" s="60">
        <v>3.1978480592370104</v>
      </c>
      <c r="F24" s="60">
        <v>0</v>
      </c>
      <c r="G24" s="60">
        <v>0</v>
      </c>
      <c r="H24" s="61">
        <v>10.640572831034651</v>
      </c>
      <c r="I24" s="59">
        <v>301.90489756266277</v>
      </c>
      <c r="J24" s="60">
        <v>588.761499468485</v>
      </c>
      <c r="K24" s="60">
        <v>32.301462878783518</v>
      </c>
      <c r="L24" s="50">
        <v>1.0799622535705353E-2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339.54881592491995</v>
      </c>
      <c r="V24" s="62">
        <v>30.673750467765018</v>
      </c>
      <c r="W24" s="62">
        <v>26.916349100898522</v>
      </c>
      <c r="X24" s="62">
        <v>2.4315366071156395</v>
      </c>
      <c r="Y24" s="66">
        <v>209.8374338415037</v>
      </c>
      <c r="Z24" s="66">
        <v>18.956040435357181</v>
      </c>
      <c r="AA24" s="67">
        <v>0</v>
      </c>
      <c r="AB24" s="68">
        <v>23.211035158899012</v>
      </c>
      <c r="AC24" s="69">
        <v>0</v>
      </c>
      <c r="AD24" s="69">
        <v>12.496377442280451</v>
      </c>
      <c r="AE24" s="68">
        <v>11.35547157394919</v>
      </c>
      <c r="AF24" s="68">
        <v>1.0258168639296181</v>
      </c>
      <c r="AG24" s="68">
        <v>0.91714780985222222</v>
      </c>
      <c r="AH24" s="69">
        <v>259.82666803995767</v>
      </c>
      <c r="AI24" s="69">
        <v>840.78903388977051</v>
      </c>
      <c r="AJ24" s="69">
        <v>2182.4757522583009</v>
      </c>
      <c r="AK24" s="69">
        <v>665.99307489395142</v>
      </c>
      <c r="AL24" s="69">
        <v>2086.8621900558473</v>
      </c>
      <c r="AM24" s="69">
        <v>2668.9041426340737</v>
      </c>
      <c r="AN24" s="69">
        <v>667.56428880691521</v>
      </c>
      <c r="AO24" s="69">
        <v>1847.9569323221845</v>
      </c>
      <c r="AP24" s="69">
        <v>334.89094039599098</v>
      </c>
      <c r="AQ24" s="69">
        <v>722.54815155665074</v>
      </c>
    </row>
    <row r="25" spans="1:43" x14ac:dyDescent="0.25">
      <c r="A25" s="11">
        <v>41991</v>
      </c>
      <c r="B25" s="59"/>
      <c r="C25" s="60">
        <v>17.149839748938906</v>
      </c>
      <c r="D25" s="60">
        <v>200.55574571291609</v>
      </c>
      <c r="E25" s="60">
        <v>2.9634088774522098</v>
      </c>
      <c r="F25" s="60">
        <v>0</v>
      </c>
      <c r="G25" s="60">
        <v>50.74218775431315</v>
      </c>
      <c r="H25" s="61">
        <v>11.756042985121411</v>
      </c>
      <c r="I25" s="59">
        <v>300.09834030469273</v>
      </c>
      <c r="J25" s="60">
        <v>588.52380100885944</v>
      </c>
      <c r="K25" s="60">
        <v>32.320159866412453</v>
      </c>
      <c r="L25" s="50">
        <v>9.1482996940611145E-3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346.30022042000343</v>
      </c>
      <c r="V25" s="62">
        <v>21.832019557519342</v>
      </c>
      <c r="W25" s="62">
        <v>27.551795254587873</v>
      </c>
      <c r="X25" s="62">
        <v>1.7369649147592219</v>
      </c>
      <c r="Y25" s="66">
        <v>212.46079314007443</v>
      </c>
      <c r="Z25" s="66">
        <v>13.394297541637499</v>
      </c>
      <c r="AA25" s="67">
        <v>0</v>
      </c>
      <c r="AB25" s="68">
        <v>27.048736343118467</v>
      </c>
      <c r="AC25" s="69">
        <v>0</v>
      </c>
      <c r="AD25" s="69">
        <v>12.323916578955131</v>
      </c>
      <c r="AE25" s="68">
        <v>11.498075259798199</v>
      </c>
      <c r="AF25" s="68">
        <v>0.72488028925101755</v>
      </c>
      <c r="AG25" s="68">
        <v>0.94069517095581645</v>
      </c>
      <c r="AH25" s="69">
        <v>265.0307197491328</v>
      </c>
      <c r="AI25" s="69">
        <v>840.72676493326821</v>
      </c>
      <c r="AJ25" s="69">
        <v>2365.0531469980874</v>
      </c>
      <c r="AK25" s="69">
        <v>649.02677946090694</v>
      </c>
      <c r="AL25" s="69">
        <v>2042.848264948527</v>
      </c>
      <c r="AM25" s="69">
        <v>2621.1978481292722</v>
      </c>
      <c r="AN25" s="69">
        <v>650.84610061645515</v>
      </c>
      <c r="AO25" s="69">
        <v>1836.3074818929035</v>
      </c>
      <c r="AP25" s="69">
        <v>347.09168289502463</v>
      </c>
      <c r="AQ25" s="69">
        <v>736.60929460525506</v>
      </c>
    </row>
    <row r="26" spans="1:43" x14ac:dyDescent="0.25">
      <c r="A26" s="11">
        <v>41992</v>
      </c>
      <c r="B26" s="59"/>
      <c r="C26" s="60">
        <v>27.235803653796317</v>
      </c>
      <c r="D26" s="60">
        <v>325.71118645668014</v>
      </c>
      <c r="E26" s="60">
        <v>4.4363905489444759</v>
      </c>
      <c r="F26" s="60">
        <v>0</v>
      </c>
      <c r="G26" s="60">
        <v>627.31194670995171</v>
      </c>
      <c r="H26" s="61">
        <v>20.033539632956192</v>
      </c>
      <c r="I26" s="59">
        <v>299.31688551902784</v>
      </c>
      <c r="J26" s="60">
        <v>588.21641680399534</v>
      </c>
      <c r="K26" s="60">
        <v>32.276755291223573</v>
      </c>
      <c r="L26" s="50">
        <v>1.0507857799529816E-2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330.21323798979415</v>
      </c>
      <c r="V26" s="62">
        <v>57.422412411849074</v>
      </c>
      <c r="W26" s="62">
        <v>27.94382940177951</v>
      </c>
      <c r="X26" s="62">
        <v>4.8592906391140209</v>
      </c>
      <c r="Y26" s="66">
        <v>212.8083663415658</v>
      </c>
      <c r="Z26" s="66">
        <v>37.006298872654327</v>
      </c>
      <c r="AA26" s="67">
        <v>0</v>
      </c>
      <c r="AB26" s="68">
        <v>28.21068406767272</v>
      </c>
      <c r="AC26" s="69">
        <v>0</v>
      </c>
      <c r="AD26" s="69">
        <v>13.617260206407986</v>
      </c>
      <c r="AE26" s="68">
        <v>11.500086226845243</v>
      </c>
      <c r="AF26" s="68">
        <v>1.9998068463570888</v>
      </c>
      <c r="AG26" s="68">
        <v>0.8518649862252049</v>
      </c>
      <c r="AH26" s="69">
        <v>271.7355672121048</v>
      </c>
      <c r="AI26" s="69">
        <v>1003.2659659703572</v>
      </c>
      <c r="AJ26" s="69">
        <v>3079.0383738199866</v>
      </c>
      <c r="AK26" s="69">
        <v>651.09626836776727</v>
      </c>
      <c r="AL26" s="69">
        <v>2489.6740474700932</v>
      </c>
      <c r="AM26" s="69">
        <v>2634.6686960856123</v>
      </c>
      <c r="AN26" s="69">
        <v>647.5663510322571</v>
      </c>
      <c r="AO26" s="69">
        <v>1966.255003229777</v>
      </c>
      <c r="AP26" s="69">
        <v>355.63263702392578</v>
      </c>
      <c r="AQ26" s="69">
        <v>754.082922299703</v>
      </c>
    </row>
    <row r="27" spans="1:43" x14ac:dyDescent="0.25">
      <c r="A27" s="11">
        <v>41993</v>
      </c>
      <c r="B27" s="59"/>
      <c r="C27" s="60">
        <v>28.196988602479419</v>
      </c>
      <c r="D27" s="60">
        <v>325.31745778719488</v>
      </c>
      <c r="E27" s="60">
        <v>4.4422709345817557</v>
      </c>
      <c r="F27" s="60">
        <v>0</v>
      </c>
      <c r="G27" s="60">
        <v>897.49081465403447</v>
      </c>
      <c r="H27" s="61">
        <v>20.107431709766363</v>
      </c>
      <c r="I27" s="59">
        <v>299.52085328102078</v>
      </c>
      <c r="J27" s="60">
        <v>588.39564399719234</v>
      </c>
      <c r="K27" s="60">
        <v>32.251312915484128</v>
      </c>
      <c r="L27" s="50">
        <v>9.7242236137388312E-3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328.37224166061293</v>
      </c>
      <c r="V27" s="62">
        <v>57.122143719599002</v>
      </c>
      <c r="W27" s="62">
        <v>28.183687672686009</v>
      </c>
      <c r="X27" s="62">
        <v>4.9027062995518849</v>
      </c>
      <c r="Y27" s="62">
        <v>212.73538695151555</v>
      </c>
      <c r="Z27" s="62">
        <v>37.006481687476189</v>
      </c>
      <c r="AA27" s="72">
        <v>0</v>
      </c>
      <c r="AB27" s="69">
        <v>28.209936716820906</v>
      </c>
      <c r="AC27" s="69">
        <v>0</v>
      </c>
      <c r="AD27" s="69">
        <v>13.614791480700179</v>
      </c>
      <c r="AE27" s="69">
        <v>11.496935377932697</v>
      </c>
      <c r="AF27" s="69">
        <v>1.99995466021142</v>
      </c>
      <c r="AG27" s="69">
        <v>0.85182107473949431</v>
      </c>
      <c r="AH27" s="69">
        <v>265.26800380547832</v>
      </c>
      <c r="AI27" s="69">
        <v>1000.0900664011637</v>
      </c>
      <c r="AJ27" s="69">
        <v>3055.2266367594398</v>
      </c>
      <c r="AK27" s="69">
        <v>649.26058047612514</v>
      </c>
      <c r="AL27" s="69">
        <v>2517.0577175140384</v>
      </c>
      <c r="AM27" s="69">
        <v>2600.2387149810793</v>
      </c>
      <c r="AN27" s="69">
        <v>645.12098906834922</v>
      </c>
      <c r="AO27" s="69">
        <v>1955.8835318247477</v>
      </c>
      <c r="AP27" s="69">
        <v>355.63263702392578</v>
      </c>
      <c r="AQ27" s="69">
        <v>712.99946985244753</v>
      </c>
    </row>
    <row r="28" spans="1:43" x14ac:dyDescent="0.25">
      <c r="A28" s="11">
        <v>41994</v>
      </c>
      <c r="B28" s="59"/>
      <c r="C28" s="60">
        <v>28.647730797529292</v>
      </c>
      <c r="D28" s="60">
        <v>325.25872907638467</v>
      </c>
      <c r="E28" s="60">
        <v>4.4615778774023056</v>
      </c>
      <c r="F28" s="60">
        <v>0</v>
      </c>
      <c r="G28" s="60">
        <v>950.33996054331749</v>
      </c>
      <c r="H28" s="61">
        <v>20.00746339559554</v>
      </c>
      <c r="I28" s="59">
        <v>292.56097399393713</v>
      </c>
      <c r="J28" s="60">
        <v>588.30814892450883</v>
      </c>
      <c r="K28" s="60">
        <v>32.326138381163297</v>
      </c>
      <c r="L28" s="50">
        <v>1.1884987354278318E-2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330.58344079770325</v>
      </c>
      <c r="V28" s="62">
        <v>57.486477241406021</v>
      </c>
      <c r="W28" s="62">
        <v>29.090091821760744</v>
      </c>
      <c r="X28" s="62">
        <v>5.0585924613368558</v>
      </c>
      <c r="Y28" s="66">
        <v>212.44807650227429</v>
      </c>
      <c r="Z28" s="66">
        <v>36.943446064202639</v>
      </c>
      <c r="AA28" s="67">
        <v>0</v>
      </c>
      <c r="AB28" s="68">
        <v>28.213264732890611</v>
      </c>
      <c r="AC28" s="69">
        <v>0</v>
      </c>
      <c r="AD28" s="69">
        <v>13.619965189033115</v>
      </c>
      <c r="AE28" s="68">
        <v>11.501108856528518</v>
      </c>
      <c r="AF28" s="68">
        <v>1.9999738369725177</v>
      </c>
      <c r="AG28" s="68">
        <v>0.85186567015582848</v>
      </c>
      <c r="AH28" s="69">
        <v>265.99470404783881</v>
      </c>
      <c r="AI28" s="69">
        <v>1002.6483983993533</v>
      </c>
      <c r="AJ28" s="69">
        <v>3038.4644054412847</v>
      </c>
      <c r="AK28" s="69">
        <v>644.764915116628</v>
      </c>
      <c r="AL28" s="69">
        <v>2512.2049063364666</v>
      </c>
      <c r="AM28" s="69">
        <v>2595.899235026041</v>
      </c>
      <c r="AN28" s="69">
        <v>644.11379559834802</v>
      </c>
      <c r="AO28" s="69">
        <v>1972.8444478352865</v>
      </c>
      <c r="AP28" s="69">
        <v>355.63263702392578</v>
      </c>
      <c r="AQ28" s="69">
        <v>696.49651371637992</v>
      </c>
    </row>
    <row r="29" spans="1:43" x14ac:dyDescent="0.25">
      <c r="A29" s="11">
        <v>41995</v>
      </c>
      <c r="B29" s="59"/>
      <c r="C29" s="60">
        <v>27.971268246571189</v>
      </c>
      <c r="D29" s="60">
        <v>325.16989658673646</v>
      </c>
      <c r="E29" s="60">
        <v>4.4379725903272691</v>
      </c>
      <c r="F29" s="60">
        <v>0</v>
      </c>
      <c r="G29" s="60">
        <v>967.59352734883726</v>
      </c>
      <c r="H29" s="61">
        <v>20.001524214943259</v>
      </c>
      <c r="I29" s="59">
        <v>287.41770612398801</v>
      </c>
      <c r="J29" s="60">
        <v>588.75310789743992</v>
      </c>
      <c r="K29" s="60">
        <v>32.337815256913551</v>
      </c>
      <c r="L29" s="50">
        <v>9.9032163619993223E-3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317.08899408366636</v>
      </c>
      <c r="V29" s="62">
        <v>55.155741782457994</v>
      </c>
      <c r="W29" s="62">
        <v>28.421857159721934</v>
      </c>
      <c r="X29" s="62">
        <v>4.9438127583384279</v>
      </c>
      <c r="Y29" s="66">
        <v>205.68307028586884</v>
      </c>
      <c r="Z29" s="66">
        <v>35.777344926444151</v>
      </c>
      <c r="AA29" s="67">
        <v>0</v>
      </c>
      <c r="AB29" s="68">
        <v>28.212439305252257</v>
      </c>
      <c r="AC29" s="69">
        <v>0</v>
      </c>
      <c r="AD29" s="69">
        <v>13.200114989942968</v>
      </c>
      <c r="AE29" s="68">
        <v>11.146172584931874</v>
      </c>
      <c r="AF29" s="68">
        <v>1.9388103290491421</v>
      </c>
      <c r="AG29" s="68">
        <v>0.85182935722617059</v>
      </c>
      <c r="AH29" s="69">
        <v>287.25436466534939</v>
      </c>
      <c r="AI29" s="69">
        <v>1034.7680550893149</v>
      </c>
      <c r="AJ29" s="69">
        <v>3043.7411059061683</v>
      </c>
      <c r="AK29" s="69">
        <v>670.5402846654257</v>
      </c>
      <c r="AL29" s="69">
        <v>2577.3208526611334</v>
      </c>
      <c r="AM29" s="69">
        <v>2699.5974159240727</v>
      </c>
      <c r="AN29" s="69">
        <v>666.0219728151958</v>
      </c>
      <c r="AO29" s="69">
        <v>1933.536933517456</v>
      </c>
      <c r="AP29" s="69">
        <v>347.49382050832116</v>
      </c>
      <c r="AQ29" s="69">
        <v>720.0728194872537</v>
      </c>
    </row>
    <row r="30" spans="1:43" x14ac:dyDescent="0.25">
      <c r="A30" s="11">
        <v>41996</v>
      </c>
      <c r="B30" s="59"/>
      <c r="C30" s="60">
        <v>28.002446542183414</v>
      </c>
      <c r="D30" s="60">
        <v>325.91418210665393</v>
      </c>
      <c r="E30" s="60">
        <v>4.4188458199302341</v>
      </c>
      <c r="F30" s="60">
        <v>0</v>
      </c>
      <c r="G30" s="60">
        <v>998.50573819478166</v>
      </c>
      <c r="H30" s="61">
        <v>20.028937831521013</v>
      </c>
      <c r="I30" s="59">
        <v>280.3090331713355</v>
      </c>
      <c r="J30" s="60">
        <v>588.88678995768123</v>
      </c>
      <c r="K30" s="60">
        <v>32.20948847730952</v>
      </c>
      <c r="L30" s="50">
        <v>6.1557769775390046E-3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318.42034910565621</v>
      </c>
      <c r="V30" s="62">
        <v>55.382670227232246</v>
      </c>
      <c r="W30" s="62">
        <v>28.840561214686513</v>
      </c>
      <c r="X30" s="62">
        <v>5.0162224098036292</v>
      </c>
      <c r="Y30" s="66">
        <v>210.46212248547116</v>
      </c>
      <c r="Z30" s="66">
        <v>36.605557269421254</v>
      </c>
      <c r="AA30" s="67">
        <v>0</v>
      </c>
      <c r="AB30" s="68">
        <v>28.209178177515092</v>
      </c>
      <c r="AC30" s="69">
        <v>0</v>
      </c>
      <c r="AD30" s="69">
        <v>13.484378463029852</v>
      </c>
      <c r="AE30" s="68">
        <v>11.38491794364972</v>
      </c>
      <c r="AF30" s="68">
        <v>1.9801723030836633</v>
      </c>
      <c r="AG30" s="68">
        <v>0.8518399601852561</v>
      </c>
      <c r="AH30" s="69">
        <v>322.54896105925246</v>
      </c>
      <c r="AI30" s="69">
        <v>1090.4165054957073</v>
      </c>
      <c r="AJ30" s="69">
        <v>3056.8006181081137</v>
      </c>
      <c r="AK30" s="69">
        <v>697.95022007624289</v>
      </c>
      <c r="AL30" s="69">
        <v>2755.3715221405032</v>
      </c>
      <c r="AM30" s="69">
        <v>2880.8173647562662</v>
      </c>
      <c r="AN30" s="69">
        <v>695.2447077751159</v>
      </c>
      <c r="AO30" s="69">
        <v>1905.2990425109865</v>
      </c>
      <c r="AP30" s="69">
        <v>344.21509745915728</v>
      </c>
      <c r="AQ30" s="69">
        <v>729.44156850179024</v>
      </c>
    </row>
    <row r="31" spans="1:43" x14ac:dyDescent="0.25">
      <c r="A31" s="11">
        <v>41997</v>
      </c>
      <c r="B31" s="59"/>
      <c r="C31" s="60">
        <v>28.758428543806058</v>
      </c>
      <c r="D31" s="60">
        <v>325.59507484436023</v>
      </c>
      <c r="E31" s="60">
        <v>4.4038513749837875</v>
      </c>
      <c r="F31" s="60">
        <v>0</v>
      </c>
      <c r="G31" s="60">
        <v>1098.0585504531878</v>
      </c>
      <c r="H31" s="61">
        <v>20.037944465875643</v>
      </c>
      <c r="I31" s="59">
        <v>280.67771371205629</v>
      </c>
      <c r="J31" s="60">
        <v>588.74399105707789</v>
      </c>
      <c r="K31" s="60">
        <v>32.157228742043173</v>
      </c>
      <c r="L31" s="50">
        <v>3.5499572753906468E-3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310.39829484948388</v>
      </c>
      <c r="V31" s="62">
        <v>51.13216548698874</v>
      </c>
      <c r="W31" s="62">
        <v>28.736790590601043</v>
      </c>
      <c r="X31" s="62">
        <v>4.7338350642553362</v>
      </c>
      <c r="Y31" s="66">
        <v>209.7244194409696</v>
      </c>
      <c r="Z31" s="66">
        <v>34.548075487071657</v>
      </c>
      <c r="AA31" s="67">
        <v>0</v>
      </c>
      <c r="AB31" s="68">
        <v>28.209966450266858</v>
      </c>
      <c r="AC31" s="69">
        <v>0</v>
      </c>
      <c r="AD31" s="69">
        <v>13.346466881699039</v>
      </c>
      <c r="AE31" s="68">
        <v>11.359040026067241</v>
      </c>
      <c r="AF31" s="68">
        <v>1.8711839724114532</v>
      </c>
      <c r="AG31" s="68">
        <v>0.85856747605886219</v>
      </c>
      <c r="AH31" s="69">
        <v>295.61955520311994</v>
      </c>
      <c r="AI31" s="69">
        <v>1062.2398817062376</v>
      </c>
      <c r="AJ31" s="69">
        <v>3091.8770505269367</v>
      </c>
      <c r="AK31" s="69">
        <v>671.47960402170804</v>
      </c>
      <c r="AL31" s="69">
        <v>2897.4429178873702</v>
      </c>
      <c r="AM31" s="69">
        <v>2952.3476355234784</v>
      </c>
      <c r="AN31" s="69">
        <v>690.3618863741558</v>
      </c>
      <c r="AO31" s="69">
        <v>1885.0666795094808</v>
      </c>
      <c r="AP31" s="69">
        <v>338.97218529383343</v>
      </c>
      <c r="AQ31" s="69">
        <v>704.92528670628872</v>
      </c>
    </row>
    <row r="32" spans="1:43" x14ac:dyDescent="0.25">
      <c r="A32" s="11">
        <v>41998</v>
      </c>
      <c r="B32" s="59"/>
      <c r="C32" s="60">
        <v>28.048889189958587</v>
      </c>
      <c r="D32" s="60">
        <v>325.26772046089161</v>
      </c>
      <c r="E32" s="60">
        <v>4.6002403448025415</v>
      </c>
      <c r="F32" s="60">
        <v>0</v>
      </c>
      <c r="G32" s="60">
        <v>1093.8783301035539</v>
      </c>
      <c r="H32" s="61">
        <v>19.961127191781973</v>
      </c>
      <c r="I32" s="59">
        <v>281.22027144432053</v>
      </c>
      <c r="J32" s="60">
        <v>590.53633168538408</v>
      </c>
      <c r="K32" s="60">
        <v>32.23494340181351</v>
      </c>
      <c r="L32" s="50">
        <v>3.738784790039086E-3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306.00202594412497</v>
      </c>
      <c r="V32" s="62">
        <v>54.626108158165437</v>
      </c>
      <c r="W32" s="62">
        <v>26.300480358783648</v>
      </c>
      <c r="X32" s="62">
        <v>4.6950437019425388</v>
      </c>
      <c r="Y32" s="66">
        <v>202.70398127164907</v>
      </c>
      <c r="Z32" s="66">
        <v>36.185804884369382</v>
      </c>
      <c r="AA32" s="67">
        <v>0</v>
      </c>
      <c r="AB32" s="68">
        <v>28.210687804221589</v>
      </c>
      <c r="AC32" s="69">
        <v>0</v>
      </c>
      <c r="AD32" s="69">
        <v>13.046646296978004</v>
      </c>
      <c r="AE32" s="68">
        <v>10.956167401356893</v>
      </c>
      <c r="AF32" s="68">
        <v>1.9558458268991035</v>
      </c>
      <c r="AG32" s="68">
        <v>0.84852510663333047</v>
      </c>
      <c r="AH32" s="69">
        <v>276.005478533109</v>
      </c>
      <c r="AI32" s="69">
        <v>1034.4722612380983</v>
      </c>
      <c r="AJ32" s="69">
        <v>3038.7437062581375</v>
      </c>
      <c r="AK32" s="69">
        <v>656.21650206247966</v>
      </c>
      <c r="AL32" s="69">
        <v>2855.7686632792156</v>
      </c>
      <c r="AM32" s="69">
        <v>2908.0297623952233</v>
      </c>
      <c r="AN32" s="69">
        <v>659.911193561554</v>
      </c>
      <c r="AO32" s="69">
        <v>1872.0552989959717</v>
      </c>
      <c r="AP32" s="69">
        <v>333.54862852096556</v>
      </c>
      <c r="AQ32" s="69">
        <v>680.06540568669641</v>
      </c>
    </row>
    <row r="33" spans="1:43" x14ac:dyDescent="0.25">
      <c r="A33" s="11">
        <v>41999</v>
      </c>
      <c r="B33" s="59"/>
      <c r="C33" s="60">
        <v>28.224074443181401</v>
      </c>
      <c r="D33" s="60">
        <v>325.34922421773331</v>
      </c>
      <c r="E33" s="60">
        <v>5.0259888072808501</v>
      </c>
      <c r="F33" s="60">
        <v>0</v>
      </c>
      <c r="G33" s="60">
        <v>1106.6239042917869</v>
      </c>
      <c r="H33" s="61">
        <v>20.033735707402233</v>
      </c>
      <c r="I33" s="59">
        <v>283.58012188275654</v>
      </c>
      <c r="J33" s="60">
        <v>594.86176465352275</v>
      </c>
      <c r="K33" s="60">
        <v>32.109789677461002</v>
      </c>
      <c r="L33" s="50">
        <v>4.3052673339843851E-3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309.32271999846677</v>
      </c>
      <c r="V33" s="62">
        <v>55.136541577868904</v>
      </c>
      <c r="W33" s="62">
        <v>27.281475530487459</v>
      </c>
      <c r="X33" s="62">
        <v>4.8629024402080478</v>
      </c>
      <c r="Y33" s="66">
        <v>204.82430464104326</v>
      </c>
      <c r="Z33" s="66">
        <v>36.509777843201903</v>
      </c>
      <c r="AA33" s="67">
        <v>0</v>
      </c>
      <c r="AB33" s="68">
        <v>28.20709322161083</v>
      </c>
      <c r="AC33" s="69">
        <v>0</v>
      </c>
      <c r="AD33" s="69">
        <v>13.153566277358269</v>
      </c>
      <c r="AE33" s="68">
        <v>10.959501217621346</v>
      </c>
      <c r="AF33" s="68">
        <v>1.9535228274246366</v>
      </c>
      <c r="AG33" s="68">
        <v>0.84871685976809619</v>
      </c>
      <c r="AH33" s="69">
        <v>334.56817105611168</v>
      </c>
      <c r="AI33" s="69">
        <v>1136.0139268875123</v>
      </c>
      <c r="AJ33" s="69">
        <v>3091.2496428171794</v>
      </c>
      <c r="AK33" s="69">
        <v>712.11100365320829</v>
      </c>
      <c r="AL33" s="69">
        <v>2800.3312923431395</v>
      </c>
      <c r="AM33" s="69">
        <v>3007.8738293965657</v>
      </c>
      <c r="AN33" s="69">
        <v>1077.2097183863323</v>
      </c>
      <c r="AO33" s="69">
        <v>1896.8695732116701</v>
      </c>
      <c r="AP33" s="69">
        <v>332.17113140424095</v>
      </c>
      <c r="AQ33" s="69">
        <v>721.81462663014713</v>
      </c>
    </row>
    <row r="34" spans="1:43" x14ac:dyDescent="0.25">
      <c r="A34" s="11">
        <v>42000</v>
      </c>
      <c r="B34" s="59"/>
      <c r="C34" s="60">
        <v>28.261298338572175</v>
      </c>
      <c r="D34" s="60">
        <v>325.39101974169415</v>
      </c>
      <c r="E34" s="60">
        <v>5.0559596295158089</v>
      </c>
      <c r="F34" s="60">
        <v>0</v>
      </c>
      <c r="G34" s="60">
        <v>1120.0894974390633</v>
      </c>
      <c r="H34" s="61">
        <v>19.997030744950006</v>
      </c>
      <c r="I34" s="59">
        <v>265.31292710304228</v>
      </c>
      <c r="J34" s="60">
        <v>557.05775985717662</v>
      </c>
      <c r="K34" s="60">
        <v>30.339810760815787</v>
      </c>
      <c r="L34" s="50">
        <v>5.570018291473358E-3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300.87941603481744</v>
      </c>
      <c r="V34" s="62">
        <v>56.022816834646896</v>
      </c>
      <c r="W34" s="62">
        <v>25.744998428565893</v>
      </c>
      <c r="X34" s="62">
        <v>4.7936390942905751</v>
      </c>
      <c r="Y34" s="66">
        <v>201.52911370542651</v>
      </c>
      <c r="Z34" s="66">
        <v>37.524097768992426</v>
      </c>
      <c r="AA34" s="67">
        <v>0</v>
      </c>
      <c r="AB34" s="68">
        <v>28.206688288847275</v>
      </c>
      <c r="AC34" s="69">
        <v>0</v>
      </c>
      <c r="AD34" s="69">
        <v>12.959343777100278</v>
      </c>
      <c r="AE34" s="68">
        <v>10.74090826688461</v>
      </c>
      <c r="AF34" s="68">
        <v>1.9999239044115555</v>
      </c>
      <c r="AG34" s="68">
        <v>0.84303035488394651</v>
      </c>
      <c r="AH34" s="69">
        <v>345.86243976751973</v>
      </c>
      <c r="AI34" s="69">
        <v>1146.25230884552</v>
      </c>
      <c r="AJ34" s="69">
        <v>3091.5690273284908</v>
      </c>
      <c r="AK34" s="69">
        <v>702.67114245096855</v>
      </c>
      <c r="AL34" s="69">
        <v>2680.0412616729732</v>
      </c>
      <c r="AM34" s="69">
        <v>2949.0039688110351</v>
      </c>
      <c r="AN34" s="69">
        <v>1001.2808944384254</v>
      </c>
      <c r="AO34" s="69">
        <v>1839.4007619222004</v>
      </c>
      <c r="AP34" s="69">
        <v>329.17659471829734</v>
      </c>
      <c r="AQ34" s="69">
        <v>703.79035590489696</v>
      </c>
    </row>
    <row r="35" spans="1:43" x14ac:dyDescent="0.25">
      <c r="A35" s="11">
        <v>42001</v>
      </c>
      <c r="B35" s="59"/>
      <c r="C35" s="60">
        <v>28.063610692818962</v>
      </c>
      <c r="D35" s="60">
        <v>326.11599291165669</v>
      </c>
      <c r="E35" s="60">
        <v>5.0251991624633661</v>
      </c>
      <c r="F35" s="60">
        <v>0</v>
      </c>
      <c r="G35" s="60">
        <v>1126.937850824967</v>
      </c>
      <c r="H35" s="61">
        <v>20.500878368814682</v>
      </c>
      <c r="I35" s="59">
        <v>260.05788397788672</v>
      </c>
      <c r="J35" s="60">
        <v>543.0487181345693</v>
      </c>
      <c r="K35" s="60">
        <v>29.753440980116849</v>
      </c>
      <c r="L35" s="50">
        <v>3.7765502929687501E-5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295.17236991231721</v>
      </c>
      <c r="V35" s="62">
        <v>57.912071696540707</v>
      </c>
      <c r="W35" s="62">
        <v>26.113032364707244</v>
      </c>
      <c r="X35" s="62">
        <v>5.1233108402667904</v>
      </c>
      <c r="Y35" s="66">
        <v>198.75672015040016</v>
      </c>
      <c r="Z35" s="66">
        <v>38.995565306259834</v>
      </c>
      <c r="AA35" s="67">
        <v>0</v>
      </c>
      <c r="AB35" s="68">
        <v>28.204443816343467</v>
      </c>
      <c r="AC35" s="69">
        <v>0</v>
      </c>
      <c r="AD35" s="69">
        <v>12.635491358571338</v>
      </c>
      <c r="AE35" s="68">
        <v>10.366737790941535</v>
      </c>
      <c r="AF35" s="68">
        <v>2.033927709380742</v>
      </c>
      <c r="AG35" s="68">
        <v>0.83598237454853674</v>
      </c>
      <c r="AH35" s="69">
        <v>261.6982976913452</v>
      </c>
      <c r="AI35" s="69">
        <v>1037.0350677490235</v>
      </c>
      <c r="AJ35" s="69">
        <v>3055.4876230875652</v>
      </c>
      <c r="AK35" s="69">
        <v>989.94688997268679</v>
      </c>
      <c r="AL35" s="69">
        <v>2491.3755023956301</v>
      </c>
      <c r="AM35" s="69">
        <v>2911.2611461639403</v>
      </c>
      <c r="AN35" s="69">
        <v>744.00460023880009</v>
      </c>
      <c r="AO35" s="69">
        <v>1861.1149291992187</v>
      </c>
      <c r="AP35" s="69">
        <v>328.66874154408771</v>
      </c>
      <c r="AQ35" s="69">
        <v>653.18601605097456</v>
      </c>
    </row>
    <row r="36" spans="1:43" x14ac:dyDescent="0.25">
      <c r="A36" s="11">
        <v>42002</v>
      </c>
      <c r="B36" s="59"/>
      <c r="C36" s="60">
        <v>27.803542464971823</v>
      </c>
      <c r="D36" s="60">
        <v>325.20629566510564</v>
      </c>
      <c r="E36" s="60">
        <v>5.0580463955799715</v>
      </c>
      <c r="F36" s="60">
        <v>0</v>
      </c>
      <c r="G36" s="60">
        <v>1140.5078729629502</v>
      </c>
      <c r="H36" s="61">
        <v>19.951352650920541</v>
      </c>
      <c r="I36" s="59">
        <v>251.06531548500013</v>
      </c>
      <c r="J36" s="60">
        <v>545.1626848856597</v>
      </c>
      <c r="K36" s="60">
        <v>29.710779976844691</v>
      </c>
      <c r="L36" s="50">
        <v>2.256488800048838E-3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294.91835637566942</v>
      </c>
      <c r="V36" s="62">
        <v>56.187053034597362</v>
      </c>
      <c r="W36" s="62">
        <v>25.614533152149466</v>
      </c>
      <c r="X36" s="62">
        <v>4.8800120493110413</v>
      </c>
      <c r="Y36" s="66">
        <v>202.0271952848062</v>
      </c>
      <c r="Z36" s="66">
        <v>38.489678551710661</v>
      </c>
      <c r="AA36" s="67">
        <v>0</v>
      </c>
      <c r="AB36" s="68">
        <v>27.359563493728508</v>
      </c>
      <c r="AC36" s="69">
        <v>0</v>
      </c>
      <c r="AD36" s="69">
        <v>12.718578299548899</v>
      </c>
      <c r="AE36" s="68">
        <v>10.498504342438048</v>
      </c>
      <c r="AF36" s="68">
        <v>2.0001468457972948</v>
      </c>
      <c r="AG36" s="68">
        <v>0.83997098441470386</v>
      </c>
      <c r="AH36" s="69">
        <v>353.5782309452693</v>
      </c>
      <c r="AI36" s="69">
        <v>1161.5570631663004</v>
      </c>
      <c r="AJ36" s="69">
        <v>3118.4648555755607</v>
      </c>
      <c r="AK36" s="69">
        <v>694.44916693369544</v>
      </c>
      <c r="AL36" s="69">
        <v>2829.9261521657313</v>
      </c>
      <c r="AM36" s="69">
        <v>3002.3855798085533</v>
      </c>
      <c r="AN36" s="69">
        <v>720.24636427561427</v>
      </c>
      <c r="AO36" s="69">
        <v>1848.1095663706462</v>
      </c>
      <c r="AP36" s="69">
        <v>329.20127577781676</v>
      </c>
      <c r="AQ36" s="69">
        <v>766.9672161102294</v>
      </c>
    </row>
    <row r="37" spans="1:43" x14ac:dyDescent="0.25">
      <c r="A37" s="11">
        <v>42003</v>
      </c>
      <c r="B37" s="59"/>
      <c r="C37" s="60">
        <v>27.762867261965834</v>
      </c>
      <c r="D37" s="60">
        <v>332.23922355969785</v>
      </c>
      <c r="E37" s="60">
        <v>4.9949371318022466</v>
      </c>
      <c r="F37" s="60">
        <v>0</v>
      </c>
      <c r="G37" s="60">
        <v>1153.1299339294412</v>
      </c>
      <c r="H37" s="61">
        <v>20.091897199551273</v>
      </c>
      <c r="I37" s="59">
        <v>245.29469251632659</v>
      </c>
      <c r="J37" s="60">
        <v>545.42619514465264</v>
      </c>
      <c r="K37" s="60">
        <v>29.748855249086926</v>
      </c>
      <c r="L37" s="60">
        <v>5.0133705139159997E-3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1073.1469176468124</v>
      </c>
      <c r="V37" s="62">
        <v>190.05864655538304</v>
      </c>
      <c r="W37" s="62">
        <v>24.150183254134213</v>
      </c>
      <c r="X37" s="62">
        <v>4.2770948393627508</v>
      </c>
      <c r="Y37" s="66">
        <v>197.9117176160083</v>
      </c>
      <c r="Z37" s="66">
        <v>35.050963264220321</v>
      </c>
      <c r="AA37" s="67">
        <v>0</v>
      </c>
      <c r="AB37" s="68">
        <v>25.846282133791298</v>
      </c>
      <c r="AC37" s="69">
        <v>0</v>
      </c>
      <c r="AD37" s="69">
        <v>12.313055817286161</v>
      </c>
      <c r="AE37" s="68">
        <v>10.258422356302882</v>
      </c>
      <c r="AF37" s="68">
        <v>1.8168079661522001</v>
      </c>
      <c r="AG37" s="68">
        <v>0.84954258282149142</v>
      </c>
      <c r="AH37" s="69">
        <v>403.95454375743861</v>
      </c>
      <c r="AI37" s="69">
        <v>1275.5516909917194</v>
      </c>
      <c r="AJ37" s="69">
        <v>3176.1624074300134</v>
      </c>
      <c r="AK37" s="69">
        <v>709.16706104278558</v>
      </c>
      <c r="AL37" s="69">
        <v>3731.7518759409591</v>
      </c>
      <c r="AM37" s="69">
        <v>3119.7280606587738</v>
      </c>
      <c r="AN37" s="69">
        <v>1153.0042240778605</v>
      </c>
      <c r="AO37" s="69">
        <v>2081.7710809071859</v>
      </c>
      <c r="AP37" s="69">
        <v>333.21085810661316</v>
      </c>
      <c r="AQ37" s="69">
        <v>733.57181065877273</v>
      </c>
    </row>
    <row r="38" spans="1:43" ht="15.75" thickBot="1" x14ac:dyDescent="0.3">
      <c r="A38" s="11">
        <v>42004</v>
      </c>
      <c r="B38" s="73"/>
      <c r="C38" s="74">
        <v>29.256198505560501</v>
      </c>
      <c r="D38" s="74">
        <v>338.06596360206584</v>
      </c>
      <c r="E38" s="74">
        <v>4.9581388384103731</v>
      </c>
      <c r="F38" s="74">
        <v>0</v>
      </c>
      <c r="G38" s="74">
        <v>1262.7308959325189</v>
      </c>
      <c r="H38" s="75">
        <v>19.961840460697797</v>
      </c>
      <c r="I38" s="76">
        <v>248.13195303281105</v>
      </c>
      <c r="J38" s="74">
        <v>551.42933511733918</v>
      </c>
      <c r="K38" s="74">
        <v>30.457651962836596</v>
      </c>
      <c r="L38" s="74">
        <v>2.256488800048838E-3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1562.1401403493298</v>
      </c>
      <c r="V38" s="80">
        <v>297.47405238018104</v>
      </c>
      <c r="W38" s="81">
        <v>25.10111973905531</v>
      </c>
      <c r="X38" s="81">
        <v>4.7799372253421266</v>
      </c>
      <c r="Y38" s="80">
        <v>202.41337310528439</v>
      </c>
      <c r="Z38" s="80">
        <v>38.545022177143196</v>
      </c>
      <c r="AA38" s="82">
        <v>0</v>
      </c>
      <c r="AB38" s="83">
        <v>25.846606066491589</v>
      </c>
      <c r="AC38" s="84">
        <v>0</v>
      </c>
      <c r="AD38" s="85">
        <v>12.729352470238986</v>
      </c>
      <c r="AE38" s="83">
        <v>10.500943114117945</v>
      </c>
      <c r="AF38" s="83">
        <v>1.9996657286278308</v>
      </c>
      <c r="AG38" s="83">
        <v>0.84003453321489574</v>
      </c>
      <c r="AH38" s="84">
        <v>384.16390812397003</v>
      </c>
      <c r="AI38" s="84">
        <v>1254.3179565429689</v>
      </c>
      <c r="AJ38" s="84">
        <v>3168.0047993977869</v>
      </c>
      <c r="AK38" s="84">
        <v>734.9856228192649</v>
      </c>
      <c r="AL38" s="84">
        <v>3047.0377808888752</v>
      </c>
      <c r="AM38" s="84">
        <v>3047.8761651357017</v>
      </c>
      <c r="AN38" s="84">
        <v>1214.1562278111776</v>
      </c>
      <c r="AO38" s="84">
        <v>1850.1752362569173</v>
      </c>
      <c r="AP38" s="84">
        <v>335.44253765741985</v>
      </c>
      <c r="AQ38" s="84">
        <v>745.45404068628955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1248.0232300003404</v>
      </c>
      <c r="D39" s="30">
        <f t="shared" si="0"/>
        <v>14737.030719073613</v>
      </c>
      <c r="E39" s="30">
        <f t="shared" si="0"/>
        <v>216.58686396727956</v>
      </c>
      <c r="F39" s="30">
        <f t="shared" si="0"/>
        <v>0</v>
      </c>
      <c r="G39" s="30">
        <f t="shared" si="0"/>
        <v>29926.762492267273</v>
      </c>
      <c r="H39" s="31">
        <f t="shared" si="0"/>
        <v>902.09032834967013</v>
      </c>
      <c r="I39" s="29">
        <f t="shared" si="0"/>
        <v>8045.8900850693262</v>
      </c>
      <c r="J39" s="30">
        <f t="shared" si="0"/>
        <v>16452.092774709061</v>
      </c>
      <c r="K39" s="30">
        <f t="shared" si="0"/>
        <v>903.30594263474177</v>
      </c>
      <c r="L39" s="30">
        <f t="shared" si="0"/>
        <v>0.17861830329894851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10888.698949673364</v>
      </c>
      <c r="V39" s="264">
        <f t="shared" si="0"/>
        <v>2866.0707725340158</v>
      </c>
      <c r="W39" s="264">
        <f t="shared" si="0"/>
        <v>774.21333996932321</v>
      </c>
      <c r="X39" s="264">
        <f t="shared" si="0"/>
        <v>219.89449220815587</v>
      </c>
      <c r="Y39" s="264">
        <f t="shared" si="0"/>
        <v>6023.0276217792325</v>
      </c>
      <c r="Z39" s="264">
        <f t="shared" si="0"/>
        <v>1730.5028778618648</v>
      </c>
      <c r="AA39" s="272">
        <f t="shared" si="0"/>
        <v>0</v>
      </c>
      <c r="AB39" s="275">
        <f t="shared" si="0"/>
        <v>711.27494939167661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8455.6674703598037</v>
      </c>
      <c r="AI39" s="275">
        <f t="shared" si="1"/>
        <v>31828.357620239261</v>
      </c>
      <c r="AJ39" s="275">
        <f t="shared" si="1"/>
        <v>94146.542167027786</v>
      </c>
      <c r="AK39" s="275">
        <f t="shared" si="1"/>
        <v>20443.812809975941</v>
      </c>
      <c r="AL39" s="275">
        <f t="shared" si="1"/>
        <v>85397.715653292325</v>
      </c>
      <c r="AM39" s="275">
        <f t="shared" si="1"/>
        <v>85759.706822077453</v>
      </c>
      <c r="AN39" s="275">
        <f t="shared" si="1"/>
        <v>22416.315951665245</v>
      </c>
      <c r="AO39" s="275">
        <f t="shared" si="1"/>
        <v>57148.379719479875</v>
      </c>
      <c r="AP39" s="275">
        <f t="shared" si="1"/>
        <v>10467.823097451528</v>
      </c>
      <c r="AQ39" s="275">
        <f t="shared" si="1"/>
        <v>22187.635211308803</v>
      </c>
    </row>
    <row r="40" spans="1:43" ht="15.75" thickBot="1" x14ac:dyDescent="0.3">
      <c r="A40" s="47" t="s">
        <v>174</v>
      </c>
      <c r="B40" s="32">
        <f>Projection!$AD$30</f>
        <v>0.80583665399999982</v>
      </c>
      <c r="C40" s="33">
        <f>Projection!$AD$28</f>
        <v>1.0959093599999998</v>
      </c>
      <c r="D40" s="33">
        <f>Projection!$AD$31</f>
        <v>2.1834120000000001</v>
      </c>
      <c r="E40" s="33">
        <f>Projection!$AD$26</f>
        <v>4.3368000000000002</v>
      </c>
      <c r="F40" s="33">
        <f>Projection!$AC$23</f>
        <v>5.8379999999999994E-2</v>
      </c>
      <c r="G40" s="33">
        <f>Projection!$AD$24</f>
        <v>5.5119999999999995E-2</v>
      </c>
      <c r="H40" s="34">
        <f>Projection!$AD$29</f>
        <v>3.4361216999999997</v>
      </c>
      <c r="I40" s="32">
        <f>Projection!$AD$30</f>
        <v>0.80583665399999982</v>
      </c>
      <c r="J40" s="33">
        <f>Projection!$AD$28</f>
        <v>1.0959093599999998</v>
      </c>
      <c r="K40" s="33">
        <f>Projection!$AD$26</f>
        <v>4.3368000000000002</v>
      </c>
      <c r="L40" s="33">
        <f>Projection!$AD$25</f>
        <v>0</v>
      </c>
      <c r="M40" s="33">
        <f>Projection!$AC$23</f>
        <v>5.8379999999999994E-2</v>
      </c>
      <c r="N40" s="34">
        <f>Projection!$AC$23</f>
        <v>5.8379999999999994E-2</v>
      </c>
      <c r="O40" s="266">
        <v>15.77</v>
      </c>
      <c r="P40" s="267">
        <v>15.77</v>
      </c>
      <c r="Q40" s="267">
        <v>15.77</v>
      </c>
      <c r="R40" s="267">
        <v>15.77</v>
      </c>
      <c r="S40" s="267">
        <f>Projection!$AD$28</f>
        <v>1.0959093599999998</v>
      </c>
      <c r="T40" s="268">
        <f>Projection!$AD$28</f>
        <v>1.0959093599999998</v>
      </c>
      <c r="U40" s="266">
        <f>Projection!$AD$27</f>
        <v>0.21934999999999999</v>
      </c>
      <c r="V40" s="267">
        <f>Projection!$AD$27</f>
        <v>0.21934999999999999</v>
      </c>
      <c r="W40" s="267">
        <f>Projection!$AD$22</f>
        <v>1.1625000000000001</v>
      </c>
      <c r="X40" s="267">
        <f>Projection!$AD$22</f>
        <v>1.1625000000000001</v>
      </c>
      <c r="Y40" s="267">
        <f>Projection!$AD$31</f>
        <v>2.1834120000000001</v>
      </c>
      <c r="Z40" s="267">
        <f>Projection!$AD$31</f>
        <v>2.1834120000000001</v>
      </c>
      <c r="AA40" s="273">
        <v>0</v>
      </c>
      <c r="AB40" s="276">
        <f>Projection!$AD$27</f>
        <v>0.21934999999999999</v>
      </c>
      <c r="AC40" s="276">
        <f>Projection!$AD$30</f>
        <v>0.80583665399999982</v>
      </c>
      <c r="AD40" s="279">
        <f>SUM(AD8:AD38)</f>
        <v>406.45868518749865</v>
      </c>
      <c r="AE40" s="279">
        <f>SUM(AE8:AE38)</f>
        <v>312.70863288141959</v>
      </c>
      <c r="AF40" s="279">
        <f>SUM(AF8:AF38)</f>
        <v>88.365280981775527</v>
      </c>
      <c r="AG40" s="279">
        <f>IF(SUM(AE40:AF40)&gt;0, AE40/(AE40+AF40), "")</f>
        <v>0.77967831382841668</v>
      </c>
      <c r="AH40" s="315">
        <v>6.2E-2</v>
      </c>
      <c r="AI40" s="315">
        <f t="shared" ref="AI40:AQ40" si="2">$AH$40</f>
        <v>6.2E-2</v>
      </c>
      <c r="AJ40" s="315">
        <f t="shared" si="2"/>
        <v>6.2E-2</v>
      </c>
      <c r="AK40" s="315">
        <f t="shared" si="2"/>
        <v>6.2E-2</v>
      </c>
      <c r="AL40" s="315">
        <f t="shared" si="2"/>
        <v>6.2E-2</v>
      </c>
      <c r="AM40" s="315">
        <f t="shared" si="2"/>
        <v>6.2E-2</v>
      </c>
      <c r="AN40" s="315">
        <f t="shared" si="2"/>
        <v>6.2E-2</v>
      </c>
      <c r="AO40" s="315">
        <f t="shared" si="2"/>
        <v>6.2E-2</v>
      </c>
      <c r="AP40" s="315">
        <f t="shared" si="2"/>
        <v>6.2E-2</v>
      </c>
      <c r="AQ40" s="315">
        <f t="shared" si="2"/>
        <v>6.2E-2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1367.7203392548056</v>
      </c>
      <c r="D41" s="36">
        <f t="shared" si="3"/>
        <v>32177.009716393957</v>
      </c>
      <c r="E41" s="36">
        <f t="shared" si="3"/>
        <v>939.29391165329798</v>
      </c>
      <c r="F41" s="36">
        <f t="shared" si="3"/>
        <v>0</v>
      </c>
      <c r="G41" s="36">
        <f t="shared" si="3"/>
        <v>1649.563148573772</v>
      </c>
      <c r="H41" s="37">
        <f t="shared" si="3"/>
        <v>3099.6921526024266</v>
      </c>
      <c r="I41" s="35">
        <f t="shared" si="3"/>
        <v>6483.6731446040394</v>
      </c>
      <c r="J41" s="36">
        <f t="shared" si="3"/>
        <v>18030.002463392029</v>
      </c>
      <c r="K41" s="36">
        <f t="shared" si="3"/>
        <v>3917.4572120183484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2388.4361146108522</v>
      </c>
      <c r="V41" s="270">
        <f t="shared" si="3"/>
        <v>628.67262395533635</v>
      </c>
      <c r="W41" s="270">
        <f t="shared" si="3"/>
        <v>900.02300771433829</v>
      </c>
      <c r="X41" s="270">
        <f t="shared" si="3"/>
        <v>255.62734719198122</v>
      </c>
      <c r="Y41" s="270">
        <f t="shared" si="3"/>
        <v>13150.750785724238</v>
      </c>
      <c r="Z41" s="270">
        <f t="shared" si="3"/>
        <v>3778.4007495581304</v>
      </c>
      <c r="AA41" s="274">
        <f t="shared" si="3"/>
        <v>0</v>
      </c>
      <c r="AB41" s="277">
        <f t="shared" si="3"/>
        <v>156.01816014906427</v>
      </c>
      <c r="AC41" s="277">
        <f t="shared" si="3"/>
        <v>0</v>
      </c>
      <c r="AH41" s="280">
        <f t="shared" ref="AH41:AQ41" si="4">AH40*AH39</f>
        <v>524.25138316230777</v>
      </c>
      <c r="AI41" s="280">
        <f t="shared" si="4"/>
        <v>1973.3581724548342</v>
      </c>
      <c r="AJ41" s="280">
        <f t="shared" si="4"/>
        <v>5837.085614355723</v>
      </c>
      <c r="AK41" s="280">
        <f t="shared" si="4"/>
        <v>1267.5163942185084</v>
      </c>
      <c r="AL41" s="280">
        <f t="shared" si="4"/>
        <v>5294.6583705041239</v>
      </c>
      <c r="AM41" s="280">
        <f t="shared" si="4"/>
        <v>5317.1018229688025</v>
      </c>
      <c r="AN41" s="280">
        <f t="shared" si="4"/>
        <v>1389.8115890032452</v>
      </c>
      <c r="AO41" s="280">
        <f t="shared" si="4"/>
        <v>3543.1995426077524</v>
      </c>
      <c r="AP41" s="280">
        <f t="shared" si="4"/>
        <v>649.0050320419947</v>
      </c>
      <c r="AQ41" s="280">
        <f t="shared" si="4"/>
        <v>1375.6333831011457</v>
      </c>
    </row>
    <row r="42" spans="1:43" ht="49.5" customHeight="1" thickTop="1" thickBot="1" x14ac:dyDescent="0.3">
      <c r="A42" s="564" t="s">
        <v>210</v>
      </c>
      <c r="B42" s="565"/>
      <c r="C42" s="565"/>
      <c r="D42" s="565"/>
      <c r="E42" s="565"/>
      <c r="F42" s="565"/>
      <c r="G42" s="565"/>
      <c r="H42" s="565"/>
      <c r="I42" s="565"/>
      <c r="J42" s="565"/>
      <c r="K42" s="54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1139.23</v>
      </c>
      <c r="AI42" s="280" t="s">
        <v>199</v>
      </c>
      <c r="AJ42" s="280">
        <v>1161.1400000000001</v>
      </c>
      <c r="AK42" s="280">
        <v>3691.01</v>
      </c>
      <c r="AL42" s="280">
        <v>874.36</v>
      </c>
      <c r="AM42" s="280">
        <v>7866.56</v>
      </c>
      <c r="AN42" s="280">
        <v>2964.41</v>
      </c>
      <c r="AO42" s="280" t="s">
        <v>199</v>
      </c>
      <c r="AP42" s="280">
        <v>264.86</v>
      </c>
      <c r="AQ42" s="280">
        <v>264.86</v>
      </c>
    </row>
    <row r="43" spans="1:43" ht="38.25" customHeight="1" thickTop="1" thickBot="1" x14ac:dyDescent="0.3">
      <c r="A43" s="552" t="s">
        <v>49</v>
      </c>
      <c r="B43" s="548"/>
      <c r="C43" s="291"/>
      <c r="D43" s="548" t="s">
        <v>47</v>
      </c>
      <c r="E43" s="548"/>
      <c r="F43" s="291"/>
      <c r="G43" s="548" t="s">
        <v>48</v>
      </c>
      <c r="H43" s="548"/>
      <c r="I43" s="292"/>
      <c r="J43" s="548" t="s">
        <v>50</v>
      </c>
      <c r="K43" s="549"/>
      <c r="L43" s="44"/>
      <c r="M43" s="44"/>
      <c r="N43" s="44"/>
      <c r="O43" s="45"/>
      <c r="P43" s="45"/>
      <c r="Q43" s="45"/>
      <c r="R43" s="558" t="s">
        <v>168</v>
      </c>
      <c r="S43" s="559"/>
      <c r="T43" s="559"/>
      <c r="U43" s="560"/>
      <c r="AC43" s="45"/>
    </row>
    <row r="44" spans="1:43" ht="24.75" thickTop="1" thickBot="1" x14ac:dyDescent="0.3">
      <c r="A44" s="284" t="s">
        <v>135</v>
      </c>
      <c r="B44" s="285">
        <f>SUM(B41:AC41)</f>
        <v>88922.340877396608</v>
      </c>
      <c r="C44" s="12"/>
      <c r="D44" s="284" t="s">
        <v>135</v>
      </c>
      <c r="E44" s="285">
        <f>SUM(B41:H41)+P41+R41+T41+V41+X41+Z41</f>
        <v>43895.979989183696</v>
      </c>
      <c r="F44" s="12"/>
      <c r="G44" s="284" t="s">
        <v>135</v>
      </c>
      <c r="H44" s="285">
        <f>SUM(I41:N41)+O41+Q41+S41+U41+W41+Y41</f>
        <v>44870.342728063843</v>
      </c>
      <c r="I44" s="12"/>
      <c r="J44" s="284" t="s">
        <v>200</v>
      </c>
      <c r="K44" s="285">
        <v>109094.19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27171.621304418437</v>
      </c>
      <c r="C45" s="12"/>
      <c r="D45" s="286" t="s">
        <v>185</v>
      </c>
      <c r="E45" s="287">
        <f>AH41*(1-$AG$40)+AI41+AJ41*0.5+AL41+AM41*(1-$AG$40)+AN41*(1-$AG$40)+AO41*(1-$AG$40)+AP41*0.5+AQ41*0.5</f>
        <v>13572.704676026708</v>
      </c>
      <c r="F45" s="24"/>
      <c r="G45" s="286" t="s">
        <v>185</v>
      </c>
      <c r="H45" s="287">
        <f>AH41*AG40+AJ41*0.5+AK41+AM41*AG40+AN41*AG40+AO41*AG40+AP41*0.5+AQ41*0.5</f>
        <v>13598.916628391733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994.10783217747905</v>
      </c>
      <c r="U45" s="258">
        <f>(T45*8.34*0.895)/27000</f>
        <v>0.27482663302675397</v>
      </c>
    </row>
    <row r="46" spans="1:43" ht="32.25" thickBot="1" x14ac:dyDescent="0.3">
      <c r="A46" s="288" t="s">
        <v>186</v>
      </c>
      <c r="B46" s="289">
        <f>SUM(AH42:AQ42)</f>
        <v>18226.43</v>
      </c>
      <c r="C46" s="12"/>
      <c r="D46" s="288" t="s">
        <v>186</v>
      </c>
      <c r="E46" s="289">
        <f>AH42*(1-$AG$40)+AJ42*0.5+AL42+AM42*(1-$AG$40)+AN42*(1-$AG$40)+AP42*0.5+AQ42*0.5</f>
        <v>4357.0846478110871</v>
      </c>
      <c r="F46" s="23"/>
      <c r="G46" s="288" t="s">
        <v>186</v>
      </c>
      <c r="H46" s="289">
        <f>AH42*AG40+AJ42*0.5+AK42+AM42*AG40+AN42*AG40+AP42*0.5+AQ42*0.5</f>
        <v>13869.345352188913</v>
      </c>
      <c r="I46" s="12"/>
      <c r="J46" s="550" t="s">
        <v>201</v>
      </c>
      <c r="K46" s="551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109094.19</v>
      </c>
      <c r="C47" s="12"/>
      <c r="D47" s="288" t="s">
        <v>189</v>
      </c>
      <c r="E47" s="289">
        <f>K44*0.5</f>
        <v>54547.095000000001</v>
      </c>
      <c r="F47" s="24"/>
      <c r="G47" s="288" t="s">
        <v>187</v>
      </c>
      <c r="H47" s="289">
        <f>K44*0.5</f>
        <v>54547.095000000001</v>
      </c>
      <c r="I47" s="12"/>
      <c r="J47" s="284" t="s">
        <v>200</v>
      </c>
      <c r="K47" s="285">
        <v>17635.46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29926.762492267273</v>
      </c>
      <c r="U47" s="258">
        <f>T47/40000</f>
        <v>0.74816906230668179</v>
      </c>
    </row>
    <row r="48" spans="1:43" ht="24" thickBot="1" x14ac:dyDescent="0.3">
      <c r="A48" s="288" t="s">
        <v>188</v>
      </c>
      <c r="B48" s="289">
        <f>K47</f>
        <v>17635.46</v>
      </c>
      <c r="C48" s="12"/>
      <c r="D48" s="288" t="s">
        <v>188</v>
      </c>
      <c r="E48" s="289">
        <f>K47*0.5</f>
        <v>8817.73</v>
      </c>
      <c r="F48" s="23"/>
      <c r="G48" s="288" t="s">
        <v>188</v>
      </c>
      <c r="H48" s="289">
        <f>K47*0.5</f>
        <v>8817.73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0.17861830329894851</v>
      </c>
      <c r="U48" s="258">
        <f>T48*9.34*0.107</f>
        <v>0.17850755995090317</v>
      </c>
    </row>
    <row r="49" spans="1:25" ht="48" thickTop="1" thickBot="1" x14ac:dyDescent="0.3">
      <c r="A49" s="293" t="s">
        <v>196</v>
      </c>
      <c r="B49" s="294">
        <f>AD40</f>
        <v>406.45868518749865</v>
      </c>
      <c r="C49" s="12"/>
      <c r="D49" s="293" t="s">
        <v>197</v>
      </c>
      <c r="E49" s="294">
        <f>AF40</f>
        <v>88.365280981775527</v>
      </c>
      <c r="F49" s="23"/>
      <c r="G49" s="293" t="s">
        <v>198</v>
      </c>
      <c r="H49" s="294">
        <f>AE40</f>
        <v>312.70863288141959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1119.8928066020212</v>
      </c>
      <c r="U49" s="258">
        <f>(T49*8.34*1.04)/45000</f>
        <v>0.21585560549651761</v>
      </c>
    </row>
    <row r="50" spans="1:25" ht="48" thickTop="1" thickBot="1" x14ac:dyDescent="0.3">
      <c r="A50" s="293" t="s">
        <v>192</v>
      </c>
      <c r="B50" s="295">
        <f>(SUM(B44:B48)/AD40)</f>
        <v>642.25480152156956</v>
      </c>
      <c r="C50" s="12"/>
      <c r="D50" s="293" t="s">
        <v>190</v>
      </c>
      <c r="E50" s="295">
        <f>SUM(E44:E48)/AF40</f>
        <v>1416.7396167601257</v>
      </c>
      <c r="F50" s="23"/>
      <c r="G50" s="293" t="s">
        <v>191</v>
      </c>
      <c r="H50" s="295">
        <f>SUM(H44:H48)/AE40</f>
        <v>433.9612515913617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14466.044671599057</v>
      </c>
      <c r="U50" s="258">
        <f>T50/2000/8</f>
        <v>0.90412779197494109</v>
      </c>
    </row>
    <row r="51" spans="1:25" ht="48" thickTop="1" thickBot="1" x14ac:dyDescent="0.3">
      <c r="A51" s="283" t="s">
        <v>193</v>
      </c>
      <c r="B51" s="296">
        <f>B50/1000</f>
        <v>0.64225480152156955</v>
      </c>
      <c r="C51" s="12"/>
      <c r="D51" s="283" t="s">
        <v>194</v>
      </c>
      <c r="E51" s="296">
        <f>E50/1000</f>
        <v>1.4167396167601258</v>
      </c>
      <c r="F51" s="12"/>
      <c r="G51" s="283" t="s">
        <v>195</v>
      </c>
      <c r="H51" s="296">
        <f>H50/1000</f>
        <v>0.43396125159136167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17700.116004709402</v>
      </c>
      <c r="U51" s="258">
        <f>(T51*8.34*1.4)/45000</f>
        <v>4.5925900993552657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902.09032834967013</v>
      </c>
      <c r="U52" s="258">
        <f>(T52*8.34*1.135)/45000</f>
        <v>0.18975770753611429</v>
      </c>
    </row>
    <row r="53" spans="1:25" ht="33" thickTop="1" thickBot="1" x14ac:dyDescent="0.3">
      <c r="A53" s="561" t="s">
        <v>51</v>
      </c>
      <c r="B53" s="562"/>
      <c r="C53" s="562"/>
      <c r="D53" s="562"/>
      <c r="E53" s="563"/>
      <c r="F53" s="12"/>
      <c r="G53" s="12"/>
      <c r="H53" s="373">
        <f>H44/H49</f>
        <v>143.48929965447695</v>
      </c>
      <c r="I53" s="12">
        <f>E44/E49</f>
        <v>496.75596004992968</v>
      </c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8045.8900850693262</v>
      </c>
      <c r="U53" s="258">
        <f>(T53*8.34*1.029*0.03)/3300</f>
        <v>0.62771547532230054</v>
      </c>
    </row>
    <row r="54" spans="1:25" ht="54.75" customHeight="1" thickBot="1" x14ac:dyDescent="0.3">
      <c r="A54" s="545" t="s">
        <v>202</v>
      </c>
      <c r="B54" s="546"/>
      <c r="C54" s="546"/>
      <c r="D54" s="546"/>
      <c r="E54" s="54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5" t="s">
        <v>158</v>
      </c>
      <c r="S54" s="599"/>
      <c r="T54" s="329">
        <f>$D$39+$Y$39+$Z$39</f>
        <v>22490.561218714713</v>
      </c>
      <c r="U54" s="330">
        <f>(T54*1.54*8.34)/45000</f>
        <v>6.4191060459707634</v>
      </c>
      <c r="V54" s="328"/>
      <c r="W54" s="12"/>
      <c r="X54" s="12"/>
      <c r="Y54" s="12"/>
    </row>
    <row r="55" spans="1:25" ht="15.75" thickTop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32"/>
      <c r="T55" s="557"/>
      <c r="U55" s="557"/>
      <c r="V55" s="326"/>
      <c r="W55" s="327"/>
      <c r="X55" s="325"/>
      <c r="Y55" s="325"/>
    </row>
    <row r="56" spans="1:25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5"/>
      <c r="T56" s="598"/>
      <c r="U56" s="598"/>
      <c r="V56" s="326"/>
      <c r="W56" s="327"/>
      <c r="X56" s="325"/>
      <c r="Y56" s="325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5"/>
      <c r="T57" s="598"/>
      <c r="U57" s="598"/>
      <c r="V57" s="326"/>
      <c r="W57" s="327"/>
      <c r="X57" s="325"/>
      <c r="Y57" s="325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5"/>
      <c r="T58" s="598"/>
      <c r="U58" s="598"/>
      <c r="V58" s="326"/>
      <c r="W58" s="327"/>
      <c r="X58" s="325"/>
      <c r="Y58" s="325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5"/>
      <c r="T59" s="598"/>
      <c r="U59" s="598"/>
      <c r="V59" s="326"/>
      <c r="W59" s="327"/>
      <c r="X59" s="325"/>
      <c r="Y59" s="325"/>
    </row>
    <row r="60" spans="1:25" x14ac:dyDescent="0.25">
      <c r="S60" s="325"/>
      <c r="T60" s="598"/>
      <c r="U60" s="598"/>
      <c r="V60" s="326"/>
      <c r="W60" s="327"/>
      <c r="X60" s="325"/>
      <c r="Y60" s="325"/>
    </row>
    <row r="61" spans="1:25" x14ac:dyDescent="0.25">
      <c r="S61" s="325"/>
      <c r="T61" s="598"/>
      <c r="U61" s="598"/>
      <c r="V61" s="326"/>
      <c r="W61" s="327"/>
      <c r="X61" s="325"/>
      <c r="Y61" s="325"/>
    </row>
    <row r="62" spans="1:25" x14ac:dyDescent="0.25">
      <c r="S62" s="325"/>
      <c r="T62" s="598"/>
      <c r="U62" s="598"/>
      <c r="V62" s="326"/>
      <c r="W62" s="327"/>
      <c r="X62" s="325"/>
      <c r="Y62" s="325"/>
    </row>
    <row r="63" spans="1:25" x14ac:dyDescent="0.25">
      <c r="S63" s="325"/>
      <c r="T63" s="325"/>
      <c r="U63" s="325"/>
      <c r="V63" s="325"/>
      <c r="W63" s="325"/>
      <c r="X63" s="325"/>
      <c r="Y63" s="325"/>
    </row>
    <row r="64" spans="1:25" x14ac:dyDescent="0.25">
      <c r="S64" s="325"/>
      <c r="T64" s="325"/>
      <c r="U64" s="325"/>
      <c r="V64" s="325"/>
      <c r="W64" s="325"/>
      <c r="X64" s="325"/>
      <c r="Y64" s="325"/>
    </row>
    <row r="65" spans="19:25" x14ac:dyDescent="0.25">
      <c r="S65" s="325"/>
      <c r="T65" s="325"/>
      <c r="U65" s="325"/>
      <c r="V65" s="325"/>
      <c r="W65" s="325"/>
      <c r="X65" s="325"/>
      <c r="Y65" s="325"/>
    </row>
  </sheetData>
  <sheetProtection algorithmName="SHA-512" hashValue="oJsjbGW43iNwWxEmvXmajQEANylBNMs+8Stxmfw1c/qBgASBiNX365ReTzXI8bx2NMVPFrfaNclH3m20lpi9Xg==" saltValue="+Zmz8sct0a1PF7RDJQmzYA==" spinCount="100000" sheet="1" objects="1" scenarios="1" selectLockedCells="1" selectUnlockedCells="1"/>
  <mergeCells count="38"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T61:U61"/>
    <mergeCell ref="T62:U62"/>
    <mergeCell ref="T56:U56"/>
    <mergeCell ref="T57:U57"/>
    <mergeCell ref="T58:U58"/>
    <mergeCell ref="T59:U59"/>
    <mergeCell ref="T60:U60"/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</mergeCells>
  <pageMargins left="0.33" right="0.19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zoomScale="80" zoomScaleNormal="80" workbookViewId="0">
      <selection activeCell="L57" sqref="L57"/>
    </sheetView>
  </sheetViews>
  <sheetFormatPr defaultRowHeight="15" x14ac:dyDescent="0.25"/>
  <cols>
    <col min="1" max="1" width="10.140625" customWidth="1"/>
    <col min="2" max="2" width="25.5703125" bestFit="1" customWidth="1"/>
    <col min="3" max="3" width="9.85546875" bestFit="1" customWidth="1"/>
    <col min="4" max="4" width="11.42578125" customWidth="1"/>
    <col min="5" max="5" width="9.85546875" bestFit="1" customWidth="1"/>
    <col min="6" max="9" width="8.7109375" customWidth="1"/>
    <col min="10" max="11" width="9.28515625" bestFit="1" customWidth="1"/>
    <col min="12" max="25" width="8.7109375" customWidth="1"/>
    <col min="26" max="26" width="9.28515625" bestFit="1" customWidth="1"/>
    <col min="27" max="34" width="8.7109375" customWidth="1"/>
  </cols>
  <sheetData>
    <row r="1" spans="1:34" ht="28.5" customHeight="1" thickTop="1" thickBot="1" x14ac:dyDescent="0.3">
      <c r="A1" s="416">
        <v>2014</v>
      </c>
      <c r="B1" s="417"/>
      <c r="C1" s="381" t="s">
        <v>89</v>
      </c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3"/>
      <c r="W1" s="383"/>
      <c r="X1" s="383"/>
      <c r="Y1" s="383"/>
      <c r="Z1" s="383"/>
      <c r="AA1" s="383"/>
      <c r="AB1" s="383"/>
      <c r="AC1" s="382"/>
      <c r="AD1" s="382"/>
      <c r="AE1" s="382"/>
      <c r="AF1" s="382"/>
      <c r="AG1" s="382"/>
      <c r="AH1" s="384"/>
    </row>
    <row r="2" spans="1:34" ht="28.5" customHeight="1" thickTop="1" thickBot="1" x14ac:dyDescent="0.3">
      <c r="A2" s="385"/>
      <c r="B2" s="386"/>
      <c r="C2" s="392" t="s">
        <v>66</v>
      </c>
      <c r="D2" s="393"/>
      <c r="E2" s="393"/>
      <c r="F2" s="393"/>
      <c r="G2" s="393"/>
      <c r="H2" s="393"/>
      <c r="I2" s="394"/>
      <c r="J2" s="395" t="s">
        <v>71</v>
      </c>
      <c r="K2" s="396"/>
      <c r="L2" s="396"/>
      <c r="M2" s="396"/>
      <c r="N2" s="396"/>
      <c r="O2" s="397"/>
      <c r="P2" s="398" t="s">
        <v>73</v>
      </c>
      <c r="Q2" s="399"/>
      <c r="R2" s="399"/>
      <c r="S2" s="399"/>
      <c r="T2" s="399"/>
      <c r="U2" s="400"/>
      <c r="V2" s="401" t="s">
        <v>82</v>
      </c>
      <c r="W2" s="402"/>
      <c r="X2" s="402"/>
      <c r="Y2" s="402"/>
      <c r="Z2" s="402"/>
      <c r="AA2" s="402"/>
      <c r="AB2" s="403"/>
      <c r="AC2" s="404" t="s">
        <v>83</v>
      </c>
      <c r="AD2" s="405"/>
      <c r="AE2" s="389" t="s">
        <v>85</v>
      </c>
      <c r="AF2" s="390"/>
      <c r="AG2" s="390"/>
      <c r="AH2" s="391"/>
    </row>
    <row r="3" spans="1:34" ht="119.25" customHeight="1" thickBot="1" x14ac:dyDescent="0.3">
      <c r="A3" s="387"/>
      <c r="B3" s="388"/>
      <c r="C3" s="228" t="s">
        <v>67</v>
      </c>
      <c r="D3" s="228" t="s">
        <v>68</v>
      </c>
      <c r="E3" s="228" t="s">
        <v>11</v>
      </c>
      <c r="F3" s="228" t="s">
        <v>12</v>
      </c>
      <c r="G3" s="228" t="s">
        <v>13</v>
      </c>
      <c r="H3" s="228" t="s">
        <v>69</v>
      </c>
      <c r="I3" s="229" t="s">
        <v>70</v>
      </c>
      <c r="J3" s="230" t="s">
        <v>67</v>
      </c>
      <c r="K3" s="230" t="s">
        <v>72</v>
      </c>
      <c r="L3" s="231" t="s">
        <v>17</v>
      </c>
      <c r="M3" s="230" t="s">
        <v>18</v>
      </c>
      <c r="N3" s="230" t="s">
        <v>19</v>
      </c>
      <c r="O3" s="230" t="s">
        <v>13</v>
      </c>
      <c r="P3" s="232" t="s">
        <v>35</v>
      </c>
      <c r="Q3" s="233" t="s">
        <v>36</v>
      </c>
      <c r="R3" s="232" t="s">
        <v>74</v>
      </c>
      <c r="S3" s="232" t="s">
        <v>75</v>
      </c>
      <c r="T3" s="232" t="s">
        <v>76</v>
      </c>
      <c r="U3" s="232" t="s">
        <v>77</v>
      </c>
      <c r="V3" s="234" t="s">
        <v>78</v>
      </c>
      <c r="W3" s="234" t="s">
        <v>79</v>
      </c>
      <c r="X3" s="234" t="s">
        <v>80</v>
      </c>
      <c r="Y3" s="234" t="s">
        <v>81</v>
      </c>
      <c r="Z3" s="234" t="s">
        <v>45</v>
      </c>
      <c r="AA3" s="234" t="s">
        <v>46</v>
      </c>
      <c r="AB3" s="234" t="s">
        <v>20</v>
      </c>
      <c r="AC3" s="235" t="s">
        <v>7</v>
      </c>
      <c r="AD3" s="236" t="s">
        <v>84</v>
      </c>
      <c r="AE3" s="237" t="s">
        <v>27</v>
      </c>
      <c r="AF3" s="237" t="s">
        <v>31</v>
      </c>
      <c r="AG3" s="237" t="s">
        <v>32</v>
      </c>
      <c r="AH3" s="238" t="s">
        <v>33</v>
      </c>
    </row>
    <row r="4" spans="1:34" ht="15.75" customHeight="1" thickTop="1" x14ac:dyDescent="0.25">
      <c r="A4" s="413" t="s">
        <v>86</v>
      </c>
      <c r="B4" s="89" t="s">
        <v>52</v>
      </c>
      <c r="C4" s="101">
        <f>JANUARY!B39</f>
        <v>0</v>
      </c>
      <c r="D4" s="101">
        <f>JANUARY!C39</f>
        <v>0</v>
      </c>
      <c r="E4" s="101">
        <f>JANUARY!D39</f>
        <v>0</v>
      </c>
      <c r="F4" s="101">
        <f>JANUARY!E39</f>
        <v>0</v>
      </c>
      <c r="G4" s="101">
        <f>JANUARY!F39</f>
        <v>0</v>
      </c>
      <c r="H4" s="101">
        <f>JANUARY!G39</f>
        <v>0</v>
      </c>
      <c r="I4" s="101">
        <f>JANUARY!H39</f>
        <v>0</v>
      </c>
      <c r="J4" s="101">
        <f>JANUARY!I39</f>
        <v>7498.5231674075021</v>
      </c>
      <c r="K4" s="101">
        <f>JANUARY!J39</f>
        <v>24160.948725414277</v>
      </c>
      <c r="L4" s="239">
        <f>JANUARY!K39</f>
        <v>802.44167892634891</v>
      </c>
      <c r="M4" s="101">
        <f>JANUARY!L39</f>
        <v>0</v>
      </c>
      <c r="N4" s="101">
        <f>JANUARY!M39</f>
        <v>0</v>
      </c>
      <c r="O4" s="101">
        <f>JANUARY!N39</f>
        <v>0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10593.984792230392</v>
      </c>
      <c r="W4" s="101">
        <f>JANUARY!V39</f>
        <v>0</v>
      </c>
      <c r="X4" s="101">
        <f>JANUARY!W39</f>
        <v>946.90202129522936</v>
      </c>
      <c r="Y4" s="101">
        <f>JANUARY!X39</f>
        <v>0</v>
      </c>
      <c r="Z4" s="101">
        <f>JANUARY!Y39</f>
        <v>7488.340029134748</v>
      </c>
      <c r="AA4" s="101">
        <f>JANUARY!Z39</f>
        <v>0</v>
      </c>
      <c r="AB4" s="101">
        <f>JANUARY!AA39</f>
        <v>0</v>
      </c>
      <c r="AC4" s="102">
        <f>JANUARY!AB39</f>
        <v>0</v>
      </c>
      <c r="AD4" s="102">
        <f>JANUARY!AC39</f>
        <v>0</v>
      </c>
      <c r="AE4" s="240">
        <f>JANUARY!AD40</f>
        <v>393.51495193574158</v>
      </c>
      <c r="AF4" s="240">
        <f>JANUARY!AE40</f>
        <v>388.50555896736313</v>
      </c>
      <c r="AG4" s="240">
        <f>JANUARY!AF40</f>
        <v>0</v>
      </c>
      <c r="AH4" s="241">
        <f>JANUARY!AG40</f>
        <v>1</v>
      </c>
    </row>
    <row r="5" spans="1:34" ht="15.75" customHeight="1" x14ac:dyDescent="0.25">
      <c r="A5" s="414"/>
      <c r="B5" s="90" t="s">
        <v>53</v>
      </c>
      <c r="C5" s="103">
        <f>FEBRUARY!B39</f>
        <v>0</v>
      </c>
      <c r="D5" s="103">
        <f>FEBRUARY!C39</f>
        <v>0</v>
      </c>
      <c r="E5" s="103">
        <f>FEBRUARY!D39</f>
        <v>0</v>
      </c>
      <c r="F5" s="103">
        <f>FEBRUARY!E39</f>
        <v>0</v>
      </c>
      <c r="G5" s="103">
        <f>FEBRUARY!F39</f>
        <v>0</v>
      </c>
      <c r="H5" s="103">
        <f>FEBRUARY!G39</f>
        <v>0</v>
      </c>
      <c r="I5" s="103">
        <f>FEBRUARY!H39</f>
        <v>0</v>
      </c>
      <c r="J5" s="103">
        <f>FEBRUARY!I39</f>
        <v>8281.4798326373111</v>
      </c>
      <c r="K5" s="103">
        <f>FEBRUARY!J39</f>
        <v>19184.026447550481</v>
      </c>
      <c r="L5" s="104">
        <f>FEBRUARY!K39</f>
        <v>785.53341475327625</v>
      </c>
      <c r="M5" s="103">
        <f>FEBRUARY!L39</f>
        <v>0</v>
      </c>
      <c r="N5" s="103">
        <f>FEBRUARY!M39</f>
        <v>0</v>
      </c>
      <c r="O5" s="103">
        <f>FEBRUARY!N39</f>
        <v>0</v>
      </c>
      <c r="P5" s="103">
        <f>FEBRUARY!O39</f>
        <v>0</v>
      </c>
      <c r="Q5" s="103">
        <f>FEBRUARY!P39</f>
        <v>0</v>
      </c>
      <c r="R5" s="103">
        <f>FEBRUARY!Q39</f>
        <v>0</v>
      </c>
      <c r="S5" s="103">
        <f>FEBRUARY!R39</f>
        <v>0</v>
      </c>
      <c r="T5" s="103">
        <f>FEBRUARY!S39</f>
        <v>0</v>
      </c>
      <c r="U5" s="103">
        <f>FEBRUARY!T39</f>
        <v>0</v>
      </c>
      <c r="V5" s="103">
        <f>FEBRUARY!U39</f>
        <v>9253.723713039828</v>
      </c>
      <c r="W5" s="103">
        <f>FEBRUARY!V39</f>
        <v>0</v>
      </c>
      <c r="X5" s="103">
        <f>FEBRUARY!W39</f>
        <v>869.58138833840678</v>
      </c>
      <c r="Y5" s="103">
        <f>FEBRUARY!X39</f>
        <v>0</v>
      </c>
      <c r="Z5" s="103">
        <f>FEBRUARY!Y39</f>
        <v>5608.18138455391</v>
      </c>
      <c r="AA5" s="103">
        <f>FEBRUARY!Z39</f>
        <v>0</v>
      </c>
      <c r="AB5" s="103">
        <f>FEBRUARY!AA39</f>
        <v>0</v>
      </c>
      <c r="AC5" s="105">
        <f>FEBRUARY!AB39</f>
        <v>325.88344519668101</v>
      </c>
      <c r="AD5" s="105">
        <f>FEBRUARY!AC39</f>
        <v>0</v>
      </c>
      <c r="AE5" s="99">
        <f>FEBRUARY!AD40</f>
        <v>353.84240620136268</v>
      </c>
      <c r="AF5" s="99">
        <f>FEBRUARY!AE40</f>
        <v>349.06984315992565</v>
      </c>
      <c r="AG5" s="99">
        <f>FEBRUARY!AF40</f>
        <v>0</v>
      </c>
      <c r="AH5" s="91">
        <f>FEBRUARY!AG40</f>
        <v>1</v>
      </c>
    </row>
    <row r="6" spans="1:34" ht="15.75" customHeight="1" x14ac:dyDescent="0.25">
      <c r="A6" s="414"/>
      <c r="B6" s="90" t="s">
        <v>54</v>
      </c>
      <c r="C6" s="103">
        <f>MARCH!B39</f>
        <v>0</v>
      </c>
      <c r="D6" s="103">
        <f>MARCH!C39</f>
        <v>0</v>
      </c>
      <c r="E6" s="103">
        <f>MARCH!D39</f>
        <v>0</v>
      </c>
      <c r="F6" s="103">
        <f>MARCH!E39</f>
        <v>0</v>
      </c>
      <c r="G6" s="103">
        <f>MARCH!F39</f>
        <v>0</v>
      </c>
      <c r="H6" s="103">
        <f>MARCH!G39</f>
        <v>0</v>
      </c>
      <c r="I6" s="103">
        <f>MARCH!H39</f>
        <v>0</v>
      </c>
      <c r="J6" s="103">
        <f>MARCH!I39</f>
        <v>8814.8755107680918</v>
      </c>
      <c r="K6" s="103">
        <f>MARCH!J39</f>
        <v>18688.02814292907</v>
      </c>
      <c r="L6" s="104">
        <f>MARCH!K39</f>
        <v>745.72937071919443</v>
      </c>
      <c r="M6" s="103">
        <f>MARCH!L39</f>
        <v>0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8516.7144776153582</v>
      </c>
      <c r="W6" s="103">
        <f>MARCH!V39</f>
        <v>0</v>
      </c>
      <c r="X6" s="103">
        <f>MARCH!W39</f>
        <v>803.34804879665364</v>
      </c>
      <c r="Y6" s="103">
        <f>MARCH!X39</f>
        <v>0</v>
      </c>
      <c r="Z6" s="103">
        <f>MARCH!Y39</f>
        <v>5385.6375132846842</v>
      </c>
      <c r="AA6" s="103">
        <f>MARCH!Z39</f>
        <v>0</v>
      </c>
      <c r="AB6" s="103">
        <f>MARCH!AA39</f>
        <v>0</v>
      </c>
      <c r="AC6" s="105">
        <f>MARCH!AB39</f>
        <v>966.86282158823838</v>
      </c>
      <c r="AD6" s="105">
        <f>MARCH!AC39</f>
        <v>0</v>
      </c>
      <c r="AE6" s="99">
        <f>MARCH!AD40</f>
        <v>334.36924264364774</v>
      </c>
      <c r="AF6" s="99">
        <f>MARCH!AE40</f>
        <v>329.43498223930419</v>
      </c>
      <c r="AG6" s="99">
        <f>MARCH!AF40</f>
        <v>0</v>
      </c>
      <c r="AH6" s="91">
        <f>MARCH!AG40</f>
        <v>1</v>
      </c>
    </row>
    <row r="7" spans="1:34" ht="15.75" customHeight="1" x14ac:dyDescent="0.25">
      <c r="A7" s="414"/>
      <c r="B7" s="90" t="s">
        <v>55</v>
      </c>
      <c r="C7" s="103">
        <f>APRIL!B39</f>
        <v>0</v>
      </c>
      <c r="D7" s="103">
        <f>APRIL!C39</f>
        <v>21.047360928853344</v>
      </c>
      <c r="E7" s="103">
        <f>APRIL!D39</f>
        <v>0</v>
      </c>
      <c r="F7" s="103">
        <f>APRIL!E39</f>
        <v>0</v>
      </c>
      <c r="G7" s="103">
        <f>APRIL!F39</f>
        <v>0</v>
      </c>
      <c r="H7" s="103">
        <f>APRIL!G39</f>
        <v>0</v>
      </c>
      <c r="I7" s="103">
        <f>APRIL!H39</f>
        <v>0</v>
      </c>
      <c r="J7" s="103">
        <f>APRIL!I39</f>
        <v>9455.5989057223051</v>
      </c>
      <c r="K7" s="103">
        <f>APRIL!J39</f>
        <v>22952.090286095929</v>
      </c>
      <c r="L7" s="104">
        <f>APRIL!K39</f>
        <v>855.8870653748512</v>
      </c>
      <c r="M7" s="103">
        <f>APRIL!L39</f>
        <v>0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9660.9676825565784</v>
      </c>
      <c r="W7" s="103">
        <f>APRIL!V39</f>
        <v>0</v>
      </c>
      <c r="X7" s="103">
        <f>APRIL!W39</f>
        <v>885.50733347336438</v>
      </c>
      <c r="Y7" s="103">
        <f>APRIL!X39</f>
        <v>0</v>
      </c>
      <c r="Z7" s="103">
        <f>APRIL!Y39</f>
        <v>6299.849313969612</v>
      </c>
      <c r="AA7" s="103">
        <f>APRIL!Z39</f>
        <v>0</v>
      </c>
      <c r="AB7" s="103">
        <f>APRIL!AA39</f>
        <v>0</v>
      </c>
      <c r="AC7" s="105">
        <f>APRIL!AB39</f>
        <v>1054.2690169506557</v>
      </c>
      <c r="AD7" s="105">
        <f>APRIL!AC39</f>
        <v>0</v>
      </c>
      <c r="AE7" s="99">
        <f>APRIL!AD40</f>
        <v>385.08305573330983</v>
      </c>
      <c r="AF7" s="99">
        <f>APRIL!AE40</f>
        <v>380.19830347330031</v>
      </c>
      <c r="AG7" s="99">
        <f>APRIL!AF40</f>
        <v>0</v>
      </c>
      <c r="AH7" s="91">
        <f>APRIL!AG40</f>
        <v>1</v>
      </c>
    </row>
    <row r="8" spans="1:34" ht="15.75" customHeight="1" x14ac:dyDescent="0.25">
      <c r="A8" s="414"/>
      <c r="B8" s="90" t="s">
        <v>56</v>
      </c>
      <c r="C8" s="103">
        <f>MAY!B40</f>
        <v>0</v>
      </c>
      <c r="D8" s="103">
        <f>MAY!C40</f>
        <v>1057.737263645728</v>
      </c>
      <c r="E8" s="103">
        <f>MAY!D40</f>
        <v>8622.3224325001247</v>
      </c>
      <c r="F8" s="103">
        <f>MAY!E40</f>
        <v>199.84228109568369</v>
      </c>
      <c r="G8" s="103">
        <f>MAY!F40</f>
        <v>0</v>
      </c>
      <c r="H8" s="103">
        <f>MAY!G40</f>
        <v>22280.114677289337</v>
      </c>
      <c r="I8" s="103">
        <f>MAY!H40</f>
        <v>457.81392228702686</v>
      </c>
      <c r="J8" s="103">
        <f>MAY!I40</f>
        <v>11522.774788455168</v>
      </c>
      <c r="K8" s="103">
        <f>MAY!J40</f>
        <v>27660.958098856605</v>
      </c>
      <c r="L8" s="104">
        <f>MAY!K40</f>
        <v>1030.4888625860212</v>
      </c>
      <c r="M8" s="103">
        <f>MAY!L40</f>
        <v>0</v>
      </c>
      <c r="N8" s="103">
        <f>MAY!M40</f>
        <v>0</v>
      </c>
      <c r="O8" s="103">
        <f>MAY!N40</f>
        <v>0</v>
      </c>
      <c r="P8" s="103">
        <f>MAY!O40</f>
        <v>0</v>
      </c>
      <c r="Q8" s="103">
        <f>MAY!P40</f>
        <v>0</v>
      </c>
      <c r="R8" s="103">
        <f>MAY!Q40</f>
        <v>0</v>
      </c>
      <c r="S8" s="103">
        <f>MAY!R40</f>
        <v>0</v>
      </c>
      <c r="T8" s="103">
        <f>MAY!S40</f>
        <v>0</v>
      </c>
      <c r="U8" s="103">
        <f>MAY!T40</f>
        <v>0</v>
      </c>
      <c r="V8" s="103">
        <f>MAY!U40</f>
        <v>11220.178008735782</v>
      </c>
      <c r="W8" s="103">
        <f>MAY!V40</f>
        <v>1201.0627103071422</v>
      </c>
      <c r="X8" s="103">
        <f>MAY!W40</f>
        <v>1014.8454684542482</v>
      </c>
      <c r="Y8" s="103">
        <f>MAY!X40</f>
        <v>108.35017559460111</v>
      </c>
      <c r="Z8" s="103">
        <f>MAY!Y40</f>
        <v>7559.6814138551545</v>
      </c>
      <c r="AA8" s="103">
        <f>MAY!Z40</f>
        <v>821.3919259409098</v>
      </c>
      <c r="AB8" s="103">
        <f>MAY!AA40</f>
        <v>0</v>
      </c>
      <c r="AC8" s="105">
        <f>MAY!AB40</f>
        <v>1225.7377530694012</v>
      </c>
      <c r="AD8" s="105">
        <f>MAY!AC40</f>
        <v>0</v>
      </c>
      <c r="AE8" s="99">
        <f>MAY!AD41</f>
        <v>515.43960188329197</v>
      </c>
      <c r="AF8" s="99">
        <f>MAY!AE41</f>
        <v>457.77209877040571</v>
      </c>
      <c r="AG8" s="99">
        <f>MAY!AF41</f>
        <v>48.91134877231886</v>
      </c>
      <c r="AH8" s="91">
        <f>MAY!AG41</f>
        <v>0.90346764037877003</v>
      </c>
    </row>
    <row r="9" spans="1:34" ht="15.75" customHeight="1" x14ac:dyDescent="0.25">
      <c r="A9" s="414"/>
      <c r="B9" s="90" t="s">
        <v>57</v>
      </c>
      <c r="C9" s="103">
        <f>JUNE!B38</f>
        <v>0</v>
      </c>
      <c r="D9" s="103">
        <f>JUNE!C38</f>
        <v>942.05586908856992</v>
      </c>
      <c r="E9" s="103">
        <f>JUNE!D38</f>
        <v>8110.2017228484119</v>
      </c>
      <c r="F9" s="103">
        <f>JUNE!E38</f>
        <v>183.78419858515278</v>
      </c>
      <c r="G9" s="103">
        <f>JUNE!F38</f>
        <v>0</v>
      </c>
      <c r="H9" s="103">
        <f>JUNE!G38</f>
        <v>17116.38</v>
      </c>
      <c r="I9" s="103">
        <f>JUNE!H38</f>
        <v>563.25927208860674</v>
      </c>
      <c r="J9" s="103">
        <f>JUNE!I38</f>
        <v>15508.346782573059</v>
      </c>
      <c r="K9" s="103">
        <f>JUNE!J38</f>
        <v>30786.895272541045</v>
      </c>
      <c r="L9" s="104">
        <f>JUNE!K38</f>
        <v>1302.9771971662849</v>
      </c>
      <c r="M9" s="103">
        <f>JUNE!L38</f>
        <v>0</v>
      </c>
      <c r="N9" s="103">
        <f>JUNE!M38</f>
        <v>0</v>
      </c>
      <c r="O9" s="103">
        <f>JUNE!N38</f>
        <v>0</v>
      </c>
      <c r="P9" s="103">
        <f>JUNE!O38</f>
        <v>0</v>
      </c>
      <c r="Q9" s="103">
        <f>JUNE!P38</f>
        <v>0</v>
      </c>
      <c r="R9" s="103">
        <f>JUNE!Q38</f>
        <v>0</v>
      </c>
      <c r="S9" s="103">
        <f>JUNE!R38</f>
        <v>0</v>
      </c>
      <c r="T9" s="103">
        <f>JUNE!S38</f>
        <v>0</v>
      </c>
      <c r="U9" s="103">
        <f>JUNE!T38</f>
        <v>0</v>
      </c>
      <c r="V9" s="103">
        <f>JUNE!U38</f>
        <v>13676.526804404582</v>
      </c>
      <c r="W9" s="103">
        <f>JUNE!V38</f>
        <v>1460.2406039875686</v>
      </c>
      <c r="X9" s="103">
        <f>JUNE!W38</f>
        <v>1206.0214141329177</v>
      </c>
      <c r="Y9" s="103">
        <f>JUNE!X38</f>
        <v>128.78262420494872</v>
      </c>
      <c r="Z9" s="103">
        <f>JUNE!Y38</f>
        <v>9393.1549376227831</v>
      </c>
      <c r="AA9" s="103">
        <f>JUNE!Z38</f>
        <v>1003.1075327815266</v>
      </c>
      <c r="AB9" s="103">
        <f>JUNE!AA38</f>
        <v>0</v>
      </c>
      <c r="AC9" s="105">
        <f>JUNE!AB38</f>
        <v>1650.7857373515787</v>
      </c>
      <c r="AD9" s="105">
        <f>JUNE!AC38</f>
        <v>0</v>
      </c>
      <c r="AE9" s="99">
        <f>JUNE!AD39</f>
        <v>609.46026683946479</v>
      </c>
      <c r="AF9" s="99">
        <f>JUNE!AE39</f>
        <v>541.92318465257154</v>
      </c>
      <c r="AG9" s="99">
        <f>JUNE!AF39</f>
        <v>57.918604896793113</v>
      </c>
      <c r="AH9" s="91">
        <f>JUNE!AG39</f>
        <v>0.90344353143467238</v>
      </c>
    </row>
    <row r="10" spans="1:34" ht="15.75" customHeight="1" x14ac:dyDescent="0.25">
      <c r="A10" s="414"/>
      <c r="B10" s="90" t="s">
        <v>58</v>
      </c>
      <c r="C10" s="103">
        <f>JULY!B39</f>
        <v>0</v>
      </c>
      <c r="D10" s="103">
        <f>JULY!C39</f>
        <v>785.11270734270227</v>
      </c>
      <c r="E10" s="103">
        <f>JULY!D39</f>
        <v>7815.1208374917487</v>
      </c>
      <c r="F10" s="103">
        <f>JULY!E39</f>
        <v>208.61129520684491</v>
      </c>
      <c r="G10" s="103">
        <f>JULY!F39</f>
        <v>0</v>
      </c>
      <c r="H10" s="103">
        <f>JULY!G39</f>
        <v>21316.268771642041</v>
      </c>
      <c r="I10" s="103">
        <f>JULY!H39</f>
        <v>706.59093121786907</v>
      </c>
      <c r="J10" s="103">
        <f>JULY!I39</f>
        <v>18196.962140321735</v>
      </c>
      <c r="K10" s="103">
        <f>JULY!J39</f>
        <v>34586.878953393287</v>
      </c>
      <c r="L10" s="104">
        <f>JULY!K39</f>
        <v>1599.8857017705832</v>
      </c>
      <c r="M10" s="103">
        <f>JULY!L39</f>
        <v>0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14640.168547048359</v>
      </c>
      <c r="W10" s="103">
        <f>JULY!V39</f>
        <v>1353.7370226374655</v>
      </c>
      <c r="X10" s="103">
        <f>JULY!W39</f>
        <v>1387.7822331640864</v>
      </c>
      <c r="Y10" s="103">
        <f>JULY!X39</f>
        <v>128.01066493454115</v>
      </c>
      <c r="Z10" s="103">
        <f>JULY!Y39</f>
        <v>10398.432796307794</v>
      </c>
      <c r="AA10" s="103">
        <f>JULY!Z39</f>
        <v>954.79934663337679</v>
      </c>
      <c r="AB10" s="103">
        <f>JULY!AA39</f>
        <v>0</v>
      </c>
      <c r="AC10" s="105">
        <f>JULY!AB39</f>
        <v>2370.6602272258961</v>
      </c>
      <c r="AD10" s="105">
        <f>JULY!AC39</f>
        <v>0</v>
      </c>
      <c r="AE10" s="99">
        <f>JULY!AD40</f>
        <v>659.41864063905348</v>
      </c>
      <c r="AF10" s="99">
        <f>JULY!AE40</f>
        <v>596.99552758833192</v>
      </c>
      <c r="AG10" s="99">
        <f>JULY!AF40</f>
        <v>55.243142398676973</v>
      </c>
      <c r="AH10" s="91">
        <f>JULY!AG40</f>
        <v>0.91530225829790612</v>
      </c>
    </row>
    <row r="11" spans="1:34" ht="15.75" customHeight="1" x14ac:dyDescent="0.25">
      <c r="A11" s="414"/>
      <c r="B11" s="90" t="s">
        <v>59</v>
      </c>
      <c r="C11" s="103">
        <f>AUGUST!B39</f>
        <v>0</v>
      </c>
      <c r="D11" s="103">
        <f>AUGUST!C39</f>
        <v>1466.7439173499749</v>
      </c>
      <c r="E11" s="103">
        <f>AUGUST!D39</f>
        <v>20626.03979582787</v>
      </c>
      <c r="F11" s="103">
        <f>AUGUST!E39</f>
        <v>372.52741424689708</v>
      </c>
      <c r="G11" s="103">
        <f>AUGUST!F39</f>
        <v>0</v>
      </c>
      <c r="H11" s="103">
        <f>AUGUST!G39</f>
        <v>54113.734219425518</v>
      </c>
      <c r="I11" s="103">
        <f>AUGUST!H39</f>
        <v>1115.7250294377409</v>
      </c>
      <c r="J11" s="103">
        <f>AUGUST!I39</f>
        <v>20133.646057319645</v>
      </c>
      <c r="K11" s="103">
        <f>AUGUST!J39</f>
        <v>39313.921136283898</v>
      </c>
      <c r="L11" s="104">
        <f>AUGUST!K39</f>
        <v>2070.406436244647</v>
      </c>
      <c r="M11" s="103">
        <f>AUGUST!L39</f>
        <v>0</v>
      </c>
      <c r="N11" s="103">
        <f>AUGUST!M39</f>
        <v>0</v>
      </c>
      <c r="O11" s="103">
        <f>AUGUST!N39</f>
        <v>0</v>
      </c>
      <c r="P11" s="103">
        <f>AUGUST!O39</f>
        <v>0</v>
      </c>
      <c r="Q11" s="103">
        <f>AUGUST!P39</f>
        <v>0</v>
      </c>
      <c r="R11" s="103">
        <f>AUGUST!Q39</f>
        <v>0</v>
      </c>
      <c r="S11" s="103">
        <f>AUGUST!R39</f>
        <v>0</v>
      </c>
      <c r="T11" s="103">
        <f>AUGUST!S39</f>
        <v>0</v>
      </c>
      <c r="U11" s="103">
        <f>AUGUST!T39</f>
        <v>0</v>
      </c>
      <c r="V11" s="103">
        <f>AUGUST!U39</f>
        <v>13030.684345846268</v>
      </c>
      <c r="W11" s="103">
        <f>AUGUST!V39</f>
        <v>3171.2510482077255</v>
      </c>
      <c r="X11" s="103">
        <f>AUGUST!W39</f>
        <v>1261.4415825556682</v>
      </c>
      <c r="Y11" s="103">
        <f>AUGUST!X39</f>
        <v>307.40262618154424</v>
      </c>
      <c r="Z11" s="103">
        <f>AUGUST!Y39</f>
        <v>10961.549729405091</v>
      </c>
      <c r="AA11" s="103">
        <f>AUGUST!Z39</f>
        <v>2717.1254406111993</v>
      </c>
      <c r="AB11" s="103">
        <f>AUGUST!AA39</f>
        <v>0</v>
      </c>
      <c r="AC11" s="105">
        <f>AUGUST!AB39</f>
        <v>1559.3563832402217</v>
      </c>
      <c r="AD11" s="105">
        <f>AUGUST!AC39</f>
        <v>0</v>
      </c>
      <c r="AE11" s="99">
        <f>AUGUST!AD40</f>
        <v>627.98916152831646</v>
      </c>
      <c r="AF11" s="99">
        <f>AUGUST!AE40</f>
        <v>496.96629814781829</v>
      </c>
      <c r="AG11" s="99">
        <f>AUGUST!AF40</f>
        <v>121.38517409578738</v>
      </c>
      <c r="AH11" s="91">
        <f>AUGUST!AG40</f>
        <v>0.80369550402240086</v>
      </c>
    </row>
    <row r="12" spans="1:34" ht="15.75" customHeight="1" x14ac:dyDescent="0.25">
      <c r="A12" s="414"/>
      <c r="B12" s="90" t="s">
        <v>60</v>
      </c>
      <c r="C12" s="103">
        <f>SEPTEMBER!B39</f>
        <v>0</v>
      </c>
      <c r="D12" s="103">
        <f>SEPTEMBER!C39</f>
        <v>691.80252490838461</v>
      </c>
      <c r="E12" s="103">
        <f>SEPTEMBER!D39</f>
        <v>10745.48516473772</v>
      </c>
      <c r="F12" s="103">
        <f>SEPTEMBER!E39</f>
        <v>183.22088850736625</v>
      </c>
      <c r="G12" s="103">
        <f>SEPTEMBER!F39</f>
        <v>0</v>
      </c>
      <c r="H12" s="103">
        <f>SEPTEMBER!G39</f>
        <v>25246.45271879834</v>
      </c>
      <c r="I12" s="103">
        <f>SEPTEMBER!H39</f>
        <v>589.96225067377077</v>
      </c>
      <c r="J12" s="103">
        <f>SEPTEMBER!I39</f>
        <v>19371.365209833792</v>
      </c>
      <c r="K12" s="103">
        <f>SEPTEMBER!J39</f>
        <v>41805.410254796363</v>
      </c>
      <c r="L12" s="104">
        <f>SEPTEMBER!K39</f>
        <v>2129.5295289417127</v>
      </c>
      <c r="M12" s="103">
        <f>SEPTEMBER!L39</f>
        <v>6.9790649414062642E-2</v>
      </c>
      <c r="N12" s="103">
        <f>SEPTEMBER!M39</f>
        <v>0</v>
      </c>
      <c r="O12" s="103">
        <f>SEPTEMBER!N39</f>
        <v>0</v>
      </c>
      <c r="P12" s="103">
        <f>SEPTEMBER!O39</f>
        <v>0</v>
      </c>
      <c r="Q12" s="103">
        <f>SEPTEMBER!P39</f>
        <v>0</v>
      </c>
      <c r="R12" s="103">
        <f>SEPTEMBER!Q39</f>
        <v>0</v>
      </c>
      <c r="S12" s="103">
        <f>SEPTEMBER!R39</f>
        <v>0</v>
      </c>
      <c r="T12" s="103">
        <f>SEPTEMBER!S39</f>
        <v>0</v>
      </c>
      <c r="U12" s="103">
        <f>SEPTEMBER!T39</f>
        <v>0</v>
      </c>
      <c r="V12" s="103">
        <f>SEPTEMBER!U39</f>
        <v>12945.057254710135</v>
      </c>
      <c r="W12" s="103">
        <f>SEPTEMBER!V39</f>
        <v>1623.3815167284597</v>
      </c>
      <c r="X12" s="103">
        <f>SEPTEMBER!W39</f>
        <v>1216.2266377101262</v>
      </c>
      <c r="Y12" s="103">
        <f>SEPTEMBER!X39</f>
        <v>152.1974503109931</v>
      </c>
      <c r="Z12" s="103">
        <f>SEPTEMBER!Y39</f>
        <v>13402.270626295245</v>
      </c>
      <c r="AA12" s="103">
        <f>SEPTEMBER!Z39</f>
        <v>1674.6172959679097</v>
      </c>
      <c r="AB12" s="103">
        <f>SEPTEMBER!AA39</f>
        <v>0</v>
      </c>
      <c r="AC12" s="105">
        <f>SEPTEMBER!AB39</f>
        <v>1152.0362210896283</v>
      </c>
      <c r="AD12" s="105">
        <f>SEPTEMBER!AC39</f>
        <v>0</v>
      </c>
      <c r="AE12" s="99">
        <f>SEPTEMBER!AD40</f>
        <v>532.85301637450846</v>
      </c>
      <c r="AF12" s="99">
        <f>SEPTEMBER!AE40</f>
        <v>465.96830240367603</v>
      </c>
      <c r="AG12" s="99">
        <f>SEPTEMBER!AF40</f>
        <v>58.198589620806771</v>
      </c>
      <c r="AH12" s="91">
        <f>SEPTEMBER!AG40</f>
        <v>0.88896935211602723</v>
      </c>
    </row>
    <row r="13" spans="1:34" ht="15.75" customHeight="1" x14ac:dyDescent="0.25">
      <c r="A13" s="414"/>
      <c r="B13" s="90" t="s">
        <v>61</v>
      </c>
      <c r="C13" s="103">
        <f>OCTOBER!B39</f>
        <v>0</v>
      </c>
      <c r="D13" s="103">
        <f>OCTOBER!C39</f>
        <v>540.48812854886091</v>
      </c>
      <c r="E13" s="103">
        <f>OCTOBER!D39</f>
        <v>8082.0795082886989</v>
      </c>
      <c r="F13" s="103">
        <f>OCTOBER!E39</f>
        <v>127.37310712287824</v>
      </c>
      <c r="G13" s="103">
        <f>OCTOBER!F39</f>
        <v>0</v>
      </c>
      <c r="H13" s="103">
        <f>OCTOBER!G39</f>
        <v>16006.377771606443</v>
      </c>
      <c r="I13" s="103">
        <f>OCTOBER!H39</f>
        <v>506.35491962432877</v>
      </c>
      <c r="J13" s="103">
        <f>OCTOBER!I39</f>
        <v>11098.911559327442</v>
      </c>
      <c r="K13" s="103">
        <f>OCTOBER!J39</f>
        <v>22090.530074850729</v>
      </c>
      <c r="L13" s="104">
        <f>OCTOBER!K39</f>
        <v>1185.2024566968287</v>
      </c>
      <c r="M13" s="103">
        <f>OCTOBER!L39</f>
        <v>0</v>
      </c>
      <c r="N13" s="103">
        <f>OCTOBER!M39</f>
        <v>0</v>
      </c>
      <c r="O13" s="103">
        <f>OCTOBER!N39</f>
        <v>0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9072.3167663656186</v>
      </c>
      <c r="W13" s="103">
        <f>OCTOBER!V39</f>
        <v>1426.4339394805293</v>
      </c>
      <c r="X13" s="103">
        <f>OCTOBER!W39</f>
        <v>801.42103770969095</v>
      </c>
      <c r="Y13" s="103">
        <f>OCTOBER!X39</f>
        <v>123.82424116534204</v>
      </c>
      <c r="Z13" s="103">
        <f>OCTOBER!Y39</f>
        <v>7891.017546424483</v>
      </c>
      <c r="AA13" s="103">
        <f>OCTOBER!Z39</f>
        <v>1208.4349654662501</v>
      </c>
      <c r="AB13" s="103">
        <f>OCTOBER!AA39</f>
        <v>0</v>
      </c>
      <c r="AC13" s="105">
        <f>OCTOBER!AB39</f>
        <v>961.42734333011754</v>
      </c>
      <c r="AD13" s="105">
        <f>OCTOBER!AC39</f>
        <v>0</v>
      </c>
      <c r="AE13" s="99">
        <f>OCTOBER!AD40</f>
        <v>361.68322034676885</v>
      </c>
      <c r="AF13" s="99">
        <f>OCTOBER!AE40</f>
        <v>308.1522387192008</v>
      </c>
      <c r="AG13" s="99">
        <f>OCTOBER!AF40</f>
        <v>47.518892195562707</v>
      </c>
      <c r="AH13" s="91">
        <f>OCTOBER!AG40</f>
        <v>0.86639654426450874</v>
      </c>
    </row>
    <row r="14" spans="1:34" ht="15.75" customHeight="1" x14ac:dyDescent="0.25">
      <c r="A14" s="414"/>
      <c r="B14" s="90" t="s">
        <v>62</v>
      </c>
      <c r="C14" s="103">
        <f>NOVEMBER!B39</f>
        <v>0</v>
      </c>
      <c r="D14" s="103">
        <f>NOVEMBER!C39</f>
        <v>1122.3632699251161</v>
      </c>
      <c r="E14" s="103">
        <f>NOVEMBER!D39</f>
        <v>17311.913024266571</v>
      </c>
      <c r="F14" s="103">
        <f>NOVEMBER!E39</f>
        <v>250.38058662762239</v>
      </c>
      <c r="G14" s="103">
        <f>NOVEMBER!F39</f>
        <v>0</v>
      </c>
      <c r="H14" s="103">
        <f>NOVEMBER!G39</f>
        <v>38678.917916806509</v>
      </c>
      <c r="I14" s="103">
        <f>NOVEMBER!H39</f>
        <v>1058.3795923382052</v>
      </c>
      <c r="J14" s="103">
        <f>NOVEMBER!I39</f>
        <v>7474.7615825970988</v>
      </c>
      <c r="K14" s="103">
        <f>NOVEMBER!J39</f>
        <v>16954.895181878408</v>
      </c>
      <c r="L14" s="104">
        <f>NOVEMBER!K39</f>
        <v>972.57873662710199</v>
      </c>
      <c r="M14" s="103">
        <f>NOVEMBER!L39</f>
        <v>9.9773180484770851E-2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7703.5852957042835</v>
      </c>
      <c r="W14" s="103">
        <f>NOVEMBER!V39</f>
        <v>2891.5451652997426</v>
      </c>
      <c r="X14" s="103">
        <f>NOVEMBER!W39</f>
        <v>695.67610188184392</v>
      </c>
      <c r="Y14" s="103">
        <f>NOVEMBER!X39</f>
        <v>261.23848207137837</v>
      </c>
      <c r="Z14" s="103">
        <f>NOVEMBER!Y39</f>
        <v>6542.3456214272137</v>
      </c>
      <c r="AA14" s="103">
        <f>NOVEMBER!Z39</f>
        <v>2455.014069835031</v>
      </c>
      <c r="AB14" s="103">
        <f>NOVEMBER!AA39</f>
        <v>0</v>
      </c>
      <c r="AC14" s="105">
        <f>NOVEMBER!AB39</f>
        <v>787.29653105735315</v>
      </c>
      <c r="AD14" s="105">
        <f>NOVEMBER!AC39</f>
        <v>0</v>
      </c>
      <c r="AE14" s="99">
        <f>NOVEMBER!AD40</f>
        <v>386.69875003496821</v>
      </c>
      <c r="AF14" s="99">
        <f>NOVEMBER!AE40</f>
        <v>277.34321600584349</v>
      </c>
      <c r="AG14" s="99">
        <f>NOVEMBER!AF40</f>
        <v>104.46478452516757</v>
      </c>
      <c r="AH14" s="91">
        <f>NOVEMBER!AG40</f>
        <v>0.72639445904779354</v>
      </c>
    </row>
    <row r="15" spans="1:34" ht="15.75" customHeight="1" x14ac:dyDescent="0.25">
      <c r="A15" s="415"/>
      <c r="B15" s="92" t="s">
        <v>63</v>
      </c>
      <c r="C15" s="106">
        <f>DECEMBER!B39</f>
        <v>0</v>
      </c>
      <c r="D15" s="106">
        <f>DECEMBER!C39</f>
        <v>1248.0232300003404</v>
      </c>
      <c r="E15" s="106">
        <f>DECEMBER!D39</f>
        <v>14737.030719073613</v>
      </c>
      <c r="F15" s="106">
        <f>DECEMBER!E39</f>
        <v>216.58686396727956</v>
      </c>
      <c r="G15" s="106">
        <f>DECEMBER!F39</f>
        <v>0</v>
      </c>
      <c r="H15" s="106">
        <f>DECEMBER!G39</f>
        <v>29926.762492267273</v>
      </c>
      <c r="I15" s="106">
        <f>DECEMBER!H39</f>
        <v>902.09032834967013</v>
      </c>
      <c r="J15" s="106">
        <f>DECEMBER!I39</f>
        <v>8045.8900850693262</v>
      </c>
      <c r="K15" s="106">
        <f>DECEMBER!J39</f>
        <v>16452.092774709061</v>
      </c>
      <c r="L15" s="107">
        <f>DECEMBER!K39</f>
        <v>903.30594263474177</v>
      </c>
      <c r="M15" s="106">
        <f>DECEMBER!L39</f>
        <v>0.17861830329894851</v>
      </c>
      <c r="N15" s="106">
        <f>DECEMBER!M39</f>
        <v>0</v>
      </c>
      <c r="O15" s="106">
        <f>DECEMBER!N39</f>
        <v>0</v>
      </c>
      <c r="P15" s="106">
        <f>DECEMBER!O39</f>
        <v>0</v>
      </c>
      <c r="Q15" s="106">
        <f>DECEMBER!P39</f>
        <v>0</v>
      </c>
      <c r="R15" s="106">
        <f>DECEMBER!Q39</f>
        <v>0</v>
      </c>
      <c r="S15" s="106">
        <f>DECEMBER!R39</f>
        <v>0</v>
      </c>
      <c r="T15" s="106">
        <f>DECEMBER!S39</f>
        <v>0</v>
      </c>
      <c r="U15" s="106">
        <f>DECEMBER!T39</f>
        <v>0</v>
      </c>
      <c r="V15" s="106">
        <f>DECEMBER!U39</f>
        <v>10888.698949673364</v>
      </c>
      <c r="W15" s="106">
        <f>DECEMBER!V39</f>
        <v>2866.0707725340158</v>
      </c>
      <c r="X15" s="106">
        <f>DECEMBER!W39</f>
        <v>774.21333996932321</v>
      </c>
      <c r="Y15" s="106">
        <f>DECEMBER!X39</f>
        <v>219.89449220815587</v>
      </c>
      <c r="Z15" s="106">
        <f>DECEMBER!Y39</f>
        <v>6023.0276217792325</v>
      </c>
      <c r="AA15" s="106">
        <f>DECEMBER!Z39</f>
        <v>1730.5028778618648</v>
      </c>
      <c r="AB15" s="106">
        <f>DECEMBER!AA39</f>
        <v>0</v>
      </c>
      <c r="AC15" s="108">
        <f>DECEMBER!AB39</f>
        <v>711.27494939167661</v>
      </c>
      <c r="AD15" s="108">
        <f>DECEMBER!AC39</f>
        <v>0</v>
      </c>
      <c r="AE15" s="100">
        <f>DECEMBER!AD40</f>
        <v>406.45868518749865</v>
      </c>
      <c r="AF15" s="100">
        <f>DECEMBER!AE40</f>
        <v>312.70863288141959</v>
      </c>
      <c r="AG15" s="100">
        <f>DECEMBER!AF40</f>
        <v>88.365280981775527</v>
      </c>
      <c r="AH15" s="93">
        <f>DECEMBER!AG40</f>
        <v>0.77967831382841668</v>
      </c>
    </row>
    <row r="16" spans="1:34" ht="15.75" customHeight="1" x14ac:dyDescent="0.25">
      <c r="A16" s="418" t="s">
        <v>162</v>
      </c>
      <c r="B16" s="419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42" t="s">
        <v>28</v>
      </c>
      <c r="AF16" s="242" t="s">
        <v>28</v>
      </c>
      <c r="AG16" s="242" t="s">
        <v>28</v>
      </c>
      <c r="AH16" s="243" t="s">
        <v>34</v>
      </c>
    </row>
    <row r="17" spans="1:34" ht="15.75" customHeight="1" thickBot="1" x14ac:dyDescent="0.3">
      <c r="A17" s="94" t="s">
        <v>65</v>
      </c>
      <c r="B17" s="95" t="s">
        <v>64</v>
      </c>
      <c r="C17" s="109">
        <f>SUM(C4:C15)</f>
        <v>0</v>
      </c>
      <c r="D17" s="109">
        <f t="shared" ref="D17:AG17" si="0">SUM(D4:D15)</f>
        <v>7875.3742717385321</v>
      </c>
      <c r="E17" s="109">
        <f t="shared" si="0"/>
        <v>96050.193205034739</v>
      </c>
      <c r="F17" s="109">
        <f t="shared" si="0"/>
        <v>1742.3266353597251</v>
      </c>
      <c r="G17" s="109">
        <f t="shared" si="0"/>
        <v>0</v>
      </c>
      <c r="H17" s="109">
        <f t="shared" si="0"/>
        <v>224685.00856783544</v>
      </c>
      <c r="I17" s="109">
        <f t="shared" si="0"/>
        <v>5900.1762460172185</v>
      </c>
      <c r="J17" s="109">
        <f t="shared" si="0"/>
        <v>145403.13562203245</v>
      </c>
      <c r="K17" s="109">
        <f t="shared" si="0"/>
        <v>314636.6753492991</v>
      </c>
      <c r="L17" s="109">
        <f t="shared" si="0"/>
        <v>14383.966392441591</v>
      </c>
      <c r="M17" s="109">
        <f t="shared" si="0"/>
        <v>0.34818213319778202</v>
      </c>
      <c r="N17" s="109">
        <f t="shared" si="0"/>
        <v>0</v>
      </c>
      <c r="O17" s="109">
        <f t="shared" si="0"/>
        <v>0</v>
      </c>
      <c r="P17" s="109">
        <f t="shared" si="0"/>
        <v>0</v>
      </c>
      <c r="Q17" s="109">
        <f t="shared" si="0"/>
        <v>0</v>
      </c>
      <c r="R17" s="109">
        <f t="shared" si="0"/>
        <v>0</v>
      </c>
      <c r="S17" s="109">
        <f t="shared" si="0"/>
        <v>0</v>
      </c>
      <c r="T17" s="109">
        <f t="shared" si="0"/>
        <v>0</v>
      </c>
      <c r="U17" s="109">
        <f t="shared" si="0"/>
        <v>0</v>
      </c>
      <c r="V17" s="109">
        <f t="shared" si="0"/>
        <v>131202.60663793056</v>
      </c>
      <c r="W17" s="109">
        <f t="shared" si="0"/>
        <v>15993.72277918265</v>
      </c>
      <c r="X17" s="109">
        <f t="shared" si="0"/>
        <v>11862.96660748156</v>
      </c>
      <c r="Y17" s="109">
        <f t="shared" si="0"/>
        <v>1429.7007566715047</v>
      </c>
      <c r="Z17" s="109">
        <f t="shared" si="0"/>
        <v>96953.488534059943</v>
      </c>
      <c r="AA17" s="109">
        <f t="shared" si="0"/>
        <v>12564.993455098071</v>
      </c>
      <c r="AB17" s="109">
        <f t="shared" si="0"/>
        <v>0</v>
      </c>
      <c r="AC17" s="109">
        <f t="shared" si="0"/>
        <v>12765.590429491449</v>
      </c>
      <c r="AD17" s="109">
        <f t="shared" si="0"/>
        <v>0</v>
      </c>
      <c r="AE17" s="96">
        <f t="shared" si="0"/>
        <v>5566.8109993479311</v>
      </c>
      <c r="AF17" s="96">
        <f t="shared" si="0"/>
        <v>4905.0381870091605</v>
      </c>
      <c r="AG17" s="96">
        <f t="shared" si="0"/>
        <v>582.00581748688899</v>
      </c>
      <c r="AH17" s="226">
        <f>IF(SUM(AF17:AG17)&gt;0, AF17/(AF17+AG17), "")</f>
        <v>0.8939309003153616</v>
      </c>
    </row>
    <row r="18" spans="1:34" ht="15.75" customHeight="1" thickTop="1" x14ac:dyDescent="0.25">
      <c r="A18" s="413" t="s">
        <v>87</v>
      </c>
      <c r="B18" s="89" t="s">
        <v>52</v>
      </c>
      <c r="C18" s="110">
        <f>JANUARY!B41</f>
        <v>0</v>
      </c>
      <c r="D18" s="110">
        <f>JANUARY!C41</f>
        <v>0</v>
      </c>
      <c r="E18" s="110">
        <f>JANUARY!D41</f>
        <v>0</v>
      </c>
      <c r="F18" s="110">
        <f>JANUARY!E41</f>
        <v>0</v>
      </c>
      <c r="G18" s="110">
        <f>JANUARY!F41</f>
        <v>0</v>
      </c>
      <c r="H18" s="110">
        <f>JANUARY!G41</f>
        <v>0</v>
      </c>
      <c r="I18" s="110">
        <f>JANUARY!H41</f>
        <v>0</v>
      </c>
      <c r="J18" s="110">
        <f>JANUARY!I41</f>
        <v>6042.5848191651421</v>
      </c>
      <c r="K18" s="110">
        <f>JANUARY!J41</f>
        <v>26478.209854661571</v>
      </c>
      <c r="L18" s="111">
        <f>JANUARY!K41</f>
        <v>3480.0290731677901</v>
      </c>
      <c r="M18" s="110">
        <f>JANUARY!L41</f>
        <v>0</v>
      </c>
      <c r="N18" s="110">
        <f>JANUARY!M41</f>
        <v>0</v>
      </c>
      <c r="O18" s="112">
        <f>JANUARY!N41</f>
        <v>0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2323.7905641757366</v>
      </c>
      <c r="W18" s="110">
        <f>JANUARY!V41</f>
        <v>0</v>
      </c>
      <c r="X18" s="110">
        <f>JANUARY!W41</f>
        <v>1100.7735997557043</v>
      </c>
      <c r="Y18" s="110">
        <f>JANUARY!X41</f>
        <v>0</v>
      </c>
      <c r="Z18" s="110">
        <f>JANUARY!Y41</f>
        <v>16350.13147969316</v>
      </c>
      <c r="AA18" s="110">
        <f>JANUARY!Z41</f>
        <v>0</v>
      </c>
      <c r="AB18" s="110">
        <f>JANUARY!AA41</f>
        <v>0</v>
      </c>
      <c r="AC18" s="113">
        <f>JANUARY!AB41</f>
        <v>0</v>
      </c>
      <c r="AD18" s="113">
        <f>JANUARY!AC41</f>
        <v>0</v>
      </c>
      <c r="AE18" s="123"/>
      <c r="AF18" s="123"/>
      <c r="AG18" s="123"/>
      <c r="AH18" s="124"/>
    </row>
    <row r="19" spans="1:34" ht="15.75" customHeight="1" x14ac:dyDescent="0.25">
      <c r="A19" s="414"/>
      <c r="B19" s="90" t="s">
        <v>53</v>
      </c>
      <c r="C19" s="114">
        <f>FEBRUARY!B41</f>
        <v>0</v>
      </c>
      <c r="D19" s="114">
        <f>FEBRUARY!C41</f>
        <v>0</v>
      </c>
      <c r="E19" s="114">
        <f>FEBRUARY!D41</f>
        <v>0</v>
      </c>
      <c r="F19" s="114">
        <f>FEBRUARY!E41</f>
        <v>0</v>
      </c>
      <c r="G19" s="114">
        <f>FEBRUARY!F41</f>
        <v>0</v>
      </c>
      <c r="H19" s="114">
        <f>FEBRUARY!G41</f>
        <v>0</v>
      </c>
      <c r="I19" s="114">
        <f>FEBRUARY!H41</f>
        <v>0</v>
      </c>
      <c r="J19" s="114">
        <f>FEBRUARY!I41</f>
        <v>6673.5199985009294</v>
      </c>
      <c r="K19" s="114">
        <f>FEBRUARY!J41</f>
        <v>21023.954146358119</v>
      </c>
      <c r="L19" s="115">
        <f>FEBRUARY!K41</f>
        <v>3406.7013131020085</v>
      </c>
      <c r="M19" s="114">
        <f>FEBRUARY!L41</f>
        <v>0</v>
      </c>
      <c r="N19" s="114">
        <f>FEBRUARY!M41</f>
        <v>0</v>
      </c>
      <c r="O19" s="116">
        <f>FEBRUARY!N41</f>
        <v>0</v>
      </c>
      <c r="P19" s="116">
        <f>FEBRUARY!O41</f>
        <v>0</v>
      </c>
      <c r="Q19" s="114">
        <f>FEBRUARY!P41</f>
        <v>0</v>
      </c>
      <c r="R19" s="114">
        <f>FEBRUARY!Q41</f>
        <v>0</v>
      </c>
      <c r="S19" s="114">
        <f>FEBRUARY!R41</f>
        <v>0</v>
      </c>
      <c r="T19" s="114">
        <f>FEBRUARY!S41</f>
        <v>0</v>
      </c>
      <c r="U19" s="114">
        <f>FEBRUARY!T41</f>
        <v>0</v>
      </c>
      <c r="V19" s="114">
        <f>FEBRUARY!U41</f>
        <v>2029.8042964552862</v>
      </c>
      <c r="W19" s="114">
        <f>FEBRUARY!V41</f>
        <v>0</v>
      </c>
      <c r="X19" s="114">
        <f>FEBRUARY!W41</f>
        <v>1010.888363943398</v>
      </c>
      <c r="Y19" s="114">
        <f>FEBRUARY!X41</f>
        <v>0</v>
      </c>
      <c r="Z19" s="114">
        <f>FEBRUARY!Y41</f>
        <v>12244.970533211623</v>
      </c>
      <c r="AA19" s="114">
        <f>FEBRUARY!Z41</f>
        <v>0</v>
      </c>
      <c r="AB19" s="114">
        <f>FEBRUARY!AA41</f>
        <v>0</v>
      </c>
      <c r="AC19" s="117">
        <f>FEBRUARY!AB41</f>
        <v>71.482533703891974</v>
      </c>
      <c r="AD19" s="117">
        <f>FEBRUARY!AC41</f>
        <v>0</v>
      </c>
      <c r="AE19" s="125"/>
      <c r="AF19" s="125"/>
      <c r="AG19" s="125"/>
      <c r="AH19" s="126"/>
    </row>
    <row r="20" spans="1:34" ht="15.75" customHeight="1" x14ac:dyDescent="0.25">
      <c r="A20" s="414"/>
      <c r="B20" s="90" t="s">
        <v>54</v>
      </c>
      <c r="C20" s="114">
        <f>MARCH!B41</f>
        <v>0</v>
      </c>
      <c r="D20" s="114">
        <f>MARCH!C41</f>
        <v>0</v>
      </c>
      <c r="E20" s="114">
        <f>MARCH!D41</f>
        <v>0</v>
      </c>
      <c r="F20" s="114">
        <f>MARCH!E41</f>
        <v>0</v>
      </c>
      <c r="G20" s="114">
        <f>MARCH!F41</f>
        <v>0</v>
      </c>
      <c r="H20" s="114">
        <f>MARCH!G41</f>
        <v>0</v>
      </c>
      <c r="I20" s="114">
        <f>MARCH!H41</f>
        <v>0</v>
      </c>
      <c r="J20" s="114">
        <f>MARCH!I41</f>
        <v>7103.3497870238989</v>
      </c>
      <c r="K20" s="114">
        <f>MARCH!J41</f>
        <v>20480.384961779382</v>
      </c>
      <c r="L20" s="115">
        <f>MARCH!K41</f>
        <v>3234.0791349350025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1868.1413206649288</v>
      </c>
      <c r="W20" s="114">
        <f>MARCH!V41</f>
        <v>0</v>
      </c>
      <c r="X20" s="114">
        <f>MARCH!W41</f>
        <v>933.89210672610989</v>
      </c>
      <c r="Y20" s="114">
        <f>MARCH!X41</f>
        <v>0</v>
      </c>
      <c r="Z20" s="114">
        <f>MARCH!Y41</f>
        <v>11759.06557415594</v>
      </c>
      <c r="AA20" s="114">
        <f>MARCH!Z41</f>
        <v>0</v>
      </c>
      <c r="AB20" s="114">
        <f>MARCH!AA41</f>
        <v>0</v>
      </c>
      <c r="AC20" s="117">
        <f>MARCH!AB41</f>
        <v>212.08135991538009</v>
      </c>
      <c r="AD20" s="117">
        <f>MARCH!AC41</f>
        <v>0</v>
      </c>
      <c r="AE20" s="125"/>
      <c r="AF20" s="125"/>
      <c r="AG20" s="125"/>
      <c r="AH20" s="126"/>
    </row>
    <row r="21" spans="1:34" ht="15.75" customHeight="1" x14ac:dyDescent="0.25">
      <c r="A21" s="414"/>
      <c r="B21" s="90" t="s">
        <v>55</v>
      </c>
      <c r="C21" s="114">
        <f>APRIL!B41</f>
        <v>0</v>
      </c>
      <c r="D21" s="114">
        <f>APRIL!C41</f>
        <v>23.065999845228671</v>
      </c>
      <c r="E21" s="114">
        <f>APRIL!D41</f>
        <v>0</v>
      </c>
      <c r="F21" s="114">
        <f>APRIL!E41</f>
        <v>0</v>
      </c>
      <c r="G21" s="114">
        <f>APRIL!F41</f>
        <v>0</v>
      </c>
      <c r="H21" s="114">
        <f>APRIL!G41</f>
        <v>0</v>
      </c>
      <c r="I21" s="114">
        <f>APRIL!H41</f>
        <v>0</v>
      </c>
      <c r="J21" s="114">
        <f>APRIL!I41</f>
        <v>7619.6681837533224</v>
      </c>
      <c r="K21" s="114">
        <f>APRIL!J41</f>
        <v>25153.410576097602</v>
      </c>
      <c r="L21" s="115">
        <f>APRIL!K41</f>
        <v>3711.8110251176549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2119.1332611687853</v>
      </c>
      <c r="W21" s="114">
        <f>APRIL!V41</f>
        <v>0</v>
      </c>
      <c r="X21" s="114">
        <f>APRIL!W41</f>
        <v>1029.4022751627863</v>
      </c>
      <c r="Y21" s="114">
        <f>APRIL!X41</f>
        <v>0</v>
      </c>
      <c r="Z21" s="114">
        <f>APRIL!Y41</f>
        <v>13755.16659031302</v>
      </c>
      <c r="AA21" s="114">
        <f>APRIL!Z41</f>
        <v>0</v>
      </c>
      <c r="AB21" s="114">
        <f>APRIL!AA41</f>
        <v>0</v>
      </c>
      <c r="AC21" s="117">
        <f>APRIL!AB41</f>
        <v>231.2539088681263</v>
      </c>
      <c r="AD21" s="117">
        <f>APRIL!AC41</f>
        <v>0</v>
      </c>
      <c r="AE21" s="125"/>
      <c r="AF21" s="125"/>
      <c r="AG21" s="125"/>
      <c r="AH21" s="126"/>
    </row>
    <row r="22" spans="1:34" ht="15.75" customHeight="1" x14ac:dyDescent="0.25">
      <c r="A22" s="414"/>
      <c r="B22" s="90" t="s">
        <v>56</v>
      </c>
      <c r="C22" s="114">
        <f>MAY!B42</f>
        <v>0</v>
      </c>
      <c r="D22" s="114">
        <f>MAY!C42</f>
        <v>1159.1841676501408</v>
      </c>
      <c r="E22" s="114">
        <f>MAY!D42</f>
        <v>18826.082266989964</v>
      </c>
      <c r="F22" s="114">
        <f>MAY!E42</f>
        <v>866.67600465576106</v>
      </c>
      <c r="G22" s="114">
        <f>MAY!F42</f>
        <v>0</v>
      </c>
      <c r="H22" s="114">
        <f>MAY!G42</f>
        <v>1228.0799210121882</v>
      </c>
      <c r="I22" s="114">
        <f>MAY!H42</f>
        <v>1573.1043529325664</v>
      </c>
      <c r="J22" s="114">
        <f>MAY!I42</f>
        <v>9285.474280324268</v>
      </c>
      <c r="K22" s="114">
        <f>MAY!J42</f>
        <v>30313.902887104756</v>
      </c>
      <c r="L22" s="115">
        <f>MAY!K42</f>
        <v>4469.024099263057</v>
      </c>
      <c r="M22" s="114">
        <f>MAY!L42</f>
        <v>0</v>
      </c>
      <c r="N22" s="114">
        <f>MAY!M42</f>
        <v>0</v>
      </c>
      <c r="O22" s="116">
        <f>MAY!N42</f>
        <v>0</v>
      </c>
      <c r="P22" s="116">
        <f>MAY!O42</f>
        <v>0</v>
      </c>
      <c r="Q22" s="114">
        <f>MAY!P42</f>
        <v>0</v>
      </c>
      <c r="R22" s="114">
        <f>MAY!Q42</f>
        <v>0</v>
      </c>
      <c r="S22" s="114">
        <f>MAY!R42</f>
        <v>0</v>
      </c>
      <c r="T22" s="114">
        <f>MAY!S42</f>
        <v>0</v>
      </c>
      <c r="U22" s="114">
        <f>MAY!T42</f>
        <v>0</v>
      </c>
      <c r="V22" s="114">
        <f>MAY!U42</f>
        <v>2461.1460462161936</v>
      </c>
      <c r="W22" s="114">
        <f>MAY!V42</f>
        <v>263.45310550587163</v>
      </c>
      <c r="X22" s="114">
        <f>MAY!W42</f>
        <v>1179.7578570780636</v>
      </c>
      <c r="Y22" s="114">
        <f>MAY!X42</f>
        <v>125.95707912872381</v>
      </c>
      <c r="Z22" s="114">
        <f>MAY!Y42</f>
        <v>16505.899115188313</v>
      </c>
      <c r="AA22" s="114">
        <f>MAY!Z42</f>
        <v>1793.4369878024938</v>
      </c>
      <c r="AB22" s="114">
        <f>MAY!AA42</f>
        <v>0</v>
      </c>
      <c r="AC22" s="117">
        <f>MAY!AB42</f>
        <v>268.86557613577315</v>
      </c>
      <c r="AD22" s="117">
        <f>MAY!AC42</f>
        <v>0</v>
      </c>
      <c r="AE22" s="125"/>
      <c r="AF22" s="125"/>
      <c r="AG22" s="125"/>
      <c r="AH22" s="126"/>
    </row>
    <row r="23" spans="1:34" ht="15.75" customHeight="1" x14ac:dyDescent="0.25">
      <c r="A23" s="414"/>
      <c r="B23" s="90" t="s">
        <v>57</v>
      </c>
      <c r="C23" s="114">
        <f>JUNE!B40</f>
        <v>0</v>
      </c>
      <c r="D23" s="114">
        <f>JUNE!C40</f>
        <v>1032.4078445770983</v>
      </c>
      <c r="E23" s="114">
        <f>JUNE!D40</f>
        <v>17707.911764087898</v>
      </c>
      <c r="F23" s="114">
        <f>JUNE!E40</f>
        <v>797.03531242409065</v>
      </c>
      <c r="G23" s="114">
        <f>JUNE!F40</f>
        <v>0</v>
      </c>
      <c r="H23" s="114">
        <f>JUNE!G40</f>
        <v>943.45486559999995</v>
      </c>
      <c r="I23" s="114">
        <f>JUNE!H40</f>
        <v>1935.4274075498658</v>
      </c>
      <c r="J23" s="114">
        <f>JUNE!I40</f>
        <v>12497.194280340336</v>
      </c>
      <c r="K23" s="114">
        <f>JUNE!J40</f>
        <v>33739.646694517476</v>
      </c>
      <c r="L23" s="115">
        <f>JUNE!K40</f>
        <v>5650.7515086707444</v>
      </c>
      <c r="M23" s="114">
        <f>JUNE!L40</f>
        <v>0</v>
      </c>
      <c r="N23" s="114">
        <f>JUNE!M40</f>
        <v>0</v>
      </c>
      <c r="O23" s="116">
        <f>JUNE!N40</f>
        <v>0</v>
      </c>
      <c r="P23" s="116">
        <f>JUNE!O40</f>
        <v>0</v>
      </c>
      <c r="Q23" s="114">
        <f>JUNE!P40</f>
        <v>0</v>
      </c>
      <c r="R23" s="114">
        <f>JUNE!Q40</f>
        <v>0</v>
      </c>
      <c r="S23" s="114">
        <f>JUNE!R40</f>
        <v>0</v>
      </c>
      <c r="T23" s="114">
        <f>JUNE!S40</f>
        <v>0</v>
      </c>
      <c r="U23" s="114">
        <f>JUNE!T40</f>
        <v>0</v>
      </c>
      <c r="V23" s="114">
        <f>JUNE!U40</f>
        <v>2999.946154546145</v>
      </c>
      <c r="W23" s="114">
        <f>JUNE!V40</f>
        <v>320.30377648467316</v>
      </c>
      <c r="X23" s="114">
        <f>JUNE!W40</f>
        <v>1401.9998939295169</v>
      </c>
      <c r="Y23" s="114">
        <f>JUNE!X40</f>
        <v>149.70980063825289</v>
      </c>
      <c r="Z23" s="114">
        <f>JUNE!Y40</f>
        <v>20509.127208664839</v>
      </c>
      <c r="AA23" s="114">
        <f>JUNE!Z40</f>
        <v>2190.1970243655787</v>
      </c>
      <c r="AB23" s="114">
        <f>JUNE!AA40</f>
        <v>0</v>
      </c>
      <c r="AC23" s="117">
        <f>JUNE!AB40</f>
        <v>362.09985148806879</v>
      </c>
      <c r="AD23" s="117">
        <f>JUNE!AC40</f>
        <v>0</v>
      </c>
      <c r="AE23" s="125"/>
      <c r="AF23" s="125"/>
      <c r="AG23" s="125"/>
      <c r="AH23" s="126"/>
    </row>
    <row r="24" spans="1:34" ht="15.75" customHeight="1" x14ac:dyDescent="0.25">
      <c r="A24" s="414"/>
      <c r="B24" s="90" t="s">
        <v>58</v>
      </c>
      <c r="C24" s="114">
        <f>JULY!B41</f>
        <v>0</v>
      </c>
      <c r="D24" s="114">
        <f>JULY!C41</f>
        <v>860.41236463180803</v>
      </c>
      <c r="E24" s="114">
        <f>JULY!D41</f>
        <v>17063.628618029536</v>
      </c>
      <c r="F24" s="114">
        <f>JULY!E41</f>
        <v>904.70546505304503</v>
      </c>
      <c r="G24" s="114">
        <f>JULY!F41</f>
        <v>0</v>
      </c>
      <c r="H24" s="114">
        <f>JULY!G41</f>
        <v>1174.9527346929092</v>
      </c>
      <c r="I24" s="114">
        <f>JULY!H41</f>
        <v>2427.9324317809273</v>
      </c>
      <c r="J24" s="114">
        <f>JULY!I41</f>
        <v>14663.779084121543</v>
      </c>
      <c r="K24" s="114">
        <f>JULY!J41</f>
        <v>37904.084378210704</v>
      </c>
      <c r="L24" s="115">
        <f>JULY!K41</f>
        <v>6938.3843114386655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3211.3209707950573</v>
      </c>
      <c r="W24" s="114">
        <f>JULY!V41</f>
        <v>296.94221591552804</v>
      </c>
      <c r="X24" s="114">
        <f>JULY!W41</f>
        <v>1613.2968460532506</v>
      </c>
      <c r="Y24" s="114">
        <f>JULY!X41</f>
        <v>148.81239798640411</v>
      </c>
      <c r="Z24" s="114">
        <f>JULY!Y41</f>
        <v>22704.062948651994</v>
      </c>
      <c r="AA24" s="114">
        <f>JULY!Z41</f>
        <v>2084.7203510314748</v>
      </c>
      <c r="AB24" s="114">
        <f>JULY!AA41</f>
        <v>0</v>
      </c>
      <c r="AC24" s="117">
        <f>JULY!AB41</f>
        <v>520.00432084200031</v>
      </c>
      <c r="AD24" s="117">
        <f>JULY!AC41</f>
        <v>0</v>
      </c>
      <c r="AE24" s="125"/>
      <c r="AF24" s="125"/>
      <c r="AG24" s="125"/>
      <c r="AH24" s="126"/>
    </row>
    <row r="25" spans="1:34" ht="15.75" customHeight="1" x14ac:dyDescent="0.25">
      <c r="A25" s="414"/>
      <c r="B25" s="90" t="s">
        <v>59</v>
      </c>
      <c r="C25" s="114">
        <f>AUGUST!B41</f>
        <v>0</v>
      </c>
      <c r="D25" s="114">
        <f>AUGUST!C41</f>
        <v>1607.4183877469036</v>
      </c>
      <c r="E25" s="114">
        <f>AUGUST!D41</f>
        <v>45035.142802688126</v>
      </c>
      <c r="F25" s="114">
        <f>AUGUST!E41</f>
        <v>1615.5768901059434</v>
      </c>
      <c r="G25" s="114">
        <f>AUGUST!F41</f>
        <v>0</v>
      </c>
      <c r="H25" s="114">
        <f>AUGUST!G41</f>
        <v>2982.7490301747343</v>
      </c>
      <c r="I25" s="114">
        <f>AUGUST!H41</f>
        <v>3833.7669848841601</v>
      </c>
      <c r="J25" s="114">
        <f>AUGUST!I41</f>
        <v>16224.429971650752</v>
      </c>
      <c r="K25" s="114">
        <f>AUGUST!J41</f>
        <v>43084.494151555351</v>
      </c>
      <c r="L25" s="115">
        <f>AUGUST!K41</f>
        <v>8978.9386327057855</v>
      </c>
      <c r="M25" s="114">
        <f>AUGUST!L41</f>
        <v>0</v>
      </c>
      <c r="N25" s="114">
        <f>AUGUST!M41</f>
        <v>0</v>
      </c>
      <c r="O25" s="116">
        <f>AUGUST!N41</f>
        <v>0</v>
      </c>
      <c r="P25" s="116">
        <f>AUGUST!O41</f>
        <v>0</v>
      </c>
      <c r="Q25" s="114">
        <f>AUGUST!P41</f>
        <v>0</v>
      </c>
      <c r="R25" s="114">
        <f>AUGUST!Q41</f>
        <v>0</v>
      </c>
      <c r="S25" s="114">
        <f>AUGUST!R41</f>
        <v>0</v>
      </c>
      <c r="T25" s="114">
        <f>AUGUST!S41</f>
        <v>0</v>
      </c>
      <c r="U25" s="114">
        <f>AUGUST!T41</f>
        <v>0</v>
      </c>
      <c r="V25" s="114">
        <f>AUGUST!U41</f>
        <v>2858.2806112613789</v>
      </c>
      <c r="W25" s="114">
        <f>AUGUST!V41</f>
        <v>695.61391742436456</v>
      </c>
      <c r="X25" s="114">
        <f>AUGUST!W41</f>
        <v>1466.4258397209644</v>
      </c>
      <c r="Y25" s="114">
        <f>AUGUST!X41</f>
        <v>357.35555293604523</v>
      </c>
      <c r="Z25" s="114">
        <f>AUGUST!Y41</f>
        <v>23933.579217779828</v>
      </c>
      <c r="AA25" s="114">
        <f>AUGUST!Z41</f>
        <v>5932.6042925357806</v>
      </c>
      <c r="AB25" s="114">
        <f>AUGUST!AA41</f>
        <v>0</v>
      </c>
      <c r="AC25" s="117">
        <f>AUGUST!AB41</f>
        <v>342.04482266374259</v>
      </c>
      <c r="AD25" s="117">
        <f>AUGUST!AC41</f>
        <v>0</v>
      </c>
      <c r="AE25" s="125"/>
      <c r="AF25" s="125"/>
      <c r="AG25" s="125"/>
      <c r="AH25" s="126"/>
    </row>
    <row r="26" spans="1:34" ht="15.75" customHeight="1" x14ac:dyDescent="0.25">
      <c r="A26" s="414"/>
      <c r="B26" s="90" t="s">
        <v>60</v>
      </c>
      <c r="C26" s="114">
        <f>SEPTEMBER!B41</f>
        <v>0</v>
      </c>
      <c r="D26" s="114">
        <f>SEPTEMBER!C41</f>
        <v>758.15286231873176</v>
      </c>
      <c r="E26" s="114">
        <f>SEPTEMBER!D41</f>
        <v>23461.821254510316</v>
      </c>
      <c r="F26" s="114">
        <f>SEPTEMBER!E41</f>
        <v>794.59234927874604</v>
      </c>
      <c r="G26" s="114">
        <f>SEPTEMBER!F41</f>
        <v>0</v>
      </c>
      <c r="H26" s="114">
        <f>SEPTEMBER!G41</f>
        <v>1391.5844738601645</v>
      </c>
      <c r="I26" s="114">
        <f>SEPTEMBER!H41</f>
        <v>2027.1820917209832</v>
      </c>
      <c r="J26" s="114">
        <f>SEPTEMBER!I41</f>
        <v>15610.156124104467</v>
      </c>
      <c r="K26" s="114">
        <f>SEPTEMBER!J41</f>
        <v>45814.940396871309</v>
      </c>
      <c r="L26" s="115">
        <f>SEPTEMBER!K41</f>
        <v>9235.3436611144207</v>
      </c>
      <c r="M26" s="114">
        <f>SEPTEMBER!L41</f>
        <v>0</v>
      </c>
      <c r="N26" s="114">
        <f>SEPTEMBER!M41</f>
        <v>0</v>
      </c>
      <c r="O26" s="116">
        <f>SEPTEMBER!N41</f>
        <v>0</v>
      </c>
      <c r="P26" s="116">
        <f>SEPTEMBER!O41</f>
        <v>0</v>
      </c>
      <c r="Q26" s="114">
        <f>SEPTEMBER!P41</f>
        <v>0</v>
      </c>
      <c r="R26" s="114">
        <f>SEPTEMBER!Q41</f>
        <v>0</v>
      </c>
      <c r="S26" s="114">
        <f>SEPTEMBER!R41</f>
        <v>0</v>
      </c>
      <c r="T26" s="114">
        <f>SEPTEMBER!S41</f>
        <v>0</v>
      </c>
      <c r="U26" s="114">
        <f>SEPTEMBER!T41</f>
        <v>0</v>
      </c>
      <c r="V26" s="114">
        <f>SEPTEMBER!U41</f>
        <v>2839.4983088206677</v>
      </c>
      <c r="W26" s="114">
        <f>SEPTEMBER!V41</f>
        <v>356.08873569438759</v>
      </c>
      <c r="X26" s="114">
        <f>SEPTEMBER!W41</f>
        <v>1413.8634663380217</v>
      </c>
      <c r="Y26" s="114">
        <f>SEPTEMBER!X41</f>
        <v>176.92953598652949</v>
      </c>
      <c r="Z26" s="114">
        <f>SEPTEMBER!Y41</f>
        <v>29262.678512700557</v>
      </c>
      <c r="AA26" s="114">
        <f>SEPTEMBER!Z41</f>
        <v>3656.379499423886</v>
      </c>
      <c r="AB26" s="114">
        <f>SEPTEMBER!AA41</f>
        <v>0</v>
      </c>
      <c r="AC26" s="117">
        <f>SEPTEMBER!AB41</f>
        <v>252.69914509600994</v>
      </c>
      <c r="AD26" s="117">
        <f>SEPTEMBER!AC41</f>
        <v>0</v>
      </c>
      <c r="AE26" s="125"/>
      <c r="AF26" s="125"/>
      <c r="AG26" s="125"/>
      <c r="AH26" s="126"/>
    </row>
    <row r="27" spans="1:34" ht="15.75" customHeight="1" x14ac:dyDescent="0.25">
      <c r="A27" s="414"/>
      <c r="B27" s="90" t="s">
        <v>61</v>
      </c>
      <c r="C27" s="114">
        <f>OCTOBER!B41</f>
        <v>0</v>
      </c>
      <c r="D27" s="114">
        <f>OCTOBER!C41</f>
        <v>592.32599904557981</v>
      </c>
      <c r="E27" s="114">
        <f>OCTOBER!D41</f>
        <v>17646.509383351644</v>
      </c>
      <c r="F27" s="114">
        <f>OCTOBER!E41</f>
        <v>552.39169097049842</v>
      </c>
      <c r="G27" s="114">
        <f>OCTOBER!F41</f>
        <v>0</v>
      </c>
      <c r="H27" s="114">
        <f>OCTOBER!G41</f>
        <v>882.27154277094712</v>
      </c>
      <c r="I27" s="114">
        <f>OCTOBER!H41</f>
        <v>1739.8971272229119</v>
      </c>
      <c r="J27" s="114">
        <f>OCTOBER!I41</f>
        <v>8943.9097540103467</v>
      </c>
      <c r="K27" s="114">
        <f>OCTOBER!J41</f>
        <v>24209.21867639041</v>
      </c>
      <c r="L27" s="115">
        <f>OCTOBER!K41</f>
        <v>5139.9860142028065</v>
      </c>
      <c r="M27" s="114">
        <f>OCTOBER!L41</f>
        <v>0</v>
      </c>
      <c r="N27" s="114">
        <f>OCTOBER!M41</f>
        <v>0</v>
      </c>
      <c r="O27" s="116">
        <f>OCTOBER!N41</f>
        <v>0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1990.0126827022984</v>
      </c>
      <c r="W27" s="114">
        <f>OCTOBER!V41</f>
        <v>312.8882846250541</v>
      </c>
      <c r="X27" s="114">
        <f>OCTOBER!W41</f>
        <v>931.6519563375158</v>
      </c>
      <c r="Y27" s="114">
        <f>OCTOBER!X41</f>
        <v>143.94568035471013</v>
      </c>
      <c r="Z27" s="114">
        <f>OCTOBER!Y41</f>
        <v>17229.342403073773</v>
      </c>
      <c r="AA27" s="114">
        <f>OCTOBER!Z41</f>
        <v>2638.511404818596</v>
      </c>
      <c r="AB27" s="114">
        <f>OCTOBER!AA41</f>
        <v>0</v>
      </c>
      <c r="AC27" s="117">
        <f>OCTOBER!AB41</f>
        <v>210.88908775946126</v>
      </c>
      <c r="AD27" s="117">
        <f>OCTOBER!AC41</f>
        <v>0</v>
      </c>
      <c r="AE27" s="125"/>
      <c r="AF27" s="125"/>
      <c r="AG27" s="125"/>
      <c r="AH27" s="126"/>
    </row>
    <row r="28" spans="1:34" ht="15.75" customHeight="1" x14ac:dyDescent="0.25">
      <c r="A28" s="414"/>
      <c r="B28" s="90" t="s">
        <v>62</v>
      </c>
      <c r="C28" s="114">
        <f>NOVEMBER!B41</f>
        <v>0</v>
      </c>
      <c r="D28" s="114">
        <f>NOVEMBER!C41</f>
        <v>1230.0084128311412</v>
      </c>
      <c r="E28" s="114">
        <f>NOVEMBER!D41</f>
        <v>37799.038640139923</v>
      </c>
      <c r="F28" s="114">
        <f>NOVEMBER!E41</f>
        <v>1085.8505280866727</v>
      </c>
      <c r="G28" s="114">
        <f>NOVEMBER!F41</f>
        <v>0</v>
      </c>
      <c r="H28" s="114">
        <f>NOVEMBER!G41</f>
        <v>2131.9819555743748</v>
      </c>
      <c r="I28" s="114">
        <f>NOVEMBER!H41</f>
        <v>3636.7210840704602</v>
      </c>
      <c r="J28" s="114">
        <f>NOVEMBER!I41</f>
        <v>6023.4368631677889</v>
      </c>
      <c r="K28" s="114">
        <f>NOVEMBER!J41</f>
        <v>18581.028327639448</v>
      </c>
      <c r="L28" s="115">
        <f>NOVEMBER!K41</f>
        <v>4217.8794650044165</v>
      </c>
      <c r="M28" s="114">
        <f>NOVEMBER!L41</f>
        <v>0</v>
      </c>
      <c r="N28" s="114">
        <f>NOVEMBER!M41</f>
        <v>0</v>
      </c>
      <c r="O28" s="116">
        <f>NOVEMBER!N41</f>
        <v>0</v>
      </c>
      <c r="P28" s="116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1689.7814346127345</v>
      </c>
      <c r="W28" s="114">
        <f>NOVEMBER!V41</f>
        <v>634.26043200849847</v>
      </c>
      <c r="X28" s="114">
        <f>NOVEMBER!W41</f>
        <v>808.72346843764365</v>
      </c>
      <c r="Y28" s="114">
        <f>NOVEMBER!X41</f>
        <v>303.68973540797737</v>
      </c>
      <c r="Z28" s="114">
        <f>NOVEMBER!Y41</f>
        <v>14284.635937971636</v>
      </c>
      <c r="AA28" s="114">
        <f>NOVEMBER!Z41</f>
        <v>5360.3071802466447</v>
      </c>
      <c r="AB28" s="114">
        <f>NOVEMBER!AA41</f>
        <v>0</v>
      </c>
      <c r="AC28" s="117">
        <f>NOVEMBER!AB41</f>
        <v>172.69349408743039</v>
      </c>
      <c r="AD28" s="117">
        <f>NOVEMBER!AC41</f>
        <v>0</v>
      </c>
      <c r="AE28" s="125"/>
      <c r="AF28" s="125"/>
      <c r="AG28" s="125"/>
      <c r="AH28" s="126"/>
    </row>
    <row r="29" spans="1:34" ht="15.75" customHeight="1" x14ac:dyDescent="0.25">
      <c r="A29" s="415"/>
      <c r="B29" s="92" t="s">
        <v>63</v>
      </c>
      <c r="C29" s="118">
        <f>DECEMBER!B41</f>
        <v>0</v>
      </c>
      <c r="D29" s="118">
        <f>DECEMBER!C41</f>
        <v>1367.7203392548056</v>
      </c>
      <c r="E29" s="118">
        <f>DECEMBER!D41</f>
        <v>32177.009716393957</v>
      </c>
      <c r="F29" s="118">
        <f>DECEMBER!E41</f>
        <v>939.29391165329798</v>
      </c>
      <c r="G29" s="118">
        <f>DECEMBER!F41</f>
        <v>0</v>
      </c>
      <c r="H29" s="118">
        <f>DECEMBER!G41</f>
        <v>1649.563148573772</v>
      </c>
      <c r="I29" s="118">
        <f>DECEMBER!H41</f>
        <v>3099.6921526024266</v>
      </c>
      <c r="J29" s="118">
        <f>DECEMBER!I41</f>
        <v>6483.6731446040394</v>
      </c>
      <c r="K29" s="118">
        <f>DECEMBER!J41</f>
        <v>18030.002463392029</v>
      </c>
      <c r="L29" s="119">
        <f>DECEMBER!K41</f>
        <v>3917.4572120183484</v>
      </c>
      <c r="M29" s="118">
        <f>DECEMBER!L41</f>
        <v>0</v>
      </c>
      <c r="N29" s="118">
        <f>DECEMBER!M41</f>
        <v>0</v>
      </c>
      <c r="O29" s="120">
        <f>DECEMBER!N41</f>
        <v>0</v>
      </c>
      <c r="P29" s="120">
        <f>DECEMBER!O41</f>
        <v>0</v>
      </c>
      <c r="Q29" s="118">
        <f>DECEMBER!P41</f>
        <v>0</v>
      </c>
      <c r="R29" s="118">
        <f>DECEMBER!Q41</f>
        <v>0</v>
      </c>
      <c r="S29" s="118">
        <f>DECEMBER!R41</f>
        <v>0</v>
      </c>
      <c r="T29" s="118">
        <f>DECEMBER!S41</f>
        <v>0</v>
      </c>
      <c r="U29" s="118">
        <f>DECEMBER!T41</f>
        <v>0</v>
      </c>
      <c r="V29" s="118">
        <f>DECEMBER!U41</f>
        <v>2388.4361146108522</v>
      </c>
      <c r="W29" s="118">
        <f>DECEMBER!V41</f>
        <v>628.67262395533635</v>
      </c>
      <c r="X29" s="118">
        <f>DECEMBER!W41</f>
        <v>900.02300771433829</v>
      </c>
      <c r="Y29" s="118">
        <f>DECEMBER!X41</f>
        <v>255.62734719198122</v>
      </c>
      <c r="Z29" s="118">
        <f>DECEMBER!Y41</f>
        <v>13150.750785724238</v>
      </c>
      <c r="AA29" s="118">
        <f>DECEMBER!Z41</f>
        <v>3778.4007495581304</v>
      </c>
      <c r="AB29" s="118">
        <f>DECEMBER!AA41</f>
        <v>0</v>
      </c>
      <c r="AC29" s="121">
        <f>DECEMBER!AB41</f>
        <v>156.01816014906427</v>
      </c>
      <c r="AD29" s="121">
        <f>DECEMBER!AC41</f>
        <v>0</v>
      </c>
      <c r="AE29" s="127"/>
      <c r="AF29" s="127"/>
      <c r="AG29" s="127"/>
      <c r="AH29" s="128"/>
    </row>
    <row r="30" spans="1:34" ht="15.75" customHeight="1" thickBot="1" x14ac:dyDescent="0.3">
      <c r="A30" s="97" t="s">
        <v>88</v>
      </c>
      <c r="B30" s="98" t="s">
        <v>64</v>
      </c>
      <c r="C30" s="122">
        <f>SUM(C18:C29)</f>
        <v>0</v>
      </c>
      <c r="D30" s="122">
        <f t="shared" ref="D30:AD30" si="1">SUM(D18:D29)</f>
        <v>8630.6963779014368</v>
      </c>
      <c r="E30" s="122">
        <f t="shared" si="1"/>
        <v>209717.14444619135</v>
      </c>
      <c r="F30" s="122">
        <f t="shared" si="1"/>
        <v>7556.1221522280557</v>
      </c>
      <c r="G30" s="122">
        <f t="shared" si="1"/>
        <v>0</v>
      </c>
      <c r="H30" s="122">
        <f t="shared" si="1"/>
        <v>12384.637672259089</v>
      </c>
      <c r="I30" s="122">
        <f t="shared" si="1"/>
        <v>20273.7236327643</v>
      </c>
      <c r="J30" s="122">
        <f t="shared" si="1"/>
        <v>117171.17629076685</v>
      </c>
      <c r="K30" s="122">
        <f t="shared" si="1"/>
        <v>344813.27751457819</v>
      </c>
      <c r="L30" s="122">
        <f t="shared" si="1"/>
        <v>62380.385450740694</v>
      </c>
      <c r="M30" s="122">
        <f t="shared" si="1"/>
        <v>0</v>
      </c>
      <c r="N30" s="122">
        <f t="shared" si="1"/>
        <v>0</v>
      </c>
      <c r="O30" s="122">
        <f t="shared" si="1"/>
        <v>0</v>
      </c>
      <c r="P30" s="122">
        <f t="shared" si="1"/>
        <v>0</v>
      </c>
      <c r="Q30" s="122">
        <f t="shared" si="1"/>
        <v>0</v>
      </c>
      <c r="R30" s="122">
        <f t="shared" si="1"/>
        <v>0</v>
      </c>
      <c r="S30" s="122">
        <f t="shared" si="1"/>
        <v>0</v>
      </c>
      <c r="T30" s="122">
        <f t="shared" si="1"/>
        <v>0</v>
      </c>
      <c r="U30" s="122">
        <f t="shared" si="1"/>
        <v>0</v>
      </c>
      <c r="V30" s="122">
        <f t="shared" si="1"/>
        <v>28779.291766030066</v>
      </c>
      <c r="W30" s="122">
        <f t="shared" si="1"/>
        <v>3508.2230916137137</v>
      </c>
      <c r="X30" s="122">
        <f t="shared" si="1"/>
        <v>13790.698681197313</v>
      </c>
      <c r="Y30" s="122">
        <f t="shared" si="1"/>
        <v>1662.0271296306244</v>
      </c>
      <c r="Z30" s="122">
        <f t="shared" si="1"/>
        <v>211689.41030712891</v>
      </c>
      <c r="AA30" s="122">
        <f t="shared" si="1"/>
        <v>27434.557489782586</v>
      </c>
      <c r="AB30" s="122">
        <f t="shared" si="1"/>
        <v>0</v>
      </c>
      <c r="AC30" s="122">
        <f t="shared" si="1"/>
        <v>2800.1322607089492</v>
      </c>
      <c r="AD30" s="122">
        <f t="shared" si="1"/>
        <v>0</v>
      </c>
      <c r="AE30" s="129" t="str">
        <f>IF(SUM(AE18:AE29)&gt;0, AVERAGE(AE18:AE29), "")</f>
        <v/>
      </c>
      <c r="AF30" s="129" t="str">
        <f>IF(SUM(AF18:AF29)&gt;0, AVERAGE(AF18:AF29), "")</f>
        <v/>
      </c>
      <c r="AG30" s="129" t="str">
        <f>IF(SUM(AG18:AG29)&gt;0, AVERAGE(AG18:AG29), "")</f>
        <v/>
      </c>
      <c r="AH30" s="227" t="str">
        <f>IF(SUM(AH18:AH29)&gt;0, AVERAGE(AH18:AH29), "")</f>
        <v/>
      </c>
    </row>
    <row r="31" spans="1:34" ht="16.5" customHeight="1" thickTop="1" x14ac:dyDescent="0.25"/>
    <row r="32" spans="1:34" ht="15.75" thickBot="1" x14ac:dyDescent="0.3">
      <c r="C32" s="338" t="s">
        <v>203</v>
      </c>
      <c r="D32" s="338" t="s">
        <v>204</v>
      </c>
      <c r="E32" s="338" t="s">
        <v>205</v>
      </c>
    </row>
    <row r="33" spans="1:5" ht="15.75" customHeight="1" thickTop="1" x14ac:dyDescent="0.25">
      <c r="A33" s="410" t="s">
        <v>206</v>
      </c>
      <c r="B33" s="89" t="s">
        <v>52</v>
      </c>
      <c r="C33" s="333">
        <f>IF(ISNUMBER(JANUARY!B51)=TRUE,JANUARY!B51,"")</f>
        <v>0.50214449133216732</v>
      </c>
      <c r="D33" s="333" t="str">
        <f>IF(ISNUMBER(JANUARY!E51)=TRUE,JANUARY!E51,"")</f>
        <v/>
      </c>
      <c r="E33" s="333">
        <f>IF(ISNUMBER(JANUARY!H51)=TRUE,JANUARY!H51,"")</f>
        <v>0.3514785881484675</v>
      </c>
    </row>
    <row r="34" spans="1:5" ht="15.75" customHeight="1" x14ac:dyDescent="0.25">
      <c r="A34" s="411"/>
      <c r="B34" s="90" t="s">
        <v>53</v>
      </c>
      <c r="C34" s="334">
        <f>IF(ISNUMBER(FEBRUARY!$B$51)=TRUE,FEBRUARY!$B$51,"")</f>
        <v>0.62141832599660107</v>
      </c>
      <c r="D34" s="334" t="str">
        <f>IF(ISNUMBER(FEBRUARY!$E$51)=TRUE,FEBRUARY!$E$51,"")</f>
        <v/>
      </c>
      <c r="E34" s="334">
        <f>IF(ISNUMBER(FEBRUARY!$H$51)=TRUE,FEBRUARY!$H$51,"")</f>
        <v>0.40821390818466058</v>
      </c>
    </row>
    <row r="35" spans="1:5" x14ac:dyDescent="0.25">
      <c r="A35" s="411"/>
      <c r="B35" s="90" t="s">
        <v>54</v>
      </c>
      <c r="C35" s="334">
        <f>IF(ISNUMBER(MARCH!$B$51)=TRUE,MARCH!$B$51,"")</f>
        <v>0.80856842223668712</v>
      </c>
      <c r="D35" s="334" t="str">
        <f>IF(ISNUMBER(MARCH!$E$51)=TRUE,MARCH!$E$51,"")</f>
        <v/>
      </c>
      <c r="E35" s="334">
        <f>IF(ISNUMBER(MARCH!$H$51)=TRUE,MARCH!$H$51,"")</f>
        <v>0.50435638632000401</v>
      </c>
    </row>
    <row r="36" spans="1:5" x14ac:dyDescent="0.25">
      <c r="A36" s="411"/>
      <c r="B36" s="90" t="s">
        <v>55</v>
      </c>
      <c r="C36" s="334">
        <f>IF(ISNUMBER(APRIL!$B$51)=TRUE,APRIL!$B$51,"")</f>
        <v>0.59021193547248507</v>
      </c>
      <c r="D36" s="334" t="str">
        <f>IF(ISNUMBER(APRIL!$E$51)=TRUE,APRIL!$E$51,"")</f>
        <v/>
      </c>
      <c r="E36" s="334">
        <f>IF(ISNUMBER(APRIL!$H$51)=TRUE,APRIL!$H$51,"")</f>
        <v>0.38917302327244419</v>
      </c>
    </row>
    <row r="37" spans="1:5" x14ac:dyDescent="0.25">
      <c r="A37" s="411"/>
      <c r="B37" s="90" t="s">
        <v>56</v>
      </c>
      <c r="C37" s="334">
        <f>IF(ISNUMBER(MAY!$B$52)=TRUE,MAY!$B$52,"")</f>
        <v>0.6198304312360754</v>
      </c>
      <c r="D37" s="334">
        <f>IF(ISNUMBER(MAY!$E$52)=TRUE,MAY!$E$52,"")</f>
        <v>2.776984371662953</v>
      </c>
      <c r="E37" s="334">
        <f>IF(ISNUMBER(MAY!$H$52)=TRUE,MAY!$H$52,"")</f>
        <v>0.4006147043261139</v>
      </c>
    </row>
    <row r="38" spans="1:5" x14ac:dyDescent="0.25">
      <c r="A38" s="411"/>
      <c r="B38" s="90" t="s">
        <v>57</v>
      </c>
      <c r="C38" s="334">
        <f>IF(ISNUMBER(JUNE!$B$50)=TRUE,JUNE!$B$50,"")</f>
        <v>0.42290577570129501</v>
      </c>
      <c r="D38" s="334">
        <f>IF(ISNUMBER(JUNE!$E$50)=TRUE,JUNE!$E$50,"")</f>
        <v>1.7296697709775763</v>
      </c>
      <c r="E38" s="334">
        <f>IF(ISNUMBER(JUNE!$H$50)=TRUE,JUNE!$H$50,"")</f>
        <v>0.29008189987106731</v>
      </c>
    </row>
    <row r="39" spans="1:5" x14ac:dyDescent="0.25">
      <c r="A39" s="411"/>
      <c r="B39" s="90" t="s">
        <v>58</v>
      </c>
      <c r="C39" s="334">
        <f>IF(ISNUMBER(JULY!$B$51)=TRUE,JULY!$B$51,"")</f>
        <v>0.40656185926485433</v>
      </c>
      <c r="D39" s="334">
        <f>IF(ISNUMBER(JULY!$E$51)=TRUE,JULY!$E$51,"")</f>
        <v>1.796037007921035</v>
      </c>
      <c r="E39" s="334">
        <f>IF(ISNUMBER(JULY!$H$51)=TRUE,JULY!$H$51,"")</f>
        <v>0.28200502062302119</v>
      </c>
    </row>
    <row r="40" spans="1:5" x14ac:dyDescent="0.25">
      <c r="A40" s="411"/>
      <c r="B40" s="90" t="s">
        <v>59</v>
      </c>
      <c r="C40" s="334">
        <f>IF(ISNUMBER(AUGUST!$B$51)=TRUE,AUGUST!$B$51,"")</f>
        <v>0.52537589905807414</v>
      </c>
      <c r="D40" s="334">
        <f>IF(ISNUMBER(AUGUST!$E$51)=TRUE,AUGUST!$E$51,"")</f>
        <v>1.2006462816354007</v>
      </c>
      <c r="E40" s="334">
        <f>IF(ISNUMBER(AUGUST!$H$51)=TRUE,AUGUST!$H$51,"")</f>
        <v>0.36993990996054399</v>
      </c>
    </row>
    <row r="41" spans="1:5" x14ac:dyDescent="0.25">
      <c r="A41" s="411"/>
      <c r="B41" s="90" t="s">
        <v>60</v>
      </c>
      <c r="C41" s="334">
        <f>IF(ISNUMBER(SEPTEMBER!$B$51)=TRUE,SEPTEMBER!$B$51,"")</f>
        <v>0.6756935695580617</v>
      </c>
      <c r="D41" s="334">
        <f>IF(ISNUMBER(SEPTEMBER!$E$51)=TRUE,SEPTEMBER!$E$51,"")</f>
        <v>2.4192659168387332</v>
      </c>
      <c r="E41" s="334">
        <f>IF(ISNUMBER(SEPTEMBER!$B$51)=TRUE,SEPTEMBER!$H$51,"")</f>
        <v>0.46997787645940509</v>
      </c>
    </row>
    <row r="42" spans="1:5" x14ac:dyDescent="0.25">
      <c r="A42" s="411"/>
      <c r="B42" s="90" t="s">
        <v>61</v>
      </c>
      <c r="C42" s="334">
        <f>IF(ISNUMBER(OCTOBER!$B$51)=TRUE,OCTOBER!$B$51,"")</f>
        <v>0.85143540911808169</v>
      </c>
      <c r="D42" s="334">
        <f>IF(ISNUMBER(OCTOBER!$E$51)=TRUE,OCTOBER!$E$51,"")</f>
        <v>2.8400044908162116</v>
      </c>
      <c r="E42" s="334">
        <f>IF(ISNUMBER(OCTOBER!$H$51)=TRUE,OCTOBER!$H$51,"")</f>
        <v>0.56071357807909783</v>
      </c>
    </row>
    <row r="43" spans="1:5" x14ac:dyDescent="0.25">
      <c r="A43" s="411"/>
      <c r="B43" s="90" t="s">
        <v>62</v>
      </c>
      <c r="C43" s="334">
        <f>IF(ISNUMBER(NOVEMBER!$B$51)=TRUE,NOVEMBER!$B$51,"")</f>
        <v>0.78526935399878262</v>
      </c>
      <c r="D43" s="334">
        <f>IF(ISNUMBER(NOVEMBER!$E$51)=TRUE,NOVEMBER!$E$51,"")</f>
        <v>1.4724582658203498</v>
      </c>
      <c r="E43" s="334">
        <f>IF(ISNUMBER(NOVEMBER!$H$51)=TRUE,NOVEMBER!$H$51,"")</f>
        <v>0.53965606526186161</v>
      </c>
    </row>
    <row r="44" spans="1:5" ht="15.75" thickBot="1" x14ac:dyDescent="0.3">
      <c r="A44" s="411"/>
      <c r="B44" s="92" t="s">
        <v>63</v>
      </c>
      <c r="C44" s="335">
        <f>IF(ISNUMBER(DECEMBER!$B$51)=TRUE,DECEMBER!$B$51,"")</f>
        <v>0.64225480152156955</v>
      </c>
      <c r="D44" s="335">
        <f>IF(ISNUMBER(DECEMBER!$E$51)=TRUE,DECEMBER!$E$51,"")</f>
        <v>1.4167396167601258</v>
      </c>
      <c r="E44" s="335">
        <f>IF(ISNUMBER(DECEMBER!$H$51)=TRUE,DECEMBER!$H$51,"")</f>
        <v>0.43396125159136167</v>
      </c>
    </row>
    <row r="45" spans="1:5" ht="15.75" thickBot="1" x14ac:dyDescent="0.3">
      <c r="A45" s="412"/>
      <c r="B45" s="337" t="s">
        <v>207</v>
      </c>
      <c r="C45" s="336">
        <f>AVERAGE(C33:C44)</f>
        <v>0.62097252287456139</v>
      </c>
      <c r="D45" s="336">
        <f>AVERAGE(D33:D44)</f>
        <v>1.956475715304048</v>
      </c>
      <c r="E45" s="336">
        <f>AVERAGE(E33:E44)</f>
        <v>0.41668101767483745</v>
      </c>
    </row>
    <row r="47" spans="1:5" ht="15.75" thickBot="1" x14ac:dyDescent="0.3">
      <c r="C47" s="338" t="s">
        <v>203</v>
      </c>
      <c r="D47" s="338" t="s">
        <v>204</v>
      </c>
      <c r="E47" s="338" t="s">
        <v>205</v>
      </c>
    </row>
    <row r="48" spans="1:5" ht="15" customHeight="1" thickTop="1" x14ac:dyDescent="0.25">
      <c r="A48" s="406" t="s">
        <v>214</v>
      </c>
      <c r="B48" s="342" t="s">
        <v>223</v>
      </c>
      <c r="C48" s="343">
        <f>(JANUARY!B44+FEBRUARY!B44+MARCH!B44+APRIL!B44+MAY!B45+JUNE!B43+JULY!B44+AUGUST!B44+SEPTEMBER!B44+OCTOBER!B44+NOVEMBER!B44+DECEMBER!B44)/$AE$17</f>
        <v>192.67611283895931</v>
      </c>
      <c r="D48" s="344">
        <f>(JANUARY!E44+FEBRUARY!E44+MARCH!E44+APRIL!E44+MAY!E45+JUNE!E43+JULY!E44+AUGUST!E44+SEPTEMBER!E44+OCTOBER!E44+NOVEMBER!E44+DECEMBER!E44)/$AG$17</f>
        <v>500.28216771034317</v>
      </c>
      <c r="E48" s="345">
        <f>(JANUARY!H44+FEBRUARY!H44+MARCH!H44+APRIL!H44+MAY!H45+JUNE!H43+JULY!H44+AUGUST!H44+SEPTEMBER!H44+OCTOBER!H44+NOVEMBER!H44+DECEMBER!H44)/$AF$17</f>
        <v>158.73968974851283</v>
      </c>
    </row>
    <row r="49" spans="1:5" ht="15" customHeight="1" x14ac:dyDescent="0.25">
      <c r="A49" s="407"/>
      <c r="B49" s="346" t="s">
        <v>215</v>
      </c>
      <c r="C49" s="334">
        <f>(JANUARY!B47+FEBRUARY!B47+MARCH!B47+APRIL!B47+MAY!B48+JUNE!B46+JULY!B47+AUGUST!B47+SEPTEMBER!B47+OCTOBER!B47+NOVEMBER!B47+DECEMBER!B47)/$AE$17</f>
        <v>211.11112989782822</v>
      </c>
      <c r="D49" s="334">
        <f>(JANUARY!E47+FEBRUARY!E47+MARCH!E47+APRIL!E47+MAY!E48+JUNE!E46+JULY!E47+AUGUST!E47+SEPTEMBER!E47+OCTOBER!E47+NOVEMBER!E47+DECEMBER!E47)/$AG$17</f>
        <v>1009.625440751264</v>
      </c>
      <c r="E49" s="347">
        <f>(JANUARY!H47+FEBRUARY!H47+MARCH!H47+APRIL!H47+MAY!H48+JUNE!H46+JULY!H47+AUGUST!H47+SEPTEMBER!H47+OCTOBER!H47+NOVEMBER!H47+DECEMBER!H47)/$AF$17</f>
        <v>119.79680026880546</v>
      </c>
    </row>
    <row r="50" spans="1:5" ht="15" customHeight="1" x14ac:dyDescent="0.25">
      <c r="A50" s="407"/>
      <c r="B50" s="346" t="s">
        <v>216</v>
      </c>
      <c r="C50" s="348">
        <f>C48+C51</f>
        <v>304.6996537985944</v>
      </c>
      <c r="D50" s="348">
        <f>D48+D51</f>
        <v>1036.0275685834611</v>
      </c>
      <c r="E50" s="349">
        <f>E48+E51</f>
        <v>222.30839769982111</v>
      </c>
    </row>
    <row r="51" spans="1:5" ht="15" customHeight="1" x14ac:dyDescent="0.25">
      <c r="A51" s="407"/>
      <c r="B51" s="346" t="s">
        <v>217</v>
      </c>
      <c r="C51" s="334">
        <f>(JANUARY!B48+FEBRUARY!B48+MARCH!B48+APRIL!B48+MAY!B49+JUNE!B47+JULY!B48+AUGUST!B48+SEPTEMBER!B48+OCTOBER!B48+NOVEMBER!B48+DECEMBER!B48)/$AE$17</f>
        <v>112.02354095963507</v>
      </c>
      <c r="D51" s="334">
        <f>(JANUARY!E48+FEBRUARY!E48+MARCH!E48+APRIL!E48+MAY!E49+JUNE!E47+JULY!E48+AUGUST!E48+SEPTEMBER!E48+OCTOBER!E48+NOVEMBER!E48+DECEMBER!E48)/$AG$17</f>
        <v>535.74540087311789</v>
      </c>
      <c r="E51" s="347">
        <f>(JANUARY!H48+FEBRUARY!H48+MARCH!H48+APRIL!H48+MAY!H49+JUNE!H47+JULY!H48+AUGUST!H48+SEPTEMBER!H48+OCTOBER!H48+NOVEMBER!H48+DECEMBER!H48)/$AF$17</f>
        <v>63.568707951308284</v>
      </c>
    </row>
    <row r="52" spans="1:5" ht="15" customHeight="1" x14ac:dyDescent="0.25">
      <c r="A52" s="407"/>
      <c r="B52" s="346" t="s">
        <v>218</v>
      </c>
      <c r="C52" s="334">
        <f>(JANUARY!B46+FEBRUARY!B46+MARCH!B46+APRIL!B46+MAY!B47+JUNE!B45+JULY!B46+AUGUST!B46+SEPTEMBER!B46+OCTOBER!B46+NOVEMBER!B46+DECEMBER!B46)/$AE$17</f>
        <v>23.413248629290095</v>
      </c>
      <c r="D52" s="334">
        <f>(JANUARY!E46+FEBRUARY!E46+MARCH!E46+APRIL!E46+MAY!E47+JUNE!E45+JULY!E46+AUGUST!E46+SEPTEMBER!E46+OCTOBER!E46+NOVEMBER!E46+DECEMBER!E46)/$AG$17</f>
        <v>58.200175565766649</v>
      </c>
      <c r="E52" s="347">
        <f>(JANUARY!H46+FEBRUARY!H46+MARCH!H46+APRIL!H46+MAY!H47+JUNE!H45+JULY!H46+AUGUST!H46+SEPTEMBER!H46+OCTOBER!H46+NOVEMBER!H46+DECEMBER!H46)/$AF$17</f>
        <v>19.666368652837026</v>
      </c>
    </row>
    <row r="53" spans="1:5" ht="15" customHeight="1" x14ac:dyDescent="0.25">
      <c r="A53" s="407"/>
      <c r="B53" s="350" t="s">
        <v>219</v>
      </c>
      <c r="C53" s="335">
        <f>(JANUARY!B45+FEBRUARY!B45+MARCH!B45+APRIL!B45+MAY!B46+JUNE!B44+JULY!B45+AUGUST!B45+SEPTEMBER!B45+OCTOBER!B45+NOVEMBER!B45+DECEMBER!B45)/$AE$17</f>
        <v>57.722546570489563</v>
      </c>
      <c r="D53" s="335">
        <f>(JANUARY!E45+FEBRUARY!E45+MARCH!E45+APRIL!E45+MAY!E46+JUNE!E44+JULY!E45+AUGUST!E45+SEPTEMBER!E45+OCTOBER!E45+NOVEMBER!E45+DECEMBER!E45)/$AG$17</f>
        <v>228.04357126945445</v>
      </c>
      <c r="E53" s="351">
        <f>(JANUARY!H45+FEBRUARY!H45+MARCH!H45+APRIL!H45+MAY!H46+JUNE!H44+JULY!H45+AUGUST!H45+SEPTEMBER!H45+OCTOBER!H45+NOVEMBER!H45+DECEMBER!H45)/$AF$17</f>
        <v>38.451855999651109</v>
      </c>
    </row>
    <row r="54" spans="1:5" ht="15" customHeight="1" x14ac:dyDescent="0.25">
      <c r="A54" s="408"/>
      <c r="B54" s="350" t="s">
        <v>224</v>
      </c>
      <c r="C54" s="361">
        <f>(SUM(JANUARY!AH39:AQ39)+SUM(FEBRUARY!AH39:AQ39)+SUM(MARCH!AH39:AQ39)+SUM(APRIL!AH39:AQ39)+SUM(MAY!AH40:AQ40)+SUM(JUNE!AH38:AQ38)+SUM(JULY!AH39:AQ39)+SUM(AUGUST!AH39:AQ39)+SUM(SEPTEMBER!AH39:AQ39)+SUM(OCTOBER!AH39:AQ39)+SUM(NOVEMBER!AH39:AQ39)+SUM(DECEMBER!AH39:AQ39))</f>
        <v>4525842.5409868909</v>
      </c>
      <c r="D54" s="361">
        <f>(JANUARY!E45/JANUARY!AH40+FEBRUARY!E45/FEBRUARY!AH40+MARCH!E45/MARCH!AH40+APRIL!E45/APRIL!AH40+MAY!E46/MAY!AH41+JUNE!E44/JUNE!AH39+JULY!E45/JULY!AH40+AUGUST!E45/AUGUST!AH40+SEPTEMBER!E45/SEPTEMBER!AH40+OCTOBER!E45/OCTOBER!AH40+NOVEMBER!E45/NOVEMBER!AH40+DECEMBER!E45/DECEMBER!AH40)</f>
        <v>1869391.1994457797</v>
      </c>
      <c r="E54" s="362">
        <f>C54-D54</f>
        <v>2656451.3415411115</v>
      </c>
    </row>
    <row r="55" spans="1:5" ht="15" customHeight="1" thickBot="1" x14ac:dyDescent="0.3">
      <c r="A55" s="408"/>
      <c r="B55" s="350" t="s">
        <v>225</v>
      </c>
      <c r="C55" s="363">
        <f>C54/C58</f>
        <v>813.00452656233983</v>
      </c>
      <c r="D55" s="363">
        <f>D54/D58</f>
        <v>3211.9802642486334</v>
      </c>
      <c r="E55" s="364">
        <f>E54/E58</f>
        <v>541.5760775474979</v>
      </c>
    </row>
    <row r="56" spans="1:5" ht="15" customHeight="1" thickTop="1" x14ac:dyDescent="0.25">
      <c r="A56" s="408"/>
      <c r="B56" s="352" t="s">
        <v>220</v>
      </c>
      <c r="C56" s="353">
        <f>C48+C49+C51+C52+C53</f>
        <v>596.94657889620237</v>
      </c>
      <c r="D56" s="353">
        <f>D48+D49+D51+D52+D53</f>
        <v>2331.896756169946</v>
      </c>
      <c r="E56" s="354">
        <f>E48+E49+E51+E52+E53</f>
        <v>400.22342262111471</v>
      </c>
    </row>
    <row r="57" spans="1:5" ht="15" customHeight="1" x14ac:dyDescent="0.25">
      <c r="A57" s="408"/>
      <c r="B57" s="355" t="s">
        <v>221</v>
      </c>
      <c r="C57" s="356">
        <f>C56/1000</f>
        <v>0.5969465788962024</v>
      </c>
      <c r="D57" s="356">
        <f>D56/1000</f>
        <v>2.3318967561699462</v>
      </c>
      <c r="E57" s="357">
        <f>E56/1000</f>
        <v>0.40022342262111471</v>
      </c>
    </row>
    <row r="58" spans="1:5" ht="15" customHeight="1" thickBot="1" x14ac:dyDescent="0.3">
      <c r="A58" s="409"/>
      <c r="B58" s="358" t="s">
        <v>222</v>
      </c>
      <c r="C58" s="359">
        <f>AE17</f>
        <v>5566.8109993479311</v>
      </c>
      <c r="D58" s="359">
        <f>AG17</f>
        <v>582.00581748688899</v>
      </c>
      <c r="E58" s="360">
        <f>AF17</f>
        <v>4905.0381870091605</v>
      </c>
    </row>
    <row r="59" spans="1:5" ht="15.75" thickTop="1" x14ac:dyDescent="0.25"/>
  </sheetData>
  <sheetProtection password="A25B" sheet="1" objects="1" scenarios="1" selectLockedCells="1" selectUnlockedCells="1"/>
  <mergeCells count="14">
    <mergeCell ref="A48:A58"/>
    <mergeCell ref="A33:A45"/>
    <mergeCell ref="A4:A15"/>
    <mergeCell ref="A18:A29"/>
    <mergeCell ref="A1:B1"/>
    <mergeCell ref="A16:B16"/>
    <mergeCell ref="C1:AH1"/>
    <mergeCell ref="A2:B3"/>
    <mergeCell ref="AE2:AH2"/>
    <mergeCell ref="C2:I2"/>
    <mergeCell ref="J2:O2"/>
    <mergeCell ref="P2:U2"/>
    <mergeCell ref="V2:AB2"/>
    <mergeCell ref="AC2:AD2"/>
  </mergeCells>
  <pageMargins left="0.7" right="0.7" top="0.75" bottom="0.75" header="0.3" footer="0.3"/>
  <pageSetup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30"/>
  <sheetViews>
    <sheetView showGridLines="0" zoomScaleNormal="100" workbookViewId="0">
      <selection activeCell="K21" sqref="K21"/>
    </sheetView>
  </sheetViews>
  <sheetFormatPr defaultRowHeight="15" x14ac:dyDescent="0.25"/>
  <sheetData>
    <row r="30" spans="12:12" x14ac:dyDescent="0.25">
      <c r="L30" s="340" t="s">
        <v>226</v>
      </c>
    </row>
  </sheetData>
  <sheetProtection password="A25B" sheet="1" objects="1" scenarios="1" selectLockedCells="1" selectUnlockedCells="1"/>
  <pageMargins left="0.7" right="0.7" top="0.75" bottom="0.75" header="0.3" footer="0.3"/>
  <pageSetup scale="82" orientation="portrait" r:id="rId1"/>
  <colBreaks count="1" manualBreakCount="1">
    <brk id="9" max="42" man="1"/>
  </colBreaks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447675</xdr:colOff>
                <xdr:row>42</xdr:row>
                <xdr:rowOff>142875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133350</xdr:colOff>
                <xdr:row>0</xdr:row>
                <xdr:rowOff>0</xdr:rowOff>
              </from>
              <to>
                <xdr:col>20</xdr:col>
                <xdr:colOff>581025</xdr:colOff>
                <xdr:row>31</xdr:row>
                <xdr:rowOff>104775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topLeftCell="I4" zoomScale="90" zoomScaleNormal="90" workbookViewId="0">
      <selection activeCell="A20" sqref="A20:P31"/>
    </sheetView>
  </sheetViews>
  <sheetFormatPr defaultRowHeight="15" x14ac:dyDescent="0.25"/>
  <cols>
    <col min="1" max="2" width="12.7109375" customWidth="1"/>
    <col min="3" max="21" width="9.140625" customWidth="1"/>
    <col min="22" max="24" width="9.85546875" bestFit="1" customWidth="1"/>
    <col min="25" max="25" width="9.85546875" customWidth="1"/>
    <col min="26" max="31" width="9.140625" customWidth="1"/>
    <col min="32" max="35" width="9.85546875" bestFit="1" customWidth="1"/>
  </cols>
  <sheetData>
    <row r="1" spans="1:35" ht="21.75" thickBot="1" x14ac:dyDescent="0.3">
      <c r="A1" s="490">
        <v>2014</v>
      </c>
      <c r="B1" s="522"/>
      <c r="C1" s="523" t="s">
        <v>90</v>
      </c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4"/>
      <c r="P1" s="524"/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525"/>
    </row>
    <row r="2" spans="1:35" ht="28.5" customHeight="1" thickBot="1" x14ac:dyDescent="0.3">
      <c r="A2" s="526"/>
      <c r="B2" s="388"/>
      <c r="C2" s="529" t="s">
        <v>66</v>
      </c>
      <c r="D2" s="393"/>
      <c r="E2" s="393"/>
      <c r="F2" s="393"/>
      <c r="G2" s="393"/>
      <c r="H2" s="393"/>
      <c r="I2" s="393"/>
      <c r="J2" s="393"/>
      <c r="K2" s="393"/>
      <c r="L2" s="393"/>
      <c r="M2" s="530"/>
      <c r="N2" s="530"/>
      <c r="O2" s="530"/>
      <c r="P2" s="531"/>
      <c r="Q2" s="532" t="s">
        <v>71</v>
      </c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4"/>
      <c r="AD2" s="535" t="s">
        <v>83</v>
      </c>
      <c r="AE2" s="536"/>
      <c r="AF2" s="539" t="s">
        <v>161</v>
      </c>
      <c r="AG2" s="540"/>
      <c r="AH2" s="540"/>
      <c r="AI2" s="541"/>
    </row>
    <row r="3" spans="1:35" ht="28.5" customHeight="1" thickBot="1" x14ac:dyDescent="0.3">
      <c r="A3" s="526"/>
      <c r="B3" s="388"/>
      <c r="C3" s="529" t="s">
        <v>91</v>
      </c>
      <c r="D3" s="393"/>
      <c r="E3" s="393"/>
      <c r="F3" s="393"/>
      <c r="G3" s="393"/>
      <c r="H3" s="393"/>
      <c r="I3" s="394"/>
      <c r="J3" s="398" t="s">
        <v>92</v>
      </c>
      <c r="K3" s="399"/>
      <c r="L3" s="400"/>
      <c r="M3" s="499" t="s">
        <v>93</v>
      </c>
      <c r="N3" s="500"/>
      <c r="O3" s="500"/>
      <c r="P3" s="501"/>
      <c r="Q3" s="498" t="s">
        <v>94</v>
      </c>
      <c r="R3" s="396"/>
      <c r="S3" s="396"/>
      <c r="T3" s="396"/>
      <c r="U3" s="396"/>
      <c r="V3" s="397"/>
      <c r="W3" s="398" t="s">
        <v>95</v>
      </c>
      <c r="X3" s="399"/>
      <c r="Y3" s="400"/>
      <c r="Z3" s="499" t="s">
        <v>96</v>
      </c>
      <c r="AA3" s="500"/>
      <c r="AB3" s="500"/>
      <c r="AC3" s="501"/>
      <c r="AD3" s="537"/>
      <c r="AE3" s="538"/>
      <c r="AF3" s="542"/>
      <c r="AG3" s="543"/>
      <c r="AH3" s="543"/>
      <c r="AI3" s="544"/>
    </row>
    <row r="4" spans="1:35" ht="129.75" thickBot="1" x14ac:dyDescent="0.3">
      <c r="A4" s="527"/>
      <c r="B4" s="528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 x14ac:dyDescent="0.25">
      <c r="A5" s="502" t="s">
        <v>99</v>
      </c>
      <c r="B5" s="503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 x14ac:dyDescent="0.3">
      <c r="A6" s="473"/>
      <c r="B6" s="504"/>
      <c r="C6" s="144">
        <f>'Yearly Summary '!$C$17</f>
        <v>0</v>
      </c>
      <c r="D6" s="142">
        <f>'Yearly Summary '!$D$17</f>
        <v>7875.3742717385321</v>
      </c>
      <c r="E6" s="142">
        <f>'Yearly Summary '!$E$17</f>
        <v>96050.193205034739</v>
      </c>
      <c r="F6" s="142">
        <f>'Yearly Summary '!$F$17</f>
        <v>1742.3266353597251</v>
      </c>
      <c r="G6" s="142">
        <f>'Yearly Summary '!$G$17</f>
        <v>0</v>
      </c>
      <c r="H6" s="142">
        <f>'Yearly Summary '!$H$17</f>
        <v>224685.00856783544</v>
      </c>
      <c r="I6" s="142">
        <f>'Yearly Summary '!$I$17</f>
        <v>5900.1762460172185</v>
      </c>
      <c r="J6" s="142">
        <f>'Yearly Summary '!$Q$17</f>
        <v>0</v>
      </c>
      <c r="K6" s="142">
        <f>'Yearly Summary '!$S$17</f>
        <v>0</v>
      </c>
      <c r="L6" s="142">
        <f>'Yearly Summary '!$U$17</f>
        <v>0</v>
      </c>
      <c r="M6" s="142">
        <f>'Yearly Summary '!$W$17</f>
        <v>15993.72277918265</v>
      </c>
      <c r="N6" s="142">
        <f>'Yearly Summary '!$Y$17</f>
        <v>1429.7007566715047</v>
      </c>
      <c r="O6" s="142">
        <f>'Yearly Summary '!$AA$17</f>
        <v>12564.993455098071</v>
      </c>
      <c r="P6" s="143">
        <f>('Yearly Summary '!$AB$17)*(1-AI6)</f>
        <v>0</v>
      </c>
      <c r="Q6" s="141">
        <f>'Yearly Summary '!$J$17</f>
        <v>145403.13562203245</v>
      </c>
      <c r="R6" s="142">
        <f>'Yearly Summary '!$K$17</f>
        <v>314636.6753492991</v>
      </c>
      <c r="S6" s="142">
        <f>'Yearly Summary '!$L$17</f>
        <v>14383.966392441591</v>
      </c>
      <c r="T6" s="142">
        <f>'Yearly Summary '!$M$17</f>
        <v>0.34818213319778202</v>
      </c>
      <c r="U6" s="142">
        <f>'Yearly Summary '!N17</f>
        <v>0</v>
      </c>
      <c r="V6" s="142">
        <f>'Yearly Summary '!O17</f>
        <v>0</v>
      </c>
      <c r="W6" s="142">
        <f>'Yearly Summary '!$P$17</f>
        <v>0</v>
      </c>
      <c r="X6" s="142">
        <f>'Yearly Summary '!$R$17</f>
        <v>0</v>
      </c>
      <c r="Y6" s="142">
        <f>'Yearly Summary '!$T$17</f>
        <v>0</v>
      </c>
      <c r="Z6" s="142">
        <f>'Yearly Summary '!$V$17</f>
        <v>131202.60663793056</v>
      </c>
      <c r="AA6" s="142">
        <f>'Yearly Summary '!$X$17</f>
        <v>11862.96660748156</v>
      </c>
      <c r="AB6" s="142">
        <f>'Yearly Summary '!$Z$17</f>
        <v>96953.488534059943</v>
      </c>
      <c r="AC6" s="143">
        <f>('Yearly Summary '!$AB$17)*AI6</f>
        <v>0</v>
      </c>
      <c r="AD6" s="144">
        <v>4688.3846085177338</v>
      </c>
      <c r="AE6" s="142">
        <v>0</v>
      </c>
      <c r="AF6" s="147">
        <f>'Yearly Summary '!$AE$17</f>
        <v>5566.8109993479311</v>
      </c>
      <c r="AG6" s="147">
        <f>'Yearly Summary '!$AF$17</f>
        <v>4905.0381870091605</v>
      </c>
      <c r="AH6" s="147">
        <f>'Yearly Summary '!$AG$17</f>
        <v>582.00581748688899</v>
      </c>
      <c r="AI6" s="148">
        <f>'Yearly Summary '!$AH$17</f>
        <v>0.8939309003153616</v>
      </c>
    </row>
    <row r="7" spans="1:35" ht="15" customHeight="1" x14ac:dyDescent="0.25">
      <c r="A7" s="475" t="s">
        <v>103</v>
      </c>
      <c r="B7" s="505"/>
      <c r="C7" s="152">
        <f>(C6*(1.029*8.34)*0.03)/2000</f>
        <v>0</v>
      </c>
      <c r="D7" s="150">
        <f>(D6*(1.4*8.34)*0.38)/2000</f>
        <v>17.471045299395627</v>
      </c>
      <c r="E7" s="150">
        <f>(E6*(1.54*8.34)*0.5)/2000</f>
        <v>308.40756536204606</v>
      </c>
      <c r="F7" s="150">
        <f>(F6*(1.04*8.34)*1)/2000</f>
        <v>7.5561221522280553</v>
      </c>
      <c r="G7" s="150">
        <f>(G6*(1.055*8.34)*0.005)/2000</f>
        <v>0</v>
      </c>
      <c r="H7" s="150">
        <f>H6/2000</f>
        <v>112.34250428391772</v>
      </c>
      <c r="I7" s="150">
        <f>(I6*(1.135*8.34)*0.35)/2000</f>
        <v>9.7738337072555161</v>
      </c>
      <c r="J7" s="150">
        <f>(J6*(1.055*8.34)*1)/2000</f>
        <v>0</v>
      </c>
      <c r="K7" s="150">
        <f>(K6*(1.055*8.34)*1)/2000</f>
        <v>0</v>
      </c>
      <c r="L7" s="150">
        <f>(L6*(1.4*8.34)*0.38)/2000</f>
        <v>0</v>
      </c>
      <c r="M7" s="150">
        <f>M6/2000</f>
        <v>7.9968613895913245</v>
      </c>
      <c r="N7" s="150">
        <f>(N6*(0.895*8.34)*0.29)/2000</f>
        <v>1.5473987269133511</v>
      </c>
      <c r="O7" s="150">
        <f>(O6*(1.54*8.34)*0.5)/2000</f>
        <v>40.344937484974395</v>
      </c>
      <c r="P7" s="151">
        <f>(P6*(1.135*8.34)*0.35)/2000</f>
        <v>0</v>
      </c>
      <c r="Q7" s="149">
        <f>(Q6*(1.029*8.34)*0.03)/2000</f>
        <v>18.717440302039428</v>
      </c>
      <c r="R7" s="150">
        <f>(R6*(1.4*8.34)*0.38)/2000</f>
        <v>698.00258606189914</v>
      </c>
      <c r="S7" s="150">
        <f>(S6*(1.04*8.34)*1)/2000</f>
        <v>62.380385450740697</v>
      </c>
      <c r="T7" s="150">
        <f>(T6*(1.135*8.34)*0.35)/2000</f>
        <v>5.7677501956145485E-4</v>
      </c>
      <c r="U7" s="150">
        <f>(U6*(1.055*8.34)*0.005)/2000</f>
        <v>0</v>
      </c>
      <c r="V7" s="150">
        <f>(V6*(1.055*8.34)*0.005)/2000</f>
        <v>0</v>
      </c>
      <c r="W7" s="150">
        <f>(W6*(1.055*8.34)*1)/2000</f>
        <v>0</v>
      </c>
      <c r="X7" s="150">
        <f>(X6*(1.055*8.34)*1)/2000</f>
        <v>0</v>
      </c>
      <c r="Y7" s="150">
        <f>(Y6*(1.4*8.34)*0.38)/2000</f>
        <v>0</v>
      </c>
      <c r="Z7" s="150">
        <f>Z6/2000</f>
        <v>65.601303318965279</v>
      </c>
      <c r="AA7" s="150">
        <f>(AA6*(0.895*8.34)*0.29)/2000</f>
        <v>12.839567538992567</v>
      </c>
      <c r="AB7" s="150">
        <f>(AB6*(1.54*8.34)*0.5)/2000</f>
        <v>311.30795633401306</v>
      </c>
      <c r="AC7" s="151">
        <f>(AC6*(1.135*8.34)*0.35)/2000</f>
        <v>0</v>
      </c>
      <c r="AD7" s="152">
        <f>AD6/2000</f>
        <v>2.344192304258867</v>
      </c>
      <c r="AE7" s="150">
        <f>(AE6*(1.029*8.34)*0.03)/2000</f>
        <v>0</v>
      </c>
      <c r="AF7" s="509" t="s">
        <v>160</v>
      </c>
      <c r="AG7" s="510"/>
      <c r="AH7" s="510"/>
      <c r="AI7" s="511"/>
    </row>
    <row r="8" spans="1:35" x14ac:dyDescent="0.25">
      <c r="A8" s="518" t="s">
        <v>104</v>
      </c>
      <c r="B8" s="519"/>
      <c r="C8" s="156">
        <f>C7/$AH$6</f>
        <v>0</v>
      </c>
      <c r="D8" s="154">
        <f>D7/$AH$6</f>
        <v>3.001867812049697E-2</v>
      </c>
      <c r="E8" s="154">
        <f t="shared" ref="E8:P8" si="0">E7/$AH$6</f>
        <v>0.52990460936242045</v>
      </c>
      <c r="F8" s="154">
        <f t="shared" si="0"/>
        <v>1.2982897980050302E-2</v>
      </c>
      <c r="G8" s="154">
        <f t="shared" si="0"/>
        <v>0</v>
      </c>
      <c r="H8" s="154">
        <f t="shared" si="0"/>
        <v>0.19302642844536255</v>
      </c>
      <c r="I8" s="154">
        <f t="shared" si="0"/>
        <v>1.6793360845530885E-2</v>
      </c>
      <c r="J8" s="154">
        <f t="shared" si="0"/>
        <v>0</v>
      </c>
      <c r="K8" s="154">
        <f t="shared" si="0"/>
        <v>0</v>
      </c>
      <c r="L8" s="154">
        <f t="shared" si="0"/>
        <v>0</v>
      </c>
      <c r="M8" s="154">
        <f t="shared" si="0"/>
        <v>1.3740174323552139E-2</v>
      </c>
      <c r="N8" s="154">
        <f t="shared" si="0"/>
        <v>2.6587341233031744E-3</v>
      </c>
      <c r="O8" s="154">
        <f t="shared" si="0"/>
        <v>6.9320505522065951E-2</v>
      </c>
      <c r="P8" s="155">
        <f t="shared" si="0"/>
        <v>0</v>
      </c>
      <c r="Q8" s="153">
        <f>Q7/$AG$6</f>
        <v>3.8159621981357821E-3</v>
      </c>
      <c r="R8" s="154">
        <f t="shared" ref="R8:AD8" si="1">R7/$AG$6</f>
        <v>0.14230319101501332</v>
      </c>
      <c r="S8" s="154">
        <f t="shared" si="1"/>
        <v>1.2717614638751068E-2</v>
      </c>
      <c r="T8" s="154">
        <f t="shared" si="1"/>
        <v>1.1758828322458842E-7</v>
      </c>
      <c r="U8" s="154">
        <f t="shared" si="1"/>
        <v>0</v>
      </c>
      <c r="V8" s="154">
        <f t="shared" si="1"/>
        <v>0</v>
      </c>
      <c r="W8" s="154">
        <f t="shared" si="1"/>
        <v>0</v>
      </c>
      <c r="X8" s="154">
        <f t="shared" si="1"/>
        <v>0</v>
      </c>
      <c r="Y8" s="154">
        <f t="shared" si="1"/>
        <v>0</v>
      </c>
      <c r="Z8" s="154">
        <f t="shared" si="1"/>
        <v>1.3374269642325775E-2</v>
      </c>
      <c r="AA8" s="154">
        <f t="shared" si="1"/>
        <v>2.6176284565934183E-3</v>
      </c>
      <c r="AB8" s="154">
        <f t="shared" si="1"/>
        <v>6.3466979147787761E-2</v>
      </c>
      <c r="AC8" s="155">
        <f t="shared" si="1"/>
        <v>0</v>
      </c>
      <c r="AD8" s="156">
        <f t="shared" si="1"/>
        <v>4.7791519961401865E-4</v>
      </c>
      <c r="AE8" s="154"/>
      <c r="AF8" s="512"/>
      <c r="AG8" s="513"/>
      <c r="AH8" s="513"/>
      <c r="AI8" s="514"/>
    </row>
    <row r="9" spans="1:35" ht="15.75" thickBot="1" x14ac:dyDescent="0.3">
      <c r="A9" s="520" t="s">
        <v>105</v>
      </c>
      <c r="B9" s="521"/>
      <c r="C9" s="219">
        <f t="shared" ref="C9:P9" si="2">C7/$AH$19</f>
        <v>0</v>
      </c>
      <c r="D9" s="157">
        <f t="shared" si="2"/>
        <v>4.6855767580207736E-2</v>
      </c>
      <c r="E9" s="157">
        <f t="shared" si="2"/>
        <v>0.8271212715063847</v>
      </c>
      <c r="F9" s="157">
        <f t="shared" si="2"/>
        <v>2.0264838039467756E-2</v>
      </c>
      <c r="G9" s="157">
        <f t="shared" si="2"/>
        <v>0</v>
      </c>
      <c r="H9" s="157">
        <f t="shared" si="2"/>
        <v>0.30129246303813512</v>
      </c>
      <c r="I9" s="157">
        <f t="shared" si="2"/>
        <v>2.6212540389361064E-2</v>
      </c>
      <c r="J9" s="157">
        <f t="shared" si="2"/>
        <v>0</v>
      </c>
      <c r="K9" s="157">
        <f t="shared" si="2"/>
        <v>0</v>
      </c>
      <c r="L9" s="157">
        <f t="shared" si="2"/>
        <v>0</v>
      </c>
      <c r="M9" s="157">
        <f t="shared" si="2"/>
        <v>2.1446860918779148E-2</v>
      </c>
      <c r="N9" s="157">
        <f t="shared" si="2"/>
        <v>4.1499838080477913E-3</v>
      </c>
      <c r="O9" s="157">
        <f t="shared" si="2"/>
        <v>0.10820148316479754</v>
      </c>
      <c r="P9" s="158">
        <f t="shared" si="2"/>
        <v>0</v>
      </c>
      <c r="Q9" s="159">
        <f t="shared" ref="Q9:AD9" si="3">Q7/$AF$19</f>
        <v>4.4063585830800113E-3</v>
      </c>
      <c r="R9" s="160">
        <f t="shared" si="3"/>
        <v>0.16431999442630915</v>
      </c>
      <c r="S9" s="160">
        <f t="shared" si="3"/>
        <v>1.4685253026652431E-2</v>
      </c>
      <c r="T9" s="160">
        <f t="shared" si="3"/>
        <v>1.3578125624762065E-7</v>
      </c>
      <c r="U9" s="160">
        <f t="shared" si="3"/>
        <v>0</v>
      </c>
      <c r="V9" s="160">
        <f t="shared" si="3"/>
        <v>0</v>
      </c>
      <c r="W9" s="160">
        <f t="shared" si="3"/>
        <v>0</v>
      </c>
      <c r="X9" s="160">
        <f t="shared" si="3"/>
        <v>0</v>
      </c>
      <c r="Y9" s="160">
        <f t="shared" si="3"/>
        <v>0</v>
      </c>
      <c r="Z9" s="160">
        <f t="shared" si="3"/>
        <v>1.544350409437459E-2</v>
      </c>
      <c r="AA9" s="160">
        <f t="shared" si="3"/>
        <v>3.0226215612564806E-3</v>
      </c>
      <c r="AB9" s="160">
        <f t="shared" si="3"/>
        <v>7.3286435711191408E-2</v>
      </c>
      <c r="AC9" s="161">
        <f t="shared" si="3"/>
        <v>0</v>
      </c>
      <c r="AD9" s="162">
        <f t="shared" si="3"/>
        <v>5.5185707626569504E-4</v>
      </c>
      <c r="AE9" s="160"/>
      <c r="AF9" s="515"/>
      <c r="AG9" s="516"/>
      <c r="AH9" s="516"/>
      <c r="AI9" s="517"/>
    </row>
    <row r="10" spans="1:35" ht="15.75" thickBot="1" x14ac:dyDescent="0.3">
      <c r="A10" s="477" t="s">
        <v>106</v>
      </c>
      <c r="B10" s="489"/>
      <c r="C10" s="166">
        <f>'Yearly Summary '!$C$30</f>
        <v>0</v>
      </c>
      <c r="D10" s="164">
        <f>'Yearly Summary '!D30</f>
        <v>8630.6963779014368</v>
      </c>
      <c r="E10" s="164">
        <f>'Yearly Summary '!E30</f>
        <v>209717.14444619135</v>
      </c>
      <c r="F10" s="164">
        <f>'Yearly Summary '!F30</f>
        <v>7556.1221522280557</v>
      </c>
      <c r="G10" s="164">
        <f>'Yearly Summary '!G30</f>
        <v>0</v>
      </c>
      <c r="H10" s="164">
        <f>'Yearly Summary '!H30</f>
        <v>12384.637672259089</v>
      </c>
      <c r="I10" s="164">
        <f>'Yearly Summary '!I30</f>
        <v>20273.7236327643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3508.2230916137137</v>
      </c>
      <c r="N10" s="164">
        <f>'Yearly Summary '!$Y$30</f>
        <v>1662.0271296306244</v>
      </c>
      <c r="O10" s="164">
        <f>'Yearly Summary '!$AA$30</f>
        <v>27434.557489782586</v>
      </c>
      <c r="P10" s="165">
        <f>('Yearly Summary '!$AB$30)*(1-AI6)</f>
        <v>0</v>
      </c>
      <c r="Q10" s="163">
        <f>'Yearly Summary '!J30</f>
        <v>117171.17629076685</v>
      </c>
      <c r="R10" s="164">
        <f>'Yearly Summary '!K30</f>
        <v>344813.27751457819</v>
      </c>
      <c r="S10" s="164">
        <f>'Yearly Summary '!L30</f>
        <v>62380.385450740694</v>
      </c>
      <c r="T10" s="164">
        <f>'Yearly Summary '!M30</f>
        <v>0</v>
      </c>
      <c r="U10" s="164">
        <f>'Yearly Summary '!N30</f>
        <v>0</v>
      </c>
      <c r="V10" s="164">
        <f>'Yearly Summary '!O30</f>
        <v>0</v>
      </c>
      <c r="W10" s="164">
        <f>'Yearly Summary '!$P$30</f>
        <v>0</v>
      </c>
      <c r="X10" s="164">
        <f>'Yearly Summary '!$R$30</f>
        <v>0</v>
      </c>
      <c r="Y10" s="164">
        <v>0.11860580125559859</v>
      </c>
      <c r="Z10" s="164">
        <f>'Yearly Summary '!$V$30</f>
        <v>28779.291766030066</v>
      </c>
      <c r="AA10" s="164">
        <f>'Yearly Summary '!$X$30</f>
        <v>13790.698681197313</v>
      </c>
      <c r="AB10" s="164">
        <f>'Yearly Summary '!$Z$30</f>
        <v>211689.41030712891</v>
      </c>
      <c r="AC10" s="165">
        <f>('Yearly Summary '!$AB$30)*AI6</f>
        <v>0</v>
      </c>
      <c r="AD10" s="166">
        <f>'Yearly Summary '!$AC$30</f>
        <v>2800.1322607089492</v>
      </c>
      <c r="AE10" s="164">
        <f>'Yearly Summary '!$AD$30</f>
        <v>0</v>
      </c>
      <c r="AF10" s="167" t="s">
        <v>107</v>
      </c>
      <c r="AG10" s="168">
        <f>'[1]Yearly Summary '!$Q$29</f>
        <v>129.69032460422514</v>
      </c>
      <c r="AH10" s="167" t="s">
        <v>108</v>
      </c>
      <c r="AI10" s="169">
        <f>'[1]Yearly Summary '!$R$29</f>
        <v>4.4826351531982424E-2</v>
      </c>
    </row>
    <row r="11" spans="1:35" ht="15.75" thickBot="1" x14ac:dyDescent="0.3">
      <c r="A11" s="216"/>
      <c r="B11" s="217"/>
      <c r="C11" s="494" t="s">
        <v>117</v>
      </c>
      <c r="D11" s="495"/>
      <c r="E11" s="495"/>
      <c r="F11" s="220">
        <f>SUM(C10:P10)</f>
        <v>291167.15170860913</v>
      </c>
      <c r="G11" s="496" t="s">
        <v>118</v>
      </c>
      <c r="H11" s="495"/>
      <c r="I11" s="495"/>
      <c r="J11" s="221">
        <f>SUM(Q10:AE10)</f>
        <v>781424.49087695219</v>
      </c>
      <c r="K11" s="496" t="s">
        <v>119</v>
      </c>
      <c r="L11" s="497"/>
      <c r="M11" s="497">
        <f>SUM(C10:AE10)</f>
        <v>1072591.6425855614</v>
      </c>
      <c r="N11" s="506"/>
      <c r="O11" s="507" t="s">
        <v>120</v>
      </c>
      <c r="P11" s="508"/>
      <c r="Q11" s="508"/>
      <c r="R11" s="222">
        <f>($AG$6+$AH$6)/($AG$19+$AI$19)</f>
        <v>1.2217979752406529</v>
      </c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184"/>
      <c r="AF11" s="420" t="s">
        <v>110</v>
      </c>
      <c r="AG11" s="420" t="s">
        <v>111</v>
      </c>
      <c r="AH11" s="420" t="s">
        <v>112</v>
      </c>
      <c r="AI11" s="420" t="s">
        <v>113</v>
      </c>
    </row>
    <row r="12" spans="1:35" ht="21.75" customHeight="1" thickBot="1" x14ac:dyDescent="0.3">
      <c r="A12" s="490">
        <f>A1+1</f>
        <v>2015</v>
      </c>
      <c r="B12" s="491"/>
      <c r="C12" s="492" t="s">
        <v>109</v>
      </c>
      <c r="D12" s="492"/>
      <c r="E12" s="492"/>
      <c r="F12" s="492"/>
      <c r="G12" s="492"/>
      <c r="H12" s="492"/>
      <c r="I12" s="492"/>
      <c r="J12" s="492"/>
      <c r="K12" s="492"/>
      <c r="L12" s="492"/>
      <c r="M12" s="492"/>
      <c r="N12" s="492"/>
      <c r="O12" s="492"/>
      <c r="P12" s="492"/>
      <c r="Q12" s="492"/>
      <c r="R12" s="492"/>
      <c r="S12" s="493"/>
      <c r="T12" s="493"/>
      <c r="U12" s="493"/>
      <c r="V12" s="493"/>
      <c r="W12" s="493"/>
      <c r="X12" s="493"/>
      <c r="Y12" s="493"/>
      <c r="Z12" s="493"/>
      <c r="AA12" s="493"/>
      <c r="AB12" s="493"/>
      <c r="AC12" s="493"/>
      <c r="AD12" s="493"/>
      <c r="AE12" s="493"/>
      <c r="AF12" s="421"/>
      <c r="AG12" s="421"/>
      <c r="AH12" s="421"/>
      <c r="AI12" s="421"/>
    </row>
    <row r="13" spans="1:35" ht="15" customHeight="1" x14ac:dyDescent="0.25">
      <c r="A13" s="473" t="s">
        <v>114</v>
      </c>
      <c r="B13" s="474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421"/>
      <c r="AG13" s="421"/>
      <c r="AH13" s="421"/>
      <c r="AI13" s="421"/>
    </row>
    <row r="14" spans="1:35" x14ac:dyDescent="0.25">
      <c r="A14" s="473"/>
      <c r="B14" s="474"/>
      <c r="C14" s="141">
        <f t="shared" ref="C14:P14" si="4">(C6/$AH$6)*$AB$18</f>
        <v>0</v>
      </c>
      <c r="D14" s="142">
        <f t="shared" si="4"/>
        <v>11660.714678034235</v>
      </c>
      <c r="E14" s="142">
        <f t="shared" si="4"/>
        <v>142217.22791680394</v>
      </c>
      <c r="F14" s="142">
        <f t="shared" si="4"/>
        <v>2579.7851720873336</v>
      </c>
      <c r="G14" s="142">
        <f t="shared" si="4"/>
        <v>0</v>
      </c>
      <c r="H14" s="142">
        <f t="shared" si="4"/>
        <v>332681.0494255824</v>
      </c>
      <c r="I14" s="142">
        <f t="shared" si="4"/>
        <v>8736.1272469065625</v>
      </c>
      <c r="J14" s="142">
        <f t="shared" si="4"/>
        <v>0</v>
      </c>
      <c r="K14" s="142">
        <f t="shared" si="4"/>
        <v>0</v>
      </c>
      <c r="L14" s="142">
        <f t="shared" si="4"/>
        <v>0</v>
      </c>
      <c r="M14" s="142">
        <f t="shared" si="4"/>
        <v>23681.190446642111</v>
      </c>
      <c r="N14" s="142">
        <f t="shared" si="4"/>
        <v>2116.8940069734335</v>
      </c>
      <c r="O14" s="142">
        <f t="shared" si="4"/>
        <v>18604.424190613328</v>
      </c>
      <c r="P14" s="143">
        <f t="shared" si="4"/>
        <v>0</v>
      </c>
      <c r="Q14" s="141">
        <f t="shared" ref="Q14:AE14" si="5">(Q6/$AG$6)*$T$18</f>
        <v>144757.25467475629</v>
      </c>
      <c r="R14" s="142">
        <f t="shared" si="5"/>
        <v>313239.05876384472</v>
      </c>
      <c r="S14" s="142">
        <f t="shared" si="5"/>
        <v>14320.072792077372</v>
      </c>
      <c r="T14" s="142">
        <f t="shared" si="5"/>
        <v>0.34663550763807616</v>
      </c>
      <c r="U14" s="142">
        <f t="shared" si="5"/>
        <v>0</v>
      </c>
      <c r="V14" s="142">
        <f t="shared" si="5"/>
        <v>0</v>
      </c>
      <c r="W14" s="142">
        <f t="shared" si="5"/>
        <v>0</v>
      </c>
      <c r="X14" s="142">
        <f t="shared" si="5"/>
        <v>0</v>
      </c>
      <c r="Y14" s="142">
        <f t="shared" si="5"/>
        <v>0</v>
      </c>
      <c r="Z14" s="142">
        <f t="shared" si="5"/>
        <v>130619.80446177469</v>
      </c>
      <c r="AA14" s="142">
        <f t="shared" si="5"/>
        <v>11810.271291956433</v>
      </c>
      <c r="AB14" s="142">
        <f t="shared" si="5"/>
        <v>96522.820992069072</v>
      </c>
      <c r="AC14" s="143">
        <f t="shared" si="5"/>
        <v>0</v>
      </c>
      <c r="AD14" s="144">
        <f t="shared" si="5"/>
        <v>4667.5587970303131</v>
      </c>
      <c r="AE14" s="173">
        <f t="shared" si="5"/>
        <v>0</v>
      </c>
      <c r="AF14" s="421"/>
      <c r="AG14" s="421"/>
      <c r="AH14" s="421"/>
      <c r="AI14" s="421"/>
    </row>
    <row r="15" spans="1:35" x14ac:dyDescent="0.25">
      <c r="A15" s="475" t="s">
        <v>115</v>
      </c>
      <c r="B15" s="476"/>
      <c r="C15" s="149">
        <f t="shared" ref="C15:P15" si="6">C8*$AB$18</f>
        <v>0</v>
      </c>
      <c r="D15" s="150">
        <f t="shared" si="6"/>
        <v>25.868595870338265</v>
      </c>
      <c r="E15" s="150">
        <f t="shared" si="6"/>
        <v>456.6452971180658</v>
      </c>
      <c r="F15" s="150">
        <f t="shared" si="6"/>
        <v>11.188012334308347</v>
      </c>
      <c r="G15" s="150">
        <f t="shared" si="6"/>
        <v>0</v>
      </c>
      <c r="H15" s="150">
        <f t="shared" si="6"/>
        <v>166.34052471279119</v>
      </c>
      <c r="I15" s="150">
        <f t="shared" si="6"/>
        <v>14.47167870863624</v>
      </c>
      <c r="J15" s="150">
        <f t="shared" si="6"/>
        <v>0</v>
      </c>
      <c r="K15" s="150">
        <f t="shared" si="6"/>
        <v>0</v>
      </c>
      <c r="L15" s="150">
        <f t="shared" si="6"/>
        <v>0</v>
      </c>
      <c r="M15" s="150">
        <f t="shared" si="6"/>
        <v>11.840595223321056</v>
      </c>
      <c r="N15" s="150">
        <f t="shared" si="6"/>
        <v>2.2911641307565107</v>
      </c>
      <c r="O15" s="150">
        <f t="shared" si="6"/>
        <v>59.736945633640332</v>
      </c>
      <c r="P15" s="151">
        <f t="shared" si="6"/>
        <v>0</v>
      </c>
      <c r="Q15" s="149">
        <f t="shared" ref="Q15:AD15" si="7">Q8*$T$18</f>
        <v>18.634297404046556</v>
      </c>
      <c r="R15" s="150">
        <f t="shared" si="7"/>
        <v>694.90205752406382</v>
      </c>
      <c r="S15" s="150">
        <f t="shared" si="7"/>
        <v>62.103291684681153</v>
      </c>
      <c r="T15" s="150">
        <f t="shared" si="7"/>
        <v>5.7421298405647134E-4</v>
      </c>
      <c r="U15" s="150">
        <f t="shared" si="7"/>
        <v>0</v>
      </c>
      <c r="V15" s="150">
        <f t="shared" si="7"/>
        <v>0</v>
      </c>
      <c r="W15" s="150">
        <f t="shared" si="7"/>
        <v>0</v>
      </c>
      <c r="X15" s="150">
        <f t="shared" si="7"/>
        <v>0</v>
      </c>
      <c r="Y15" s="150">
        <f t="shared" si="7"/>
        <v>0</v>
      </c>
      <c r="Z15" s="150">
        <f t="shared" si="7"/>
        <v>65.309902230887346</v>
      </c>
      <c r="AA15" s="150">
        <f t="shared" si="7"/>
        <v>12.782534160659811</v>
      </c>
      <c r="AB15" s="150">
        <f t="shared" si="7"/>
        <v>309.92512592343456</v>
      </c>
      <c r="AC15" s="151">
        <f t="shared" si="7"/>
        <v>0</v>
      </c>
      <c r="AD15" s="152">
        <f t="shared" si="7"/>
        <v>2.3337793985151567</v>
      </c>
      <c r="AE15" s="174">
        <f>(AE14*(1.029*8.34)*0.03)/2000</f>
        <v>0</v>
      </c>
      <c r="AF15" s="421"/>
      <c r="AG15" s="421"/>
      <c r="AH15" s="421"/>
      <c r="AI15" s="421"/>
    </row>
    <row r="16" spans="1:35" ht="15" customHeight="1" thickBot="1" x14ac:dyDescent="0.3">
      <c r="A16" s="477" t="s">
        <v>116</v>
      </c>
      <c r="B16" s="478"/>
      <c r="C16" s="175">
        <f>$AI$30*C15</f>
        <v>0</v>
      </c>
      <c r="D16" s="176">
        <f>$AI$28*D15</f>
        <v>12779.086359947103</v>
      </c>
      <c r="E16" s="176">
        <f>$AI$31*E15</f>
        <v>310518.80204028473</v>
      </c>
      <c r="F16" s="176">
        <f>$AI$26*F15</f>
        <v>11188.012334308347</v>
      </c>
      <c r="G16" s="177">
        <f>$AI$23*G15</f>
        <v>0</v>
      </c>
      <c r="H16" s="177">
        <f>$AI$24*H15</f>
        <v>18337.379444338101</v>
      </c>
      <c r="I16" s="177">
        <f>$AI$29*I15</f>
        <v>30018.396407056887</v>
      </c>
      <c r="J16" s="177">
        <v>0</v>
      </c>
      <c r="K16" s="177">
        <f>'Yearly Summary '!$S$30</f>
        <v>0</v>
      </c>
      <c r="L16" s="177">
        <f>'Yearly Summary '!$U$30</f>
        <v>0</v>
      </c>
      <c r="M16" s="177">
        <f>$AI$27*M15</f>
        <v>5194.4691244709475</v>
      </c>
      <c r="N16" s="177">
        <f>$AI$22*N15</f>
        <v>2460.8892831066164</v>
      </c>
      <c r="O16" s="177">
        <f>$AI$31*O15</f>
        <v>40621.123030875424</v>
      </c>
      <c r="P16" s="178">
        <v>0</v>
      </c>
      <c r="Q16" s="179">
        <f>$AI$30*Q15</f>
        <v>116650.70174933145</v>
      </c>
      <c r="R16" s="177">
        <f>$AI$28*R15</f>
        <v>343281.61641688755</v>
      </c>
      <c r="S16" s="177">
        <f>$AI$26*S15</f>
        <v>62103.291684681157</v>
      </c>
      <c r="T16" s="177">
        <f>$AI$25*T15</f>
        <v>0</v>
      </c>
      <c r="U16" s="177">
        <f>$AI$23*U15</f>
        <v>0</v>
      </c>
      <c r="V16" s="177">
        <f>$AI$23*V15</f>
        <v>0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28651.454108690279</v>
      </c>
      <c r="AA16" s="177">
        <f>$AI$22*AA15</f>
        <v>13729.440376899356</v>
      </c>
      <c r="AB16" s="177">
        <f>$AI$31*AB15</f>
        <v>210749.08562793551</v>
      </c>
      <c r="AC16" s="178">
        <v>0</v>
      </c>
      <c r="AD16" s="180">
        <f>$AI$27*AD15</f>
        <v>1023.8290221285993</v>
      </c>
      <c r="AE16" s="181">
        <f>$AI$30*AE15</f>
        <v>0</v>
      </c>
      <c r="AF16" s="421"/>
      <c r="AG16" s="421"/>
      <c r="AH16" s="421"/>
      <c r="AI16" s="421"/>
    </row>
    <row r="17" spans="1:35" ht="15" customHeight="1" thickBot="1" x14ac:dyDescent="0.3">
      <c r="A17" s="479"/>
      <c r="B17" s="480"/>
      <c r="C17" s="481" t="s">
        <v>117</v>
      </c>
      <c r="D17" s="482"/>
      <c r="E17" s="482"/>
      <c r="F17" s="182">
        <f>SUM(C16:P16)</f>
        <v>431118.15802438813</v>
      </c>
      <c r="G17" s="483" t="s">
        <v>118</v>
      </c>
      <c r="H17" s="482"/>
      <c r="I17" s="482"/>
      <c r="J17" s="183">
        <f>SUM(Q16:AE16)</f>
        <v>776189.41898655379</v>
      </c>
      <c r="K17" s="483" t="s">
        <v>119</v>
      </c>
      <c r="L17" s="484"/>
      <c r="M17" s="485">
        <f>SUM(C16:AE16)</f>
        <v>1207307.5770109419</v>
      </c>
      <c r="N17" s="486"/>
      <c r="O17" s="487"/>
      <c r="P17" s="488"/>
      <c r="Q17" s="488"/>
      <c r="R17" s="223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422"/>
      <c r="AG17" s="422"/>
      <c r="AH17" s="422"/>
      <c r="AI17" s="422"/>
    </row>
    <row r="18" spans="1:35" ht="15" customHeight="1" thickTop="1" thickBot="1" x14ac:dyDescent="0.3">
      <c r="A18" s="185" t="s">
        <v>121</v>
      </c>
      <c r="B18" s="186"/>
      <c r="C18" s="186"/>
      <c r="D18" s="187">
        <v>5745</v>
      </c>
      <c r="E18" s="188" t="s">
        <v>122</v>
      </c>
      <c r="F18" s="189"/>
      <c r="G18" s="189"/>
      <c r="H18" s="190">
        <f>D18*((AF19+AH19)/(AG6+AH6))</f>
        <v>4837.9209304378601</v>
      </c>
      <c r="I18" s="191" t="s">
        <v>123</v>
      </c>
      <c r="J18" s="189"/>
      <c r="K18" s="189"/>
      <c r="L18" s="192">
        <v>0.85</v>
      </c>
      <c r="M18" s="191" t="s">
        <v>124</v>
      </c>
      <c r="N18" s="189"/>
      <c r="O18" s="189"/>
      <c r="P18" s="193">
        <f>L18/(1-L18)</f>
        <v>5.6666666666666661</v>
      </c>
      <c r="Q18" s="191" t="s">
        <v>125</v>
      </c>
      <c r="R18" s="189"/>
      <c r="S18" s="189"/>
      <c r="T18" s="190">
        <f>D18*L18</f>
        <v>4883.25</v>
      </c>
      <c r="U18" s="191" t="s">
        <v>126</v>
      </c>
      <c r="V18" s="189"/>
      <c r="W18" s="189"/>
      <c r="X18" s="190">
        <f>H18*L18</f>
        <v>4112.2327908721809</v>
      </c>
      <c r="Y18" s="191" t="s">
        <v>127</v>
      </c>
      <c r="Z18" s="189"/>
      <c r="AA18" s="189"/>
      <c r="AB18" s="190">
        <f>D18-T18</f>
        <v>861.75</v>
      </c>
      <c r="AC18" s="191" t="s">
        <v>128</v>
      </c>
      <c r="AD18" s="189"/>
      <c r="AE18" s="194">
        <f>H18-X18</f>
        <v>725.68813956567919</v>
      </c>
      <c r="AF18" s="224" t="s">
        <v>102</v>
      </c>
      <c r="AG18" s="225" t="s">
        <v>102</v>
      </c>
      <c r="AH18" s="225" t="s">
        <v>102</v>
      </c>
      <c r="AI18" s="225" t="s">
        <v>102</v>
      </c>
    </row>
    <row r="19" spans="1:35" ht="16.5" thickTop="1" thickBot="1" x14ac:dyDescent="0.3">
      <c r="O19" s="464"/>
      <c r="P19" s="464"/>
      <c r="AF19" s="195">
        <f>'[1]Yearly Summary '!$C$29</f>
        <v>4247.8250349194414</v>
      </c>
      <c r="AG19" s="195">
        <f>AF19-AG10</f>
        <v>4118.1347103152166</v>
      </c>
      <c r="AH19" s="195">
        <f>'[1]Yearly Summary '!$D$29</f>
        <v>372.86861792390187</v>
      </c>
      <c r="AI19" s="195">
        <f>AH19-AI10</f>
        <v>372.82379157236988</v>
      </c>
    </row>
    <row r="20" spans="1:35" ht="15" customHeight="1" x14ac:dyDescent="0.25">
      <c r="A20" s="465">
        <f>A12</f>
        <v>2015</v>
      </c>
      <c r="B20" s="466"/>
      <c r="C20" s="466" t="s">
        <v>129</v>
      </c>
      <c r="D20" s="466"/>
      <c r="E20" s="466"/>
      <c r="F20" s="466"/>
      <c r="G20" s="466"/>
      <c r="H20" s="466"/>
      <c r="I20" s="466"/>
      <c r="J20" s="466" t="s">
        <v>130</v>
      </c>
      <c r="K20" s="466"/>
      <c r="L20" s="466"/>
      <c r="M20" s="466"/>
      <c r="N20" s="466"/>
      <c r="O20" s="466"/>
      <c r="P20" s="467"/>
      <c r="Q20" s="196"/>
      <c r="R20" s="197">
        <f>A1</f>
        <v>2014</v>
      </c>
      <c r="S20" s="468" t="s">
        <v>131</v>
      </c>
      <c r="T20" s="469"/>
      <c r="U20" s="470" t="s">
        <v>132</v>
      </c>
      <c r="V20" s="471"/>
      <c r="W20" s="471"/>
      <c r="X20" s="471"/>
      <c r="Y20" s="472"/>
      <c r="Z20" s="453" t="s">
        <v>133</v>
      </c>
      <c r="AA20" s="454"/>
      <c r="AB20" s="454"/>
      <c r="AC20" s="454"/>
      <c r="AD20" s="455"/>
      <c r="AE20" s="456" t="s">
        <v>134</v>
      </c>
      <c r="AF20" s="457"/>
      <c r="AG20" s="457"/>
      <c r="AH20" s="457"/>
      <c r="AI20" s="458"/>
    </row>
    <row r="21" spans="1:35" ht="15.75" thickBot="1" x14ac:dyDescent="0.3">
      <c r="A21" s="459" t="s">
        <v>135</v>
      </c>
      <c r="B21" s="460"/>
      <c r="C21" s="445" t="s">
        <v>163</v>
      </c>
      <c r="D21" s="445"/>
      <c r="E21" s="445" t="s">
        <v>164</v>
      </c>
      <c r="F21" s="452"/>
      <c r="G21" s="452" t="s">
        <v>165</v>
      </c>
      <c r="H21" s="461"/>
      <c r="I21" s="461"/>
      <c r="J21" s="462" t="s">
        <v>166</v>
      </c>
      <c r="K21" s="462"/>
      <c r="L21" s="463"/>
      <c r="M21" s="462" t="s">
        <v>167</v>
      </c>
      <c r="N21" s="463"/>
      <c r="O21" s="445" t="s">
        <v>136</v>
      </c>
      <c r="P21" s="424"/>
      <c r="Q21" s="196"/>
      <c r="R21" s="425" t="s">
        <v>135</v>
      </c>
      <c r="S21" s="426"/>
      <c r="T21" s="426"/>
      <c r="U21" s="198" t="s">
        <v>137</v>
      </c>
      <c r="V21" s="248" t="s">
        <v>138</v>
      </c>
      <c r="W21" s="248" t="s">
        <v>139</v>
      </c>
      <c r="X21" s="248" t="s">
        <v>58</v>
      </c>
      <c r="Y21" s="248" t="s">
        <v>140</v>
      </c>
      <c r="Z21" s="199" t="s">
        <v>137</v>
      </c>
      <c r="AA21" s="199" t="s">
        <v>138</v>
      </c>
      <c r="AB21" s="199" t="s">
        <v>139</v>
      </c>
      <c r="AC21" s="199" t="s">
        <v>58</v>
      </c>
      <c r="AD21" s="199" t="s">
        <v>140</v>
      </c>
      <c r="AE21" s="200" t="s">
        <v>137</v>
      </c>
      <c r="AF21" s="200" t="s">
        <v>138</v>
      </c>
      <c r="AG21" s="200" t="s">
        <v>139</v>
      </c>
      <c r="AH21" s="200" t="s">
        <v>58</v>
      </c>
      <c r="AI21" s="201" t="s">
        <v>140</v>
      </c>
    </row>
    <row r="22" spans="1:35" ht="15.75" thickTop="1" x14ac:dyDescent="0.25">
      <c r="A22" s="442" t="s">
        <v>141</v>
      </c>
      <c r="B22" s="443"/>
      <c r="C22" s="444">
        <f>N15+AA15</f>
        <v>15.073698291416321</v>
      </c>
      <c r="D22" s="445"/>
      <c r="E22" s="446">
        <f>N16+AA16</f>
        <v>16190.329660005973</v>
      </c>
      <c r="F22" s="447"/>
      <c r="G22" s="448">
        <f>(C22*2000)/(8.34*0.895*0.29)</f>
        <v>13927.165298929867</v>
      </c>
      <c r="H22" s="448"/>
      <c r="I22" s="202" t="s">
        <v>142</v>
      </c>
      <c r="J22" s="449">
        <f>(G22*8.34*0.895)/27000</f>
        <v>3.8502422200297119</v>
      </c>
      <c r="K22" s="450"/>
      <c r="L22" s="203" t="s">
        <v>143</v>
      </c>
      <c r="M22" s="451">
        <f>ROUNDUP(J22,0)</f>
        <v>4</v>
      </c>
      <c r="N22" s="452"/>
      <c r="O22" s="423">
        <f>((M22*27000)/(8.34*0.895))*$Y$22</f>
        <v>16820.063502270812</v>
      </c>
      <c r="P22" s="424"/>
      <c r="Q22" s="196"/>
      <c r="R22" s="425" t="s">
        <v>141</v>
      </c>
      <c r="S22" s="426"/>
      <c r="T22" s="426"/>
      <c r="U22" s="244" t="s">
        <v>142</v>
      </c>
      <c r="V22" s="249">
        <v>1.1625000000000001</v>
      </c>
      <c r="W22" s="250">
        <v>1.1625000000000001</v>
      </c>
      <c r="X22" s="250">
        <v>1.1625000000000001</v>
      </c>
      <c r="Y22" s="251">
        <v>1.1625000000000001</v>
      </c>
      <c r="Z22" s="246" t="s">
        <v>142</v>
      </c>
      <c r="AA22" s="205">
        <f>V22</f>
        <v>1.1625000000000001</v>
      </c>
      <c r="AB22" s="205">
        <f>W22</f>
        <v>1.1625000000000001</v>
      </c>
      <c r="AC22" s="205">
        <f>X22</f>
        <v>1.1625000000000001</v>
      </c>
      <c r="AD22" s="205">
        <f>Y22</f>
        <v>1.1625000000000001</v>
      </c>
      <c r="AE22" s="206" t="s">
        <v>144</v>
      </c>
      <c r="AF22" s="207">
        <f>(V22/((0.895*8.34)*0.29))*2000</f>
        <v>1074.078129136067</v>
      </c>
      <c r="AG22" s="207">
        <f>(W22/((0.895*8.34)*0.29))*2000</f>
        <v>1074.078129136067</v>
      </c>
      <c r="AH22" s="207">
        <f>(X22/((0.895*8.34)*0.29))*2000</f>
        <v>1074.078129136067</v>
      </c>
      <c r="AI22" s="208">
        <f>(Y22/((0.895*8.34)*0.29))*2000</f>
        <v>1074.078129136067</v>
      </c>
    </row>
    <row r="23" spans="1:35" x14ac:dyDescent="0.25">
      <c r="A23" s="442" t="s">
        <v>145</v>
      </c>
      <c r="B23" s="443"/>
      <c r="C23" s="444">
        <f>G15+U15+V15</f>
        <v>0</v>
      </c>
      <c r="D23" s="445"/>
      <c r="E23" s="446">
        <f>G16+U16+V16</f>
        <v>0</v>
      </c>
      <c r="F23" s="447"/>
      <c r="G23" s="448">
        <f>C23*2000</f>
        <v>0</v>
      </c>
      <c r="H23" s="448"/>
      <c r="I23" s="202" t="s">
        <v>146</v>
      </c>
      <c r="J23" s="449">
        <f>(G23/(8.34*1.055))/400</f>
        <v>0</v>
      </c>
      <c r="K23" s="450"/>
      <c r="L23" s="203" t="s">
        <v>147</v>
      </c>
      <c r="M23" s="451">
        <f t="shared" ref="M23:M31" si="8">ROUNDUP(J23,0)</f>
        <v>0</v>
      </c>
      <c r="N23" s="452"/>
      <c r="O23" s="423">
        <f>(M23*400*8.34*1.055)*$Y$23</f>
        <v>0</v>
      </c>
      <c r="P23" s="424"/>
      <c r="Q23" s="196"/>
      <c r="R23" s="425" t="s">
        <v>145</v>
      </c>
      <c r="S23" s="426"/>
      <c r="T23" s="426"/>
      <c r="U23" s="244" t="s">
        <v>146</v>
      </c>
      <c r="V23" s="252">
        <v>1.4</v>
      </c>
      <c r="W23" s="204">
        <v>1.4</v>
      </c>
      <c r="X23" s="204">
        <v>1.4</v>
      </c>
      <c r="Y23" s="253">
        <v>1.4</v>
      </c>
      <c r="Z23" s="246" t="s">
        <v>142</v>
      </c>
      <c r="AA23" s="205">
        <f>V23*8.34*0.005</f>
        <v>5.8379999999999994E-2</v>
      </c>
      <c r="AB23" s="205">
        <f>W23*8.34*0.005</f>
        <v>5.8379999999999994E-2</v>
      </c>
      <c r="AC23" s="205">
        <f>X23*8.34*0.005</f>
        <v>5.8379999999999994E-2</v>
      </c>
      <c r="AD23" s="205">
        <f>Y23*8.34*0.005</f>
        <v>5.8379999999999994E-2</v>
      </c>
      <c r="AE23" s="206" t="s">
        <v>144</v>
      </c>
      <c r="AF23" s="207">
        <f>V23*2000</f>
        <v>2800</v>
      </c>
      <c r="AG23" s="207">
        <f>W23*2000</f>
        <v>2800</v>
      </c>
      <c r="AH23" s="207">
        <f>X23*2000</f>
        <v>2800</v>
      </c>
      <c r="AI23" s="208">
        <f>Y23*2000</f>
        <v>2800</v>
      </c>
    </row>
    <row r="24" spans="1:35" x14ac:dyDescent="0.25">
      <c r="A24" s="442" t="s">
        <v>148</v>
      </c>
      <c r="B24" s="443"/>
      <c r="C24" s="444">
        <f>H15</f>
        <v>166.34052471279119</v>
      </c>
      <c r="D24" s="445"/>
      <c r="E24" s="446">
        <f>H16</f>
        <v>18337.379444338101</v>
      </c>
      <c r="F24" s="447"/>
      <c r="G24" s="448">
        <f>C24</f>
        <v>166.34052471279119</v>
      </c>
      <c r="H24" s="448"/>
      <c r="I24" s="202" t="s">
        <v>149</v>
      </c>
      <c r="J24" s="449">
        <f>(G24*2000)/40000</f>
        <v>8.3170262356395597</v>
      </c>
      <c r="K24" s="450"/>
      <c r="L24" s="203" t="s">
        <v>143</v>
      </c>
      <c r="M24" s="451">
        <f t="shared" si="8"/>
        <v>9</v>
      </c>
      <c r="N24" s="452"/>
      <c r="O24" s="423">
        <f>((M24*40000)/2000)*$Y$24</f>
        <v>19843.2</v>
      </c>
      <c r="P24" s="424"/>
      <c r="Q24" s="196"/>
      <c r="R24" s="425" t="s">
        <v>148</v>
      </c>
      <c r="S24" s="426"/>
      <c r="T24" s="426"/>
      <c r="U24" s="244" t="s">
        <v>149</v>
      </c>
      <c r="V24" s="252">
        <v>110.24</v>
      </c>
      <c r="W24" s="204">
        <v>110.24</v>
      </c>
      <c r="X24" s="204">
        <v>110.24</v>
      </c>
      <c r="Y24" s="253">
        <v>110.24</v>
      </c>
      <c r="Z24" s="246" t="s">
        <v>146</v>
      </c>
      <c r="AA24" s="205">
        <f>V24/2000</f>
        <v>5.5119999999999995E-2</v>
      </c>
      <c r="AB24" s="205">
        <f>W24/2000</f>
        <v>5.5119999999999995E-2</v>
      </c>
      <c r="AC24" s="205">
        <f>X24/2000</f>
        <v>5.5119999999999995E-2</v>
      </c>
      <c r="AD24" s="205">
        <f>Y24/2000</f>
        <v>5.5119999999999995E-2</v>
      </c>
      <c r="AE24" s="206" t="s">
        <v>144</v>
      </c>
      <c r="AF24" s="207">
        <f>V24</f>
        <v>110.24</v>
      </c>
      <c r="AG24" s="207">
        <f>W24</f>
        <v>110.24</v>
      </c>
      <c r="AH24" s="207">
        <f>X24</f>
        <v>110.24</v>
      </c>
      <c r="AI24" s="207">
        <f>Y24</f>
        <v>110.24</v>
      </c>
    </row>
    <row r="25" spans="1:35" ht="15.75" customHeight="1" x14ac:dyDescent="0.25">
      <c r="A25" s="442" t="s">
        <v>150</v>
      </c>
      <c r="B25" s="443"/>
      <c r="C25" s="444">
        <f>T15</f>
        <v>5.7421298405647134E-4</v>
      </c>
      <c r="D25" s="445"/>
      <c r="E25" s="446">
        <f>T16</f>
        <v>0</v>
      </c>
      <c r="F25" s="447"/>
      <c r="G25" s="448">
        <f>C25*2000</f>
        <v>1.1484259681129427</v>
      </c>
      <c r="H25" s="448"/>
      <c r="I25" s="202" t="s">
        <v>151</v>
      </c>
      <c r="J25" s="449">
        <f>G25/45000</f>
        <v>2.5520577069176505E-5</v>
      </c>
      <c r="K25" s="450"/>
      <c r="L25" s="203" t="s">
        <v>143</v>
      </c>
      <c r="M25" s="451">
        <f t="shared" si="8"/>
        <v>1</v>
      </c>
      <c r="N25" s="452"/>
      <c r="O25" s="423">
        <f>J25*45000*$Y$25</f>
        <v>0</v>
      </c>
      <c r="P25" s="424"/>
      <c r="Q25" s="196"/>
      <c r="R25" s="425" t="s">
        <v>150</v>
      </c>
      <c r="S25" s="426"/>
      <c r="T25" s="426"/>
      <c r="U25" s="244" t="s">
        <v>151</v>
      </c>
      <c r="V25" s="252">
        <v>0</v>
      </c>
      <c r="W25" s="204">
        <v>0</v>
      </c>
      <c r="X25" s="204">
        <v>0</v>
      </c>
      <c r="Y25" s="253">
        <v>0</v>
      </c>
      <c r="Z25" s="246" t="s">
        <v>142</v>
      </c>
      <c r="AA25" s="205">
        <f>V25*8.34*0.055</f>
        <v>0</v>
      </c>
      <c r="AB25" s="205">
        <f>W25*8.34*0.055</f>
        <v>0</v>
      </c>
      <c r="AC25" s="205">
        <f>X25*8.34*0.055</f>
        <v>0</v>
      </c>
      <c r="AD25" s="205">
        <f>Y25*8.34*0.055</f>
        <v>0</v>
      </c>
      <c r="AE25" s="206" t="s">
        <v>144</v>
      </c>
      <c r="AF25" s="207">
        <f>V25*2000</f>
        <v>0</v>
      </c>
      <c r="AG25" s="207">
        <f>W25*2000</f>
        <v>0</v>
      </c>
      <c r="AH25" s="207">
        <f>X25*2000</f>
        <v>0</v>
      </c>
      <c r="AI25" s="208">
        <f>Y25*2000</f>
        <v>0</v>
      </c>
    </row>
    <row r="26" spans="1:35" x14ac:dyDescent="0.25">
      <c r="A26" s="442" t="s">
        <v>152</v>
      </c>
      <c r="B26" s="443"/>
      <c r="C26" s="444">
        <f>F15+S15</f>
        <v>73.291304018989507</v>
      </c>
      <c r="D26" s="445"/>
      <c r="E26" s="446">
        <f>F16+S16</f>
        <v>73291.304018989496</v>
      </c>
      <c r="F26" s="447"/>
      <c r="G26" s="448">
        <f>C26</f>
        <v>73.291304018989507</v>
      </c>
      <c r="H26" s="448"/>
      <c r="I26" s="202" t="s">
        <v>149</v>
      </c>
      <c r="J26" s="449">
        <f>(G26*2000)/45000</f>
        <v>3.2573912897328672</v>
      </c>
      <c r="K26" s="450"/>
      <c r="L26" s="203" t="s">
        <v>143</v>
      </c>
      <c r="M26" s="451">
        <f t="shared" si="8"/>
        <v>4</v>
      </c>
      <c r="N26" s="452"/>
      <c r="O26" s="423">
        <f>((M26*45000)/2000)*$Y$26</f>
        <v>90000</v>
      </c>
      <c r="P26" s="424"/>
      <c r="Q26" s="196"/>
      <c r="R26" s="425" t="s">
        <v>152</v>
      </c>
      <c r="S26" s="426"/>
      <c r="T26" s="426"/>
      <c r="U26" s="244" t="s">
        <v>149</v>
      </c>
      <c r="V26" s="252">
        <v>1000</v>
      </c>
      <c r="W26" s="204">
        <v>1000</v>
      </c>
      <c r="X26" s="204">
        <v>1000</v>
      </c>
      <c r="Y26" s="253">
        <v>1000</v>
      </c>
      <c r="Z26" s="246" t="s">
        <v>142</v>
      </c>
      <c r="AA26" s="205">
        <f>(V26/2000)*8.34*1.04*1</f>
        <v>4.3368000000000002</v>
      </c>
      <c r="AB26" s="205">
        <f t="shared" ref="AB26:AD26" si="9">(W26/2000)*8.34*1.04*1</f>
        <v>4.3368000000000002</v>
      </c>
      <c r="AC26" s="205">
        <f t="shared" si="9"/>
        <v>4.3368000000000002</v>
      </c>
      <c r="AD26" s="205">
        <f t="shared" si="9"/>
        <v>4.3368000000000002</v>
      </c>
      <c r="AE26" s="206" t="s">
        <v>144</v>
      </c>
      <c r="AF26" s="207">
        <f t="shared" ref="AF26:AI28" si="10">V26</f>
        <v>1000</v>
      </c>
      <c r="AG26" s="207">
        <f t="shared" si="10"/>
        <v>1000</v>
      </c>
      <c r="AH26" s="207">
        <f t="shared" si="10"/>
        <v>1000</v>
      </c>
      <c r="AI26" s="208">
        <f t="shared" si="10"/>
        <v>1000</v>
      </c>
    </row>
    <row r="27" spans="1:35" x14ac:dyDescent="0.25">
      <c r="A27" s="442" t="s">
        <v>153</v>
      </c>
      <c r="B27" s="443"/>
      <c r="C27" s="444">
        <f>M15+Z15+AD15</f>
        <v>79.484276852723568</v>
      </c>
      <c r="D27" s="445"/>
      <c r="E27" s="446">
        <f>M16+Z16+AD16</f>
        <v>34869.75225528983</v>
      </c>
      <c r="F27" s="447"/>
      <c r="G27" s="448">
        <f>C27</f>
        <v>79.484276852723568</v>
      </c>
      <c r="H27" s="448"/>
      <c r="I27" s="202" t="s">
        <v>149</v>
      </c>
      <c r="J27" s="449">
        <f>G27/8</f>
        <v>9.935534606590446</v>
      </c>
      <c r="K27" s="450"/>
      <c r="L27" s="203" t="s">
        <v>143</v>
      </c>
      <c r="M27" s="451">
        <f t="shared" si="8"/>
        <v>10</v>
      </c>
      <c r="N27" s="452"/>
      <c r="O27" s="423">
        <f>M27*8*$Y$27</f>
        <v>35096</v>
      </c>
      <c r="P27" s="424"/>
      <c r="Q27" s="196"/>
      <c r="R27" s="425" t="s">
        <v>153</v>
      </c>
      <c r="S27" s="426"/>
      <c r="T27" s="426"/>
      <c r="U27" s="244" t="s">
        <v>149</v>
      </c>
      <c r="V27" s="252">
        <v>438.7</v>
      </c>
      <c r="W27" s="204">
        <v>438.7</v>
      </c>
      <c r="X27" s="204">
        <v>438.7</v>
      </c>
      <c r="Y27" s="253">
        <v>438.7</v>
      </c>
      <c r="Z27" s="246" t="s">
        <v>146</v>
      </c>
      <c r="AA27" s="205">
        <f>V27/2000</f>
        <v>0.21934999999999999</v>
      </c>
      <c r="AB27" s="205">
        <f>W27/2000</f>
        <v>0.21934999999999999</v>
      </c>
      <c r="AC27" s="205">
        <f>X27/2000</f>
        <v>0.21934999999999999</v>
      </c>
      <c r="AD27" s="205">
        <f>Y27/2000</f>
        <v>0.21934999999999999</v>
      </c>
      <c r="AE27" s="206" t="s">
        <v>144</v>
      </c>
      <c r="AF27" s="207">
        <f t="shared" si="10"/>
        <v>438.7</v>
      </c>
      <c r="AG27" s="207">
        <f t="shared" si="10"/>
        <v>438.7</v>
      </c>
      <c r="AH27" s="207">
        <f t="shared" si="10"/>
        <v>438.7</v>
      </c>
      <c r="AI27" s="208">
        <f t="shared" si="10"/>
        <v>438.7</v>
      </c>
    </row>
    <row r="28" spans="1:35" x14ac:dyDescent="0.25">
      <c r="A28" s="442" t="s">
        <v>154</v>
      </c>
      <c r="B28" s="443"/>
      <c r="C28" s="444">
        <f>D15+L15+R15+Y15</f>
        <v>720.77065339440207</v>
      </c>
      <c r="D28" s="445"/>
      <c r="E28" s="446">
        <f>D16+L16+R16+Y16</f>
        <v>356060.70277683466</v>
      </c>
      <c r="F28" s="447"/>
      <c r="G28" s="448">
        <f>C28</f>
        <v>720.77065339440207</v>
      </c>
      <c r="H28" s="448"/>
      <c r="I28" s="202" t="s">
        <v>144</v>
      </c>
      <c r="J28" s="449">
        <f>((G28/0.38)*2000)/45000</f>
        <v>84.300661215719543</v>
      </c>
      <c r="K28" s="450"/>
      <c r="L28" s="203" t="s">
        <v>143</v>
      </c>
      <c r="M28" s="451">
        <f t="shared" si="8"/>
        <v>85</v>
      </c>
      <c r="N28" s="452"/>
      <c r="O28" s="423">
        <f>((M28*45000*0.38)/2000)*$Y$28</f>
        <v>359014.5</v>
      </c>
      <c r="P28" s="424"/>
      <c r="Q28" s="196"/>
      <c r="R28" s="425" t="s">
        <v>154</v>
      </c>
      <c r="S28" s="426"/>
      <c r="T28" s="426"/>
      <c r="U28" s="244" t="s">
        <v>144</v>
      </c>
      <c r="V28" s="252">
        <v>494</v>
      </c>
      <c r="W28" s="204">
        <v>494</v>
      </c>
      <c r="X28" s="204">
        <v>494</v>
      </c>
      <c r="Y28" s="253">
        <v>494</v>
      </c>
      <c r="Z28" s="246" t="s">
        <v>142</v>
      </c>
      <c r="AA28" s="205">
        <f>(V28/2000)*8.34*1.4*0.38</f>
        <v>1.0959093599999998</v>
      </c>
      <c r="AB28" s="205">
        <f>(W28/2000)*8.34*1.4*0.38</f>
        <v>1.0959093599999998</v>
      </c>
      <c r="AC28" s="205">
        <f>(X28/2000)*8.34*1.4*0.38</f>
        <v>1.0959093599999998</v>
      </c>
      <c r="AD28" s="205">
        <f>(Y28/2000)*8.34*1.4*0.38</f>
        <v>1.0959093599999998</v>
      </c>
      <c r="AE28" s="206" t="s">
        <v>144</v>
      </c>
      <c r="AF28" s="207">
        <f t="shared" si="10"/>
        <v>494</v>
      </c>
      <c r="AG28" s="207">
        <f t="shared" si="10"/>
        <v>494</v>
      </c>
      <c r="AH28" s="207">
        <f t="shared" si="10"/>
        <v>494</v>
      </c>
      <c r="AI28" s="208">
        <f t="shared" si="10"/>
        <v>494</v>
      </c>
    </row>
    <row r="29" spans="1:35" x14ac:dyDescent="0.25">
      <c r="A29" s="442" t="s">
        <v>155</v>
      </c>
      <c r="B29" s="443"/>
      <c r="C29" s="444">
        <f>I15</f>
        <v>14.47167870863624</v>
      </c>
      <c r="D29" s="445"/>
      <c r="E29" s="446">
        <f>I16</f>
        <v>30018.396407056887</v>
      </c>
      <c r="F29" s="447"/>
      <c r="G29" s="448">
        <f>C29/0.35</f>
        <v>41.347653453246402</v>
      </c>
      <c r="H29" s="448"/>
      <c r="I29" s="202" t="s">
        <v>149</v>
      </c>
      <c r="J29" s="449">
        <f>(G29*2000)/45000</f>
        <v>1.837673486810951</v>
      </c>
      <c r="K29" s="450"/>
      <c r="L29" s="203" t="s">
        <v>143</v>
      </c>
      <c r="M29" s="451">
        <f t="shared" si="8"/>
        <v>2</v>
      </c>
      <c r="N29" s="452"/>
      <c r="O29" s="423">
        <f>((M29*45000)/2000)*$Y$29</f>
        <v>32670</v>
      </c>
      <c r="P29" s="424"/>
      <c r="Q29" s="196"/>
      <c r="R29" s="425" t="s">
        <v>155</v>
      </c>
      <c r="S29" s="426"/>
      <c r="T29" s="426"/>
      <c r="U29" s="244" t="s">
        <v>149</v>
      </c>
      <c r="V29" s="252">
        <v>726</v>
      </c>
      <c r="W29" s="204">
        <v>726</v>
      </c>
      <c r="X29" s="204">
        <v>726</v>
      </c>
      <c r="Y29" s="253">
        <v>726</v>
      </c>
      <c r="Z29" s="246" t="s">
        <v>142</v>
      </c>
      <c r="AA29" s="205">
        <f>(V29/2000)*8.34*1.135</f>
        <v>3.4361216999999997</v>
      </c>
      <c r="AB29" s="205">
        <f>(W29/2000)*8.34*1.135</f>
        <v>3.4361216999999997</v>
      </c>
      <c r="AC29" s="205">
        <f>(X29/2000)*8.34*1.135</f>
        <v>3.4361216999999997</v>
      </c>
      <c r="AD29" s="205">
        <f>(Y29/2000)*8.34*1.135</f>
        <v>3.4361216999999997</v>
      </c>
      <c r="AE29" s="206" t="s">
        <v>144</v>
      </c>
      <c r="AF29" s="207">
        <f>V29/0.35</f>
        <v>2074.2857142857142</v>
      </c>
      <c r="AG29" s="207">
        <f>W29/0.35</f>
        <v>2074.2857142857142</v>
      </c>
      <c r="AH29" s="207">
        <f>X29/0.35</f>
        <v>2074.2857142857142</v>
      </c>
      <c r="AI29" s="208">
        <f>Y29/0.35</f>
        <v>2074.2857142857142</v>
      </c>
    </row>
    <row r="30" spans="1:35" x14ac:dyDescent="0.25">
      <c r="A30" s="442" t="s">
        <v>156</v>
      </c>
      <c r="B30" s="443"/>
      <c r="C30" s="444">
        <f>C15+Q15+AE15</f>
        <v>18.634297404046556</v>
      </c>
      <c r="D30" s="445"/>
      <c r="E30" s="446">
        <f>C16+Q16+AE16</f>
        <v>116650.70174933145</v>
      </c>
      <c r="F30" s="447"/>
      <c r="G30" s="448">
        <f>C30*2000</f>
        <v>37268.594808093112</v>
      </c>
      <c r="H30" s="448"/>
      <c r="I30" s="202" t="s">
        <v>151</v>
      </c>
      <c r="J30" s="449">
        <f>G30/3300</f>
        <v>11.293513578210034</v>
      </c>
      <c r="K30" s="450"/>
      <c r="L30" s="203" t="s">
        <v>157</v>
      </c>
      <c r="M30" s="451">
        <f t="shared" si="8"/>
        <v>12</v>
      </c>
      <c r="N30" s="452"/>
      <c r="O30" s="423">
        <f>M30*3300*$Y$30</f>
        <v>123948</v>
      </c>
      <c r="P30" s="424"/>
      <c r="Q30" s="196"/>
      <c r="R30" s="425" t="s">
        <v>156</v>
      </c>
      <c r="S30" s="426"/>
      <c r="T30" s="426"/>
      <c r="U30" s="244" t="s">
        <v>151</v>
      </c>
      <c r="V30" s="252">
        <v>3.13</v>
      </c>
      <c r="W30" s="204">
        <v>3.13</v>
      </c>
      <c r="X30" s="204">
        <v>3.13</v>
      </c>
      <c r="Y30" s="253">
        <v>3.13</v>
      </c>
      <c r="Z30" s="246" t="s">
        <v>142</v>
      </c>
      <c r="AA30" s="205">
        <f>(8.34*1.029*0.03)*V30</f>
        <v>0.80583665399999982</v>
      </c>
      <c r="AB30" s="205">
        <f>(8.34*1.029*0.03)*W30</f>
        <v>0.80583665399999982</v>
      </c>
      <c r="AC30" s="205">
        <f>(8.34*1.029*0.03)*X30</f>
        <v>0.80583665399999982</v>
      </c>
      <c r="AD30" s="205">
        <f>(8.34*1.029*0.03)*Y30</f>
        <v>0.80583665399999982</v>
      </c>
      <c r="AE30" s="206" t="s">
        <v>144</v>
      </c>
      <c r="AF30" s="207">
        <f>V30*2000</f>
        <v>6260</v>
      </c>
      <c r="AG30" s="207">
        <f>W30*2000</f>
        <v>6260</v>
      </c>
      <c r="AH30" s="207">
        <f>X30*2000</f>
        <v>6260</v>
      </c>
      <c r="AI30" s="208">
        <f>Y30*2000</f>
        <v>6260</v>
      </c>
    </row>
    <row r="31" spans="1:35" ht="15.75" thickBot="1" x14ac:dyDescent="0.3">
      <c r="A31" s="427" t="s">
        <v>158</v>
      </c>
      <c r="B31" s="428"/>
      <c r="C31" s="429">
        <f>E15+O15+AB15</f>
        <v>826.30736867514065</v>
      </c>
      <c r="D31" s="430"/>
      <c r="E31" s="431">
        <f>E16+O16+AB16</f>
        <v>561889.01069909567</v>
      </c>
      <c r="F31" s="432"/>
      <c r="G31" s="433">
        <f>(C31/0.5)*2000</f>
        <v>3305229.4747005627</v>
      </c>
      <c r="H31" s="433"/>
      <c r="I31" s="209" t="s">
        <v>146</v>
      </c>
      <c r="J31" s="434">
        <f>G31/45000</f>
        <v>73.449543882234721</v>
      </c>
      <c r="K31" s="435"/>
      <c r="L31" s="210" t="s">
        <v>143</v>
      </c>
      <c r="M31" s="436">
        <f t="shared" si="8"/>
        <v>74</v>
      </c>
      <c r="N31" s="437"/>
      <c r="O31" s="438">
        <f>M31*45000*$Y$31</f>
        <v>566100</v>
      </c>
      <c r="P31" s="439"/>
      <c r="Q31" s="196"/>
      <c r="R31" s="440" t="s">
        <v>158</v>
      </c>
      <c r="S31" s="441"/>
      <c r="T31" s="441"/>
      <c r="U31" s="245" t="s">
        <v>146</v>
      </c>
      <c r="V31" s="254">
        <v>0.17</v>
      </c>
      <c r="W31" s="255">
        <v>0.17</v>
      </c>
      <c r="X31" s="255">
        <v>0.17</v>
      </c>
      <c r="Y31" s="341">
        <v>0.17</v>
      </c>
      <c r="Z31" s="247" t="s">
        <v>142</v>
      </c>
      <c r="AA31" s="211">
        <f>V31*8.34*1.54</f>
        <v>2.1834120000000001</v>
      </c>
      <c r="AB31" s="211">
        <f>W31*8.34*1.54</f>
        <v>2.1834120000000001</v>
      </c>
      <c r="AC31" s="211">
        <f>X31*8.34*1.54</f>
        <v>2.1834120000000001</v>
      </c>
      <c r="AD31" s="211">
        <f>Y31*8.34*1.54</f>
        <v>2.1834120000000001</v>
      </c>
      <c r="AE31" s="212" t="s">
        <v>144</v>
      </c>
      <c r="AF31" s="213">
        <f>(V31*2000)/0.5</f>
        <v>680</v>
      </c>
      <c r="AG31" s="213">
        <f>(W31*2000)/0.5</f>
        <v>680</v>
      </c>
      <c r="AH31" s="213">
        <f>(X31*2000)/0.5</f>
        <v>680</v>
      </c>
      <c r="AI31" s="214">
        <f>(Y31*2000)/0.5</f>
        <v>680</v>
      </c>
    </row>
    <row r="32" spans="1:35" x14ac:dyDescent="0.25">
      <c r="F32" s="215"/>
    </row>
    <row r="34" spans="7:7" x14ac:dyDescent="0.25">
      <c r="G34" s="196"/>
    </row>
    <row r="35" spans="7:7" x14ac:dyDescent="0.25">
      <c r="G35" s="196"/>
    </row>
    <row r="36" spans="7:7" x14ac:dyDescent="0.25">
      <c r="G36" s="196"/>
    </row>
    <row r="37" spans="7:7" x14ac:dyDescent="0.25">
      <c r="G37" s="196"/>
    </row>
    <row r="38" spans="7:7" x14ac:dyDescent="0.25">
      <c r="G38" s="196"/>
    </row>
    <row r="39" spans="7:7" x14ac:dyDescent="0.25">
      <c r="G39" s="196"/>
    </row>
    <row r="40" spans="7:7" x14ac:dyDescent="0.25">
      <c r="G40" s="196"/>
    </row>
    <row r="41" spans="7:7" x14ac:dyDescent="0.25">
      <c r="G41" s="196"/>
    </row>
    <row r="42" spans="7:7" x14ac:dyDescent="0.25">
      <c r="G42" s="196"/>
    </row>
    <row r="43" spans="7:7" x14ac:dyDescent="0.25">
      <c r="G43" s="196"/>
    </row>
    <row r="44" spans="7:7" x14ac:dyDescent="0.25">
      <c r="G44" s="196"/>
    </row>
    <row r="45" spans="7:7" x14ac:dyDescent="0.25">
      <c r="G45" s="196"/>
    </row>
  </sheetData>
  <sheetProtection password="A25B" sheet="1" objects="1" scenarios="1" selectLockedCells="1" selectUnlockedCells="1"/>
  <mergeCells count="135"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2"/>
  <sheetViews>
    <sheetView tabSelected="1" topLeftCell="AH1" zoomScale="60" zoomScaleNormal="60" workbookViewId="0">
      <selection activeCell="AH39" sqref="AH39:AQ39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8.710937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</row>
    <row r="5" spans="1:47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  <c r="AT5" t="s">
        <v>171</v>
      </c>
      <c r="AU5" s="339" t="s">
        <v>209</v>
      </c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0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41640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223.20634916623419</v>
      </c>
      <c r="J8" s="50">
        <v>791.57115491231275</v>
      </c>
      <c r="K8" s="50">
        <v>24.794549804925982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321.02999999999997</v>
      </c>
      <c r="V8" s="54">
        <v>0</v>
      </c>
      <c r="W8" s="54">
        <v>29.9</v>
      </c>
      <c r="X8" s="54">
        <v>0</v>
      </c>
      <c r="Y8" s="54">
        <v>239.37</v>
      </c>
      <c r="Z8" s="54">
        <v>0</v>
      </c>
      <c r="AA8" s="55">
        <v>0</v>
      </c>
      <c r="AB8" s="56">
        <v>0</v>
      </c>
      <c r="AC8" s="57">
        <v>0</v>
      </c>
      <c r="AD8" s="57">
        <v>12.616467499070685</v>
      </c>
      <c r="AE8" s="58">
        <v>12.5</v>
      </c>
      <c r="AF8" s="58">
        <v>0</v>
      </c>
      <c r="AG8" s="58">
        <v>1</v>
      </c>
      <c r="AH8" s="57">
        <v>232.90680166880293</v>
      </c>
      <c r="AI8" s="57">
        <v>477.32120628356938</v>
      </c>
      <c r="AJ8" s="57">
        <v>1106.1119184494019</v>
      </c>
      <c r="AK8" s="57">
        <v>630.12950077056894</v>
      </c>
      <c r="AL8" s="57">
        <v>1833.6605699539182</v>
      </c>
      <c r="AM8" s="57">
        <v>2152.3957225799563</v>
      </c>
      <c r="AN8" s="57">
        <v>648.34984680811567</v>
      </c>
      <c r="AO8" s="57">
        <v>2000.6078105926515</v>
      </c>
      <c r="AP8" s="57">
        <v>387.0739554087321</v>
      </c>
      <c r="AQ8" s="57">
        <v>729.46787919998155</v>
      </c>
    </row>
    <row r="9" spans="1:47" x14ac:dyDescent="0.25">
      <c r="A9" s="11">
        <v>41641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223.17167372703551</v>
      </c>
      <c r="J9" s="60">
        <v>791.53412761688139</v>
      </c>
      <c r="K9" s="60">
        <v>24.717091902097231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314.95</v>
      </c>
      <c r="V9" s="62">
        <v>0</v>
      </c>
      <c r="W9" s="62">
        <v>29.92</v>
      </c>
      <c r="X9" s="62">
        <v>0</v>
      </c>
      <c r="Y9" s="66">
        <v>239.5</v>
      </c>
      <c r="Z9" s="66">
        <v>0</v>
      </c>
      <c r="AA9" s="67">
        <v>0</v>
      </c>
      <c r="AB9" s="68">
        <v>0</v>
      </c>
      <c r="AC9" s="69">
        <v>0</v>
      </c>
      <c r="AD9" s="69">
        <v>12.61334153281317</v>
      </c>
      <c r="AE9" s="68">
        <v>12.5</v>
      </c>
      <c r="AF9" s="68">
        <v>0</v>
      </c>
      <c r="AG9" s="68">
        <v>1</v>
      </c>
      <c r="AH9" s="69">
        <v>236.0824475924174</v>
      </c>
      <c r="AI9" s="69">
        <v>490.88691358566285</v>
      </c>
      <c r="AJ9" s="69">
        <v>1129.2795197804769</v>
      </c>
      <c r="AK9" s="69">
        <v>621.26752541859958</v>
      </c>
      <c r="AL9" s="69">
        <v>1844.9914962132771</v>
      </c>
      <c r="AM9" s="69">
        <v>2272.5022722880049</v>
      </c>
      <c r="AN9" s="69">
        <v>659.48416728973393</v>
      </c>
      <c r="AO9" s="69">
        <v>2027.6470559438069</v>
      </c>
      <c r="AP9" s="69">
        <v>394.72072641054791</v>
      </c>
      <c r="AQ9" s="69">
        <v>768.9170629183451</v>
      </c>
    </row>
    <row r="10" spans="1:47" x14ac:dyDescent="0.25">
      <c r="A10" s="11">
        <v>41642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223.27988549868275</v>
      </c>
      <c r="J10" s="60">
        <v>791.64160696665374</v>
      </c>
      <c r="K10" s="60">
        <v>24.755081562201347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320.32</v>
      </c>
      <c r="V10" s="62">
        <v>0</v>
      </c>
      <c r="W10" s="62">
        <v>28.96</v>
      </c>
      <c r="X10" s="62">
        <v>0</v>
      </c>
      <c r="Y10" s="66">
        <v>239.62</v>
      </c>
      <c r="Z10" s="66">
        <v>0</v>
      </c>
      <c r="AA10" s="67">
        <v>0</v>
      </c>
      <c r="AB10" s="68">
        <v>0</v>
      </c>
      <c r="AC10" s="69">
        <v>0</v>
      </c>
      <c r="AD10" s="69">
        <v>12.613367657528961</v>
      </c>
      <c r="AE10" s="68">
        <v>12.5</v>
      </c>
      <c r="AF10" s="68">
        <v>0</v>
      </c>
      <c r="AG10" s="68">
        <v>1</v>
      </c>
      <c r="AH10" s="69">
        <v>222.01130989392593</v>
      </c>
      <c r="AI10" s="69">
        <v>467.81288131078082</v>
      </c>
      <c r="AJ10" s="69">
        <v>1136.2153144200643</v>
      </c>
      <c r="AK10" s="69">
        <v>607.22544803619382</v>
      </c>
      <c r="AL10" s="69">
        <v>1713.8133467992145</v>
      </c>
      <c r="AM10" s="69">
        <v>2239.3984439849851</v>
      </c>
      <c r="AN10" s="69">
        <v>608.20563300450647</v>
      </c>
      <c r="AO10" s="69">
        <v>2022.7605444590249</v>
      </c>
      <c r="AP10" s="69">
        <v>364.52602823575342</v>
      </c>
      <c r="AQ10" s="69">
        <v>742.02809025446584</v>
      </c>
    </row>
    <row r="11" spans="1:47" x14ac:dyDescent="0.25">
      <c r="A11" s="11">
        <v>41643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229.05898717244509</v>
      </c>
      <c r="J11" s="60">
        <v>813.22125498453818</v>
      </c>
      <c r="K11" s="60">
        <v>25.371964559952456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322.49</v>
      </c>
      <c r="V11" s="62">
        <v>0</v>
      </c>
      <c r="W11" s="62">
        <v>29.12</v>
      </c>
      <c r="X11" s="62">
        <v>0</v>
      </c>
      <c r="Y11" s="66">
        <v>237.99</v>
      </c>
      <c r="Z11" s="66">
        <v>0</v>
      </c>
      <c r="AA11" s="67">
        <v>0</v>
      </c>
      <c r="AB11" s="68">
        <v>0</v>
      </c>
      <c r="AC11" s="69">
        <v>0</v>
      </c>
      <c r="AD11" s="69">
        <v>12.354090793927515</v>
      </c>
      <c r="AE11" s="68">
        <v>12.23</v>
      </c>
      <c r="AF11" s="68">
        <v>0</v>
      </c>
      <c r="AG11" s="68">
        <v>1</v>
      </c>
      <c r="AH11" s="69">
        <v>243.62094707489013</v>
      </c>
      <c r="AI11" s="69">
        <v>498.52204405466705</v>
      </c>
      <c r="AJ11" s="69">
        <v>1125.0256032943726</v>
      </c>
      <c r="AK11" s="69">
        <v>645.66563886006668</v>
      </c>
      <c r="AL11" s="69">
        <v>1848.8048004150387</v>
      </c>
      <c r="AM11" s="69">
        <v>2313.0638356526697</v>
      </c>
      <c r="AN11" s="69">
        <v>667.50201479593909</v>
      </c>
      <c r="AO11" s="69">
        <v>1958.0819928487142</v>
      </c>
      <c r="AP11" s="69">
        <v>413.90214495658887</v>
      </c>
      <c r="AQ11" s="69">
        <v>742.30770333607995</v>
      </c>
    </row>
    <row r="12" spans="1:47" x14ac:dyDescent="0.25">
      <c r="A12" s="11">
        <v>41644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231.03312333424884</v>
      </c>
      <c r="J12" s="60">
        <v>819.87979116439772</v>
      </c>
      <c r="K12" s="60">
        <v>25.488723080356948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328.32</v>
      </c>
      <c r="V12" s="62">
        <v>0</v>
      </c>
      <c r="W12" s="62">
        <v>30.1</v>
      </c>
      <c r="X12" s="62">
        <v>0</v>
      </c>
      <c r="Y12" s="66">
        <v>245.96</v>
      </c>
      <c r="Z12" s="66">
        <v>0</v>
      </c>
      <c r="AA12" s="67">
        <v>0</v>
      </c>
      <c r="AB12" s="68">
        <v>0</v>
      </c>
      <c r="AC12" s="69">
        <v>0</v>
      </c>
      <c r="AD12" s="69">
        <v>12.499640716446752</v>
      </c>
      <c r="AE12" s="68">
        <v>12.38</v>
      </c>
      <c r="AF12" s="68">
        <v>0</v>
      </c>
      <c r="AG12" s="68">
        <v>1</v>
      </c>
      <c r="AH12" s="69">
        <v>288.61291591326398</v>
      </c>
      <c r="AI12" s="69">
        <v>578.45452575683589</v>
      </c>
      <c r="AJ12" s="69">
        <v>1126.6811370213827</v>
      </c>
      <c r="AK12" s="69">
        <v>710.668101533254</v>
      </c>
      <c r="AL12" s="69">
        <v>2015.8650245666504</v>
      </c>
      <c r="AM12" s="69">
        <v>2484.8955163319906</v>
      </c>
      <c r="AN12" s="69">
        <v>790.62010555267352</v>
      </c>
      <c r="AO12" s="69">
        <v>1971.4615623474122</v>
      </c>
      <c r="AP12" s="69">
        <v>450.56994908650711</v>
      </c>
      <c r="AQ12" s="69">
        <v>752.02029809951773</v>
      </c>
    </row>
    <row r="13" spans="1:47" x14ac:dyDescent="0.25">
      <c r="A13" s="11">
        <v>41645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227.61619221369412</v>
      </c>
      <c r="J13" s="60">
        <v>807.66226596832223</v>
      </c>
      <c r="K13" s="60">
        <v>24.847145013014565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355.42</v>
      </c>
      <c r="V13" s="62">
        <v>0</v>
      </c>
      <c r="W13" s="62">
        <v>30.56</v>
      </c>
      <c r="X13" s="62">
        <v>0</v>
      </c>
      <c r="Y13" s="66">
        <v>254.34</v>
      </c>
      <c r="Z13" s="66">
        <v>0</v>
      </c>
      <c r="AA13" s="67">
        <v>0</v>
      </c>
      <c r="AB13" s="68">
        <v>0</v>
      </c>
      <c r="AC13" s="69">
        <v>0</v>
      </c>
      <c r="AD13" s="69">
        <v>12.867291019360234</v>
      </c>
      <c r="AE13" s="68">
        <v>12.75</v>
      </c>
      <c r="AF13" s="68">
        <v>0</v>
      </c>
      <c r="AG13" s="68">
        <v>1</v>
      </c>
      <c r="AH13" s="69">
        <v>302.5996185302734</v>
      </c>
      <c r="AI13" s="69">
        <v>599.10292545954371</v>
      </c>
      <c r="AJ13" s="69">
        <v>1163.3355930328369</v>
      </c>
      <c r="AK13" s="69">
        <v>723.44913018544514</v>
      </c>
      <c r="AL13" s="69">
        <v>1942.3647676467899</v>
      </c>
      <c r="AM13" s="69">
        <v>2504.7398443857824</v>
      </c>
      <c r="AN13" s="69">
        <v>799.26659317016606</v>
      </c>
      <c r="AO13" s="69">
        <v>2123.8618661244709</v>
      </c>
      <c r="AP13" s="69">
        <v>437.44916486740124</v>
      </c>
      <c r="AQ13" s="69">
        <v>754.33147942225139</v>
      </c>
    </row>
    <row r="14" spans="1:47" x14ac:dyDescent="0.25">
      <c r="A14" s="11">
        <v>41646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226.65098581711473</v>
      </c>
      <c r="J14" s="60">
        <v>807.48415559132798</v>
      </c>
      <c r="K14" s="60">
        <v>24.896865063905743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358.68</v>
      </c>
      <c r="V14" s="62">
        <v>0</v>
      </c>
      <c r="W14" s="62">
        <v>31.49</v>
      </c>
      <c r="X14" s="62">
        <v>0</v>
      </c>
      <c r="Y14" s="66">
        <v>254.14</v>
      </c>
      <c r="Z14" s="66">
        <v>0</v>
      </c>
      <c r="AA14" s="67">
        <v>0</v>
      </c>
      <c r="AB14" s="68">
        <v>0</v>
      </c>
      <c r="AC14" s="69">
        <v>0</v>
      </c>
      <c r="AD14" s="69">
        <v>12.867665392822701</v>
      </c>
      <c r="AE14" s="68">
        <v>12.75</v>
      </c>
      <c r="AF14" s="68">
        <v>0</v>
      </c>
      <c r="AG14" s="68">
        <v>1</v>
      </c>
      <c r="AH14" s="69">
        <v>262.51788795789082</v>
      </c>
      <c r="AI14" s="69">
        <v>530.5993476867676</v>
      </c>
      <c r="AJ14" s="69">
        <v>1180.5711495081582</v>
      </c>
      <c r="AK14" s="69">
        <v>685.08149712880459</v>
      </c>
      <c r="AL14" s="69">
        <v>1860.5730563481645</v>
      </c>
      <c r="AM14" s="69">
        <v>2408.2870521545406</v>
      </c>
      <c r="AN14" s="69">
        <v>672.76560974121082</v>
      </c>
      <c r="AO14" s="69">
        <v>2074.9118890126547</v>
      </c>
      <c r="AP14" s="69">
        <v>389.54333003362018</v>
      </c>
      <c r="AQ14" s="69">
        <v>745.96118596394865</v>
      </c>
    </row>
    <row r="15" spans="1:47" x14ac:dyDescent="0.25">
      <c r="A15" s="11">
        <v>41647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228.52490668296801</v>
      </c>
      <c r="J15" s="60">
        <v>807.29675051371134</v>
      </c>
      <c r="K15" s="60">
        <v>24.93544865647959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345.01</v>
      </c>
      <c r="V15" s="62">
        <v>0</v>
      </c>
      <c r="W15" s="62">
        <v>31.56</v>
      </c>
      <c r="X15" s="62">
        <v>0</v>
      </c>
      <c r="Y15" s="66">
        <v>254.45</v>
      </c>
      <c r="Z15" s="66">
        <v>0</v>
      </c>
      <c r="AA15" s="67">
        <v>0</v>
      </c>
      <c r="AB15" s="68">
        <v>0</v>
      </c>
      <c r="AC15" s="69">
        <v>0</v>
      </c>
      <c r="AD15" s="69">
        <v>12.871796906656668</v>
      </c>
      <c r="AE15" s="68">
        <v>12.75</v>
      </c>
      <c r="AF15" s="68">
        <v>0</v>
      </c>
      <c r="AG15" s="68">
        <v>1</v>
      </c>
      <c r="AH15" s="69">
        <v>263.86110688845321</v>
      </c>
      <c r="AI15" s="69">
        <v>522.84488213857014</v>
      </c>
      <c r="AJ15" s="69">
        <v>1147.8100837071738</v>
      </c>
      <c r="AK15" s="69">
        <v>698.86129636764508</v>
      </c>
      <c r="AL15" s="69">
        <v>1833.9681051890057</v>
      </c>
      <c r="AM15" s="69">
        <v>2338.3130469004313</v>
      </c>
      <c r="AN15" s="69">
        <v>663.36185598373424</v>
      </c>
      <c r="AO15" s="69">
        <v>2095.6306795756018</v>
      </c>
      <c r="AP15" s="69">
        <v>390.64705837567658</v>
      </c>
      <c r="AQ15" s="69">
        <v>781.74959020614642</v>
      </c>
    </row>
    <row r="16" spans="1:47" x14ac:dyDescent="0.25">
      <c r="A16" s="11">
        <v>41648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231.8794676462804</v>
      </c>
      <c r="J16" s="60">
        <v>807.25557670593139</v>
      </c>
      <c r="K16" s="60">
        <v>24.925410737594007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340</v>
      </c>
      <c r="V16" s="62">
        <v>0</v>
      </c>
      <c r="W16" s="62">
        <v>30.03</v>
      </c>
      <c r="X16" s="62">
        <v>0</v>
      </c>
      <c r="Y16" s="66">
        <v>254.6</v>
      </c>
      <c r="Z16" s="66">
        <v>0</v>
      </c>
      <c r="AA16" s="67">
        <v>0</v>
      </c>
      <c r="AB16" s="68">
        <v>0</v>
      </c>
      <c r="AC16" s="69">
        <v>0</v>
      </c>
      <c r="AD16" s="69">
        <v>12.870427619748643</v>
      </c>
      <c r="AE16" s="68">
        <v>12.75</v>
      </c>
      <c r="AF16" s="68">
        <v>0</v>
      </c>
      <c r="AG16" s="68">
        <v>1</v>
      </c>
      <c r="AH16" s="69">
        <v>252.09074478149415</v>
      </c>
      <c r="AI16" s="69">
        <v>514.90773661931348</v>
      </c>
      <c r="AJ16" s="69">
        <v>1116.3970021565754</v>
      </c>
      <c r="AK16" s="69">
        <v>688.03923152287814</v>
      </c>
      <c r="AL16" s="69">
        <v>1826.8199144363402</v>
      </c>
      <c r="AM16" s="69">
        <v>2290.3204741160071</v>
      </c>
      <c r="AN16" s="69">
        <v>647.29549957911183</v>
      </c>
      <c r="AO16" s="69">
        <v>2098.7983975728353</v>
      </c>
      <c r="AP16" s="69">
        <v>380.15334165891011</v>
      </c>
      <c r="AQ16" s="69">
        <v>808.78039604822789</v>
      </c>
    </row>
    <row r="17" spans="1:43" x14ac:dyDescent="0.25">
      <c r="A17" s="11">
        <v>41649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238.50020432472203</v>
      </c>
      <c r="J17" s="50">
        <v>831.34502061208013</v>
      </c>
      <c r="K17" s="50">
        <v>25.790892769893052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357.61</v>
      </c>
      <c r="V17" s="66">
        <v>0</v>
      </c>
      <c r="W17" s="62">
        <v>29.84</v>
      </c>
      <c r="X17" s="62">
        <v>0</v>
      </c>
      <c r="Y17" s="66">
        <v>254.72</v>
      </c>
      <c r="Z17" s="66">
        <v>0</v>
      </c>
      <c r="AA17" s="67">
        <v>0</v>
      </c>
      <c r="AB17" s="68">
        <v>0</v>
      </c>
      <c r="AC17" s="69">
        <v>0</v>
      </c>
      <c r="AD17" s="69">
        <v>12.801070088148141</v>
      </c>
      <c r="AE17" s="68">
        <v>12.65</v>
      </c>
      <c r="AF17" s="68">
        <v>0</v>
      </c>
      <c r="AG17" s="68">
        <v>1</v>
      </c>
      <c r="AH17" s="69">
        <v>262.10006338755295</v>
      </c>
      <c r="AI17" s="69">
        <v>545.24085140228271</v>
      </c>
      <c r="AJ17" s="69">
        <v>1101.1654227574666</v>
      </c>
      <c r="AK17" s="69">
        <v>697.82449229558301</v>
      </c>
      <c r="AL17" s="69">
        <v>1906.2386685689294</v>
      </c>
      <c r="AM17" s="69">
        <v>2288.4611511230469</v>
      </c>
      <c r="AN17" s="69">
        <v>660.89045187632235</v>
      </c>
      <c r="AO17" s="69">
        <v>2086.8822071075442</v>
      </c>
      <c r="AP17" s="69">
        <v>394.92391980489089</v>
      </c>
      <c r="AQ17" s="69">
        <v>783.86839930216479</v>
      </c>
    </row>
    <row r="18" spans="1:43" x14ac:dyDescent="0.25">
      <c r="A18" s="11">
        <v>41650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243.92573397954231</v>
      </c>
      <c r="J18" s="60">
        <v>838.14220142364479</v>
      </c>
      <c r="K18" s="60">
        <v>26.347288558880528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358.38</v>
      </c>
      <c r="V18" s="62">
        <v>0</v>
      </c>
      <c r="W18" s="62">
        <v>30.78</v>
      </c>
      <c r="X18" s="62">
        <v>0</v>
      </c>
      <c r="Y18" s="66">
        <v>266.56</v>
      </c>
      <c r="Z18" s="66">
        <v>0</v>
      </c>
      <c r="AA18" s="67">
        <v>0</v>
      </c>
      <c r="AB18" s="68">
        <v>0</v>
      </c>
      <c r="AC18" s="69">
        <v>0</v>
      </c>
      <c r="AD18" s="69">
        <v>12.607679798867981</v>
      </c>
      <c r="AE18" s="68">
        <v>12.35</v>
      </c>
      <c r="AF18" s="68">
        <v>0</v>
      </c>
      <c r="AG18" s="68">
        <v>1</v>
      </c>
      <c r="AH18" s="69">
        <v>248.14589219093318</v>
      </c>
      <c r="AI18" s="69">
        <v>484.74462496439605</v>
      </c>
      <c r="AJ18" s="69">
        <v>1116.4931670506796</v>
      </c>
      <c r="AK18" s="69">
        <v>680.25237232844017</v>
      </c>
      <c r="AL18" s="69">
        <v>1810.4890764872232</v>
      </c>
      <c r="AM18" s="69">
        <v>2276.6700002034509</v>
      </c>
      <c r="AN18" s="69">
        <v>633.66573184331276</v>
      </c>
      <c r="AO18" s="69">
        <v>2119.5231753031412</v>
      </c>
      <c r="AP18" s="69">
        <v>369.26016208330799</v>
      </c>
      <c r="AQ18" s="69">
        <v>719.05583531061814</v>
      </c>
    </row>
    <row r="19" spans="1:43" x14ac:dyDescent="0.25">
      <c r="A19" s="11">
        <v>41651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242.86271085739074</v>
      </c>
      <c r="J19" s="60">
        <v>816.70223306020114</v>
      </c>
      <c r="K19" s="60">
        <v>25.932059500614798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349.94230257670199</v>
      </c>
      <c r="V19" s="62">
        <v>0</v>
      </c>
      <c r="W19" s="62">
        <v>32.362924639383955</v>
      </c>
      <c r="X19" s="62">
        <v>0</v>
      </c>
      <c r="Y19" s="66">
        <v>268.02494942347164</v>
      </c>
      <c r="Z19" s="66">
        <v>0</v>
      </c>
      <c r="AA19" s="67">
        <v>0</v>
      </c>
      <c r="AB19" s="68">
        <v>0</v>
      </c>
      <c r="AC19" s="69">
        <v>0</v>
      </c>
      <c r="AD19" s="69">
        <v>13.014893671539113</v>
      </c>
      <c r="AE19" s="68">
        <v>12.749325582950991</v>
      </c>
      <c r="AF19" s="68">
        <v>0</v>
      </c>
      <c r="AG19" s="68">
        <v>1</v>
      </c>
      <c r="AH19" s="69">
        <v>251.65409154891967</v>
      </c>
      <c r="AI19" s="69">
        <v>480.31476748784382</v>
      </c>
      <c r="AJ19" s="69">
        <v>1074.6126555124918</v>
      </c>
      <c r="AK19" s="69">
        <v>688.60467538833609</v>
      </c>
      <c r="AL19" s="69">
        <v>1862.4071414947512</v>
      </c>
      <c r="AM19" s="69">
        <v>2233.1707218170168</v>
      </c>
      <c r="AN19" s="69">
        <v>627.90901813507071</v>
      </c>
      <c r="AO19" s="69">
        <v>2088.6068447113039</v>
      </c>
      <c r="AP19" s="69">
        <v>365.33925943374629</v>
      </c>
      <c r="AQ19" s="69">
        <v>704.43374582926424</v>
      </c>
    </row>
    <row r="20" spans="1:43" x14ac:dyDescent="0.25">
      <c r="A20" s="11">
        <v>41652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245.1055353482561</v>
      </c>
      <c r="J20" s="60">
        <v>823.23632373809767</v>
      </c>
      <c r="K20" s="60">
        <v>25.870218330621746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336.22062653435285</v>
      </c>
      <c r="V20" s="62">
        <v>0</v>
      </c>
      <c r="W20" s="62">
        <v>31.944562911987312</v>
      </c>
      <c r="X20" s="62">
        <v>0</v>
      </c>
      <c r="Y20" s="66">
        <v>261.44714137713095</v>
      </c>
      <c r="Z20" s="66">
        <v>0</v>
      </c>
      <c r="AA20" s="67">
        <v>0</v>
      </c>
      <c r="AB20" s="68">
        <v>0</v>
      </c>
      <c r="AC20" s="69">
        <v>0</v>
      </c>
      <c r="AD20" s="69">
        <v>13.121906770600193</v>
      </c>
      <c r="AE20" s="68">
        <v>12.85577722035101</v>
      </c>
      <c r="AF20" s="68">
        <v>0</v>
      </c>
      <c r="AG20" s="68">
        <v>1</v>
      </c>
      <c r="AH20" s="69">
        <v>254.34010408719382</v>
      </c>
      <c r="AI20" s="69">
        <v>500.37532437642403</v>
      </c>
      <c r="AJ20" s="69">
        <v>1126.0715950647991</v>
      </c>
      <c r="AK20" s="69">
        <v>690.76710062026984</v>
      </c>
      <c r="AL20" s="69">
        <v>1838.4259679158527</v>
      </c>
      <c r="AM20" s="69">
        <v>2352.0841637929284</v>
      </c>
      <c r="AN20" s="69">
        <v>654.76380227406833</v>
      </c>
      <c r="AO20" s="69">
        <v>2002.5033841451009</v>
      </c>
      <c r="AP20" s="69">
        <v>380.19374224344887</v>
      </c>
      <c r="AQ20" s="69">
        <v>730.18520994186395</v>
      </c>
    </row>
    <row r="21" spans="1:43" x14ac:dyDescent="0.25">
      <c r="A21" s="11">
        <v>41653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247.45627447764039</v>
      </c>
      <c r="J21" s="60">
        <v>833.00597972869946</v>
      </c>
      <c r="K21" s="60">
        <v>25.912133669853223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338.99676973554404</v>
      </c>
      <c r="V21" s="62">
        <v>0</v>
      </c>
      <c r="W21" s="62">
        <v>32.253462926546696</v>
      </c>
      <c r="X21" s="62">
        <v>0</v>
      </c>
      <c r="Y21" s="66">
        <v>263.85873980522138</v>
      </c>
      <c r="Z21" s="66">
        <v>0</v>
      </c>
      <c r="AA21" s="67">
        <v>0</v>
      </c>
      <c r="AB21" s="68">
        <v>0</v>
      </c>
      <c r="AC21" s="69">
        <v>0</v>
      </c>
      <c r="AD21" s="69">
        <v>13.268530058860801</v>
      </c>
      <c r="AE21" s="68">
        <v>13.001262110276921</v>
      </c>
      <c r="AF21" s="68">
        <v>0</v>
      </c>
      <c r="AG21" s="68">
        <v>1</v>
      </c>
      <c r="AH21" s="69">
        <v>255.46640178362529</v>
      </c>
      <c r="AI21" s="69">
        <v>500.86622769037888</v>
      </c>
      <c r="AJ21" s="69">
        <v>1087.525770696004</v>
      </c>
      <c r="AK21" s="69">
        <v>696.12962423960346</v>
      </c>
      <c r="AL21" s="69">
        <v>1881.8605690638221</v>
      </c>
      <c r="AM21" s="69">
        <v>2402.3294878641759</v>
      </c>
      <c r="AN21" s="69">
        <v>675.05201562245668</v>
      </c>
      <c r="AO21" s="69">
        <v>1978.076863606771</v>
      </c>
      <c r="AP21" s="69">
        <v>390.65423957506823</v>
      </c>
      <c r="AQ21" s="69">
        <v>787.56532427469881</v>
      </c>
    </row>
    <row r="22" spans="1:43" x14ac:dyDescent="0.25">
      <c r="A22" s="11">
        <v>41654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247.36604185104312</v>
      </c>
      <c r="J22" s="60">
        <v>833.03971017201764</v>
      </c>
      <c r="K22" s="60">
        <v>25.857651454210284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342.72904788123287</v>
      </c>
      <c r="V22" s="62">
        <v>0</v>
      </c>
      <c r="W22" s="62">
        <v>31.7106177608172</v>
      </c>
      <c r="X22" s="62">
        <v>0</v>
      </c>
      <c r="Y22" s="66">
        <v>263.55935955047613</v>
      </c>
      <c r="Z22" s="66">
        <v>0</v>
      </c>
      <c r="AA22" s="67">
        <v>0</v>
      </c>
      <c r="AB22" s="68">
        <v>0</v>
      </c>
      <c r="AC22" s="69">
        <v>0</v>
      </c>
      <c r="AD22" s="69">
        <v>13.263312962982361</v>
      </c>
      <c r="AE22" s="68">
        <v>13.00024105017259</v>
      </c>
      <c r="AF22" s="68">
        <v>0</v>
      </c>
      <c r="AG22" s="68">
        <v>1</v>
      </c>
      <c r="AH22" s="69">
        <v>253.25826431910195</v>
      </c>
      <c r="AI22" s="69">
        <v>493.22123530705767</v>
      </c>
      <c r="AJ22" s="69">
        <v>1147.5393153508505</v>
      </c>
      <c r="AK22" s="69">
        <v>686.16267795562726</v>
      </c>
      <c r="AL22" s="69">
        <v>1777.0918159484868</v>
      </c>
      <c r="AM22" s="69">
        <v>2346.1178475697839</v>
      </c>
      <c r="AN22" s="69">
        <v>673.89398600260438</v>
      </c>
      <c r="AO22" s="69">
        <v>1983.1720558166503</v>
      </c>
      <c r="AP22" s="69">
        <v>387.09033047358201</v>
      </c>
      <c r="AQ22" s="69">
        <v>781.54526761372892</v>
      </c>
    </row>
    <row r="23" spans="1:43" x14ac:dyDescent="0.25">
      <c r="A23" s="11">
        <v>41655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251.66069531440712</v>
      </c>
      <c r="J23" s="60">
        <v>846.1519137700401</v>
      </c>
      <c r="K23" s="60">
        <v>26.391024883588187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351.03</v>
      </c>
      <c r="V23" s="62">
        <v>0</v>
      </c>
      <c r="W23" s="62">
        <v>31.36</v>
      </c>
      <c r="X23" s="62">
        <v>0</v>
      </c>
      <c r="Y23" s="66">
        <v>253.96</v>
      </c>
      <c r="Z23" s="66">
        <v>0</v>
      </c>
      <c r="AA23" s="67">
        <v>0</v>
      </c>
      <c r="AB23" s="68">
        <v>0</v>
      </c>
      <c r="AC23" s="69">
        <v>0</v>
      </c>
      <c r="AD23" s="69">
        <v>13.100060094727414</v>
      </c>
      <c r="AE23" s="68">
        <v>12.83</v>
      </c>
      <c r="AF23" s="68">
        <v>0</v>
      </c>
      <c r="AG23" s="68">
        <v>1</v>
      </c>
      <c r="AH23" s="69">
        <v>240.26253401438393</v>
      </c>
      <c r="AI23" s="69">
        <v>482.52617667516068</v>
      </c>
      <c r="AJ23" s="69">
        <v>1074.8053233464557</v>
      </c>
      <c r="AK23" s="69">
        <v>669.84471397399921</v>
      </c>
      <c r="AL23" s="69">
        <v>1828.9378582636514</v>
      </c>
      <c r="AM23" s="69">
        <v>2378.4431165059409</v>
      </c>
      <c r="AN23" s="69">
        <v>663.73089952468877</v>
      </c>
      <c r="AO23" s="69">
        <v>1916.1246990203858</v>
      </c>
      <c r="AP23" s="69">
        <v>373.50041937828064</v>
      </c>
      <c r="AQ23" s="69">
        <v>734.96594384511332</v>
      </c>
    </row>
    <row r="24" spans="1:43" x14ac:dyDescent="0.25">
      <c r="A24" s="11">
        <v>41656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239.91410682996047</v>
      </c>
      <c r="J24" s="60">
        <v>806.96890115737779</v>
      </c>
      <c r="K24" s="60">
        <v>25.090869534015702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335.51</v>
      </c>
      <c r="V24" s="62">
        <v>0</v>
      </c>
      <c r="W24" s="62">
        <v>29.52</v>
      </c>
      <c r="X24" s="62">
        <v>0</v>
      </c>
      <c r="Y24" s="66">
        <v>239.13</v>
      </c>
      <c r="Z24" s="66">
        <v>0</v>
      </c>
      <c r="AA24" s="67">
        <v>0</v>
      </c>
      <c r="AB24" s="68">
        <v>0</v>
      </c>
      <c r="AC24" s="69">
        <v>0</v>
      </c>
      <c r="AD24" s="69">
        <v>12.344373624192347</v>
      </c>
      <c r="AE24" s="68">
        <v>12.21</v>
      </c>
      <c r="AF24" s="68">
        <v>0</v>
      </c>
      <c r="AG24" s="68">
        <v>1</v>
      </c>
      <c r="AH24" s="69">
        <v>242.55441811879479</v>
      </c>
      <c r="AI24" s="69">
        <v>486.22254527409865</v>
      </c>
      <c r="AJ24" s="69">
        <v>1128.3877259572346</v>
      </c>
      <c r="AK24" s="69">
        <v>665.77073599497498</v>
      </c>
      <c r="AL24" s="69">
        <v>1808.5007660547897</v>
      </c>
      <c r="AM24" s="69">
        <v>2405.1594001770022</v>
      </c>
      <c r="AN24" s="69">
        <v>661.15897588729854</v>
      </c>
      <c r="AO24" s="69">
        <v>1898.7570275624594</v>
      </c>
      <c r="AP24" s="69">
        <v>359.0436151186625</v>
      </c>
      <c r="AQ24" s="69">
        <v>759.69478899637863</v>
      </c>
    </row>
    <row r="25" spans="1:43" x14ac:dyDescent="0.25">
      <c r="A25" s="11">
        <v>41657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234.75812500317815</v>
      </c>
      <c r="J25" s="60">
        <v>789.2614633560172</v>
      </c>
      <c r="K25" s="60">
        <v>24.381860571106269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351.93</v>
      </c>
      <c r="V25" s="62">
        <v>0</v>
      </c>
      <c r="W25" s="62">
        <v>29.81</v>
      </c>
      <c r="X25" s="62">
        <v>0</v>
      </c>
      <c r="Y25" s="66">
        <v>245.5</v>
      </c>
      <c r="Z25" s="66">
        <v>0</v>
      </c>
      <c r="AA25" s="67">
        <v>0</v>
      </c>
      <c r="AB25" s="68">
        <v>0</v>
      </c>
      <c r="AC25" s="69">
        <v>0</v>
      </c>
      <c r="AD25" s="69">
        <v>12.620258042547453</v>
      </c>
      <c r="AE25" s="68">
        <v>12.5</v>
      </c>
      <c r="AF25" s="68">
        <v>0</v>
      </c>
      <c r="AG25" s="68">
        <v>1</v>
      </c>
      <c r="AH25" s="69">
        <v>239.26322463353475</v>
      </c>
      <c r="AI25" s="69">
        <v>474.12405891418462</v>
      </c>
      <c r="AJ25" s="69">
        <v>1087.3395149230957</v>
      </c>
      <c r="AK25" s="69">
        <v>661.71396017074585</v>
      </c>
      <c r="AL25" s="69">
        <v>1745.3915628433226</v>
      </c>
      <c r="AM25" s="69">
        <v>2354.405760701497</v>
      </c>
      <c r="AN25" s="69">
        <v>623.86822175979614</v>
      </c>
      <c r="AO25" s="69">
        <v>1915.2028455098471</v>
      </c>
      <c r="AP25" s="69">
        <v>351.00563001632696</v>
      </c>
      <c r="AQ25" s="69">
        <v>750.45986871719356</v>
      </c>
    </row>
    <row r="26" spans="1:43" x14ac:dyDescent="0.25">
      <c r="A26" s="11">
        <v>41658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234.88392852147385</v>
      </c>
      <c r="J26" s="60">
        <v>788.97445602416906</v>
      </c>
      <c r="K26" s="60">
        <v>24.40611869692804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351.85</v>
      </c>
      <c r="V26" s="62">
        <v>0</v>
      </c>
      <c r="W26" s="62">
        <v>29.8</v>
      </c>
      <c r="X26" s="62">
        <v>0</v>
      </c>
      <c r="Y26" s="66">
        <v>245.95</v>
      </c>
      <c r="Z26" s="66">
        <v>0</v>
      </c>
      <c r="AA26" s="67">
        <v>0</v>
      </c>
      <c r="AB26" s="68">
        <v>0</v>
      </c>
      <c r="AC26" s="69">
        <v>0</v>
      </c>
      <c r="AD26" s="69">
        <v>12.620353693432278</v>
      </c>
      <c r="AE26" s="68">
        <v>12.5</v>
      </c>
      <c r="AF26" s="68">
        <v>0</v>
      </c>
      <c r="AG26" s="68">
        <v>1</v>
      </c>
      <c r="AH26" s="69">
        <v>232.06029195785524</v>
      </c>
      <c r="AI26" s="69">
        <v>468.83662815093993</v>
      </c>
      <c r="AJ26" s="69">
        <v>1104.8957958857218</v>
      </c>
      <c r="AK26" s="69">
        <v>654.82947314580292</v>
      </c>
      <c r="AL26" s="69">
        <v>1693.4485164642335</v>
      </c>
      <c r="AM26" s="69">
        <v>2287.033160273234</v>
      </c>
      <c r="AN26" s="69">
        <v>612.26352586746214</v>
      </c>
      <c r="AO26" s="69">
        <v>1916.4536588033043</v>
      </c>
      <c r="AP26" s="69">
        <v>335.93017447789509</v>
      </c>
      <c r="AQ26" s="69">
        <v>776.92973359425866</v>
      </c>
    </row>
    <row r="27" spans="1:43" x14ac:dyDescent="0.25">
      <c r="A27" s="11">
        <v>41659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234.71608829498265</v>
      </c>
      <c r="J27" s="60">
        <v>788.84402643839553</v>
      </c>
      <c r="K27" s="60">
        <v>24.441661290327726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351.22</v>
      </c>
      <c r="V27" s="62">
        <v>0</v>
      </c>
      <c r="W27" s="62">
        <v>30.13</v>
      </c>
      <c r="X27" s="62">
        <v>0</v>
      </c>
      <c r="Y27" s="62">
        <v>245.92</v>
      </c>
      <c r="Z27" s="62">
        <v>0</v>
      </c>
      <c r="AA27" s="72">
        <v>0</v>
      </c>
      <c r="AB27" s="69">
        <v>0</v>
      </c>
      <c r="AC27" s="69">
        <v>0</v>
      </c>
      <c r="AD27" s="69">
        <v>12.619292648633312</v>
      </c>
      <c r="AE27" s="69">
        <v>12.5</v>
      </c>
      <c r="AF27" s="69">
        <v>0</v>
      </c>
      <c r="AG27" s="69">
        <v>1</v>
      </c>
      <c r="AH27" s="69">
        <v>233.96348009109499</v>
      </c>
      <c r="AI27" s="69">
        <v>465.38337640762325</v>
      </c>
      <c r="AJ27" s="69">
        <v>1082.2952466328938</v>
      </c>
      <c r="AK27" s="69">
        <v>659.20583346684759</v>
      </c>
      <c r="AL27" s="69">
        <v>1747.3293029785154</v>
      </c>
      <c r="AM27" s="69">
        <v>2343.6620802561447</v>
      </c>
      <c r="AN27" s="69">
        <v>605.76941194534299</v>
      </c>
      <c r="AO27" s="69">
        <v>1996.2378585815429</v>
      </c>
      <c r="AP27" s="69">
        <v>341.55568253199255</v>
      </c>
      <c r="AQ27" s="69">
        <v>735.23776082992549</v>
      </c>
    </row>
    <row r="28" spans="1:43" x14ac:dyDescent="0.25">
      <c r="A28" s="11">
        <v>41660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240.02711361249214</v>
      </c>
      <c r="J28" s="60">
        <v>789.20453510284278</v>
      </c>
      <c r="K28" s="60">
        <v>24.413422326246863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347.21</v>
      </c>
      <c r="V28" s="62">
        <v>0</v>
      </c>
      <c r="W28" s="62">
        <v>29.88</v>
      </c>
      <c r="X28" s="62">
        <v>0</v>
      </c>
      <c r="Y28" s="66">
        <v>243.19</v>
      </c>
      <c r="Z28" s="66">
        <v>0</v>
      </c>
      <c r="AA28" s="67">
        <v>0</v>
      </c>
      <c r="AB28" s="68">
        <v>0</v>
      </c>
      <c r="AC28" s="69">
        <v>0</v>
      </c>
      <c r="AD28" s="69">
        <v>12.458420206440831</v>
      </c>
      <c r="AE28" s="68">
        <v>12.33</v>
      </c>
      <c r="AF28" s="68">
        <v>0</v>
      </c>
      <c r="AG28" s="68">
        <v>1</v>
      </c>
      <c r="AH28" s="69">
        <v>237.73764627774563</v>
      </c>
      <c r="AI28" s="69">
        <v>462.28346357345578</v>
      </c>
      <c r="AJ28" s="69">
        <v>1117.6049751281739</v>
      </c>
      <c r="AK28" s="69">
        <v>656.8965806007385</v>
      </c>
      <c r="AL28" s="69">
        <v>1694.3813243230186</v>
      </c>
      <c r="AM28" s="69">
        <v>2375.3954326629637</v>
      </c>
      <c r="AN28" s="69">
        <v>623.51069485346466</v>
      </c>
      <c r="AO28" s="69">
        <v>2045.8304770151774</v>
      </c>
      <c r="AP28" s="69">
        <v>334.90172405242919</v>
      </c>
      <c r="AQ28" s="69">
        <v>792.44816026687624</v>
      </c>
    </row>
    <row r="29" spans="1:43" x14ac:dyDescent="0.25">
      <c r="A29" s="11">
        <v>41661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247.11229159037231</v>
      </c>
      <c r="J29" s="60">
        <v>788.77446549733418</v>
      </c>
      <c r="K29" s="60">
        <v>24.597633069753641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347.89</v>
      </c>
      <c r="V29" s="62">
        <v>0</v>
      </c>
      <c r="W29" s="62">
        <v>30.17</v>
      </c>
      <c r="X29" s="62">
        <v>0</v>
      </c>
      <c r="Y29" s="66">
        <v>243.36</v>
      </c>
      <c r="Z29" s="66">
        <v>0</v>
      </c>
      <c r="AA29" s="67">
        <v>0</v>
      </c>
      <c r="AB29" s="68">
        <v>0</v>
      </c>
      <c r="AC29" s="69">
        <v>0</v>
      </c>
      <c r="AD29" s="69">
        <v>12.48910936845675</v>
      </c>
      <c r="AE29" s="68">
        <v>12.36</v>
      </c>
      <c r="AF29" s="68">
        <v>0</v>
      </c>
      <c r="AG29" s="68">
        <v>1</v>
      </c>
      <c r="AH29" s="69">
        <v>243.32551964124045</v>
      </c>
      <c r="AI29" s="69">
        <v>470.38705450693766</v>
      </c>
      <c r="AJ29" s="69">
        <v>1090.6146959304813</v>
      </c>
      <c r="AK29" s="69">
        <v>667.38535092671725</v>
      </c>
      <c r="AL29" s="69">
        <v>1797.9379330952963</v>
      </c>
      <c r="AM29" s="69">
        <v>2396.2216292063399</v>
      </c>
      <c r="AN29" s="69">
        <v>645.04613914489755</v>
      </c>
      <c r="AO29" s="69">
        <v>1994.5558116912841</v>
      </c>
      <c r="AP29" s="69">
        <v>355.25712305704747</v>
      </c>
      <c r="AQ29" s="69">
        <v>769.3057676951089</v>
      </c>
    </row>
    <row r="30" spans="1:43" x14ac:dyDescent="0.25">
      <c r="A30" s="11">
        <v>41662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253.04861229260737</v>
      </c>
      <c r="J30" s="60">
        <v>807.51868651707946</v>
      </c>
      <c r="K30" s="60">
        <v>25.38246797025203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341.42</v>
      </c>
      <c r="V30" s="62">
        <v>0</v>
      </c>
      <c r="W30" s="62">
        <v>31.12</v>
      </c>
      <c r="X30" s="62">
        <v>0</v>
      </c>
      <c r="Y30" s="66">
        <v>243.54</v>
      </c>
      <c r="Z30" s="66">
        <v>0</v>
      </c>
      <c r="AA30" s="67">
        <v>0</v>
      </c>
      <c r="AB30" s="68">
        <v>0</v>
      </c>
      <c r="AC30" s="69">
        <v>0</v>
      </c>
      <c r="AD30" s="69">
        <v>12.490856307082707</v>
      </c>
      <c r="AE30" s="68">
        <v>12.36</v>
      </c>
      <c r="AF30" s="68">
        <v>0</v>
      </c>
      <c r="AG30" s="68">
        <v>1</v>
      </c>
      <c r="AH30" s="69">
        <v>259.44430389404295</v>
      </c>
      <c r="AI30" s="69">
        <v>509.96334241231284</v>
      </c>
      <c r="AJ30" s="69">
        <v>1081.8155243555705</v>
      </c>
      <c r="AK30" s="69">
        <v>691.23157835006714</v>
      </c>
      <c r="AL30" s="69">
        <v>1951.4257307052615</v>
      </c>
      <c r="AM30" s="69">
        <v>2475.5576653798421</v>
      </c>
      <c r="AN30" s="69">
        <v>703.00596694946296</v>
      </c>
      <c r="AO30" s="69">
        <v>2002.5497421264649</v>
      </c>
      <c r="AP30" s="69">
        <v>394.19146018028255</v>
      </c>
      <c r="AQ30" s="69">
        <v>809.86493434906004</v>
      </c>
    </row>
    <row r="31" spans="1:43" x14ac:dyDescent="0.25">
      <c r="A31" s="11">
        <v>41663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251.74352092742885</v>
      </c>
      <c r="J31" s="60">
        <v>756.88311799367364</v>
      </c>
      <c r="K31" s="60">
        <v>26.345603158076582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337.56</v>
      </c>
      <c r="V31" s="62">
        <v>0</v>
      </c>
      <c r="W31" s="62">
        <v>28.91</v>
      </c>
      <c r="X31" s="62">
        <v>0</v>
      </c>
      <c r="Y31" s="66">
        <v>239.95</v>
      </c>
      <c r="Z31" s="66">
        <v>0</v>
      </c>
      <c r="AA31" s="67">
        <v>0</v>
      </c>
      <c r="AB31" s="68">
        <v>0</v>
      </c>
      <c r="AC31" s="69">
        <v>0</v>
      </c>
      <c r="AD31" s="69">
        <v>12.317911558681059</v>
      </c>
      <c r="AE31" s="68">
        <v>12.2</v>
      </c>
      <c r="AF31" s="68">
        <v>0</v>
      </c>
      <c r="AG31" s="68">
        <v>1</v>
      </c>
      <c r="AH31" s="69">
        <v>249.24394793510436</v>
      </c>
      <c r="AI31" s="69">
        <v>499.80909900665279</v>
      </c>
      <c r="AJ31" s="69">
        <v>1118.935794766744</v>
      </c>
      <c r="AK31" s="69">
        <v>667.33944145838416</v>
      </c>
      <c r="AL31" s="69">
        <v>1831.2794787089028</v>
      </c>
      <c r="AM31" s="69">
        <v>2447.8486601511636</v>
      </c>
      <c r="AN31" s="69">
        <v>664.99115947087603</v>
      </c>
      <c r="AO31" s="69">
        <v>1993.5038860321044</v>
      </c>
      <c r="AP31" s="69">
        <v>361.38305794397985</v>
      </c>
      <c r="AQ31" s="69">
        <v>775.55211493174238</v>
      </c>
    </row>
    <row r="32" spans="1:43" x14ac:dyDescent="0.25">
      <c r="A32" s="11">
        <v>41664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249.44316609700502</v>
      </c>
      <c r="J32" s="60">
        <v>676.83607250849582</v>
      </c>
      <c r="K32" s="60">
        <v>27.732790476083704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356.88</v>
      </c>
      <c r="V32" s="62">
        <v>0</v>
      </c>
      <c r="W32" s="62">
        <v>31.21</v>
      </c>
      <c r="X32" s="62">
        <v>0</v>
      </c>
      <c r="Y32" s="66">
        <v>234.69</v>
      </c>
      <c r="Z32" s="66">
        <v>0</v>
      </c>
      <c r="AA32" s="67">
        <v>0</v>
      </c>
      <c r="AB32" s="68">
        <v>0</v>
      </c>
      <c r="AC32" s="69">
        <v>0</v>
      </c>
      <c r="AD32" s="69">
        <v>12.615586284796427</v>
      </c>
      <c r="AE32" s="68">
        <v>12.5</v>
      </c>
      <c r="AF32" s="68">
        <v>0</v>
      </c>
      <c r="AG32" s="68">
        <v>1</v>
      </c>
      <c r="AH32" s="69">
        <v>232.67685899734494</v>
      </c>
      <c r="AI32" s="69">
        <v>465.1679450035096</v>
      </c>
      <c r="AJ32" s="69">
        <v>1083.4597251256307</v>
      </c>
      <c r="AK32" s="69">
        <v>653.35532277425136</v>
      </c>
      <c r="AL32" s="69">
        <v>1748.19949982961</v>
      </c>
      <c r="AM32" s="69">
        <v>2319.5586664835614</v>
      </c>
      <c r="AN32" s="69">
        <v>617.0506673494973</v>
      </c>
      <c r="AO32" s="69">
        <v>2007.889298248291</v>
      </c>
      <c r="AP32" s="69">
        <v>328.149445549647</v>
      </c>
      <c r="AQ32" s="69">
        <v>697.27831633885694</v>
      </c>
    </row>
    <row r="33" spans="1:43" x14ac:dyDescent="0.25">
      <c r="A33" s="11">
        <v>41665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255.38338222503631</v>
      </c>
      <c r="J33" s="60">
        <v>676.04049406051706</v>
      </c>
      <c r="K33" s="60">
        <v>27.767138159274982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353.63</v>
      </c>
      <c r="V33" s="62">
        <v>0</v>
      </c>
      <c r="W33" s="62">
        <v>31.3</v>
      </c>
      <c r="X33" s="62">
        <v>0</v>
      </c>
      <c r="Y33" s="66">
        <v>218.33</v>
      </c>
      <c r="Z33" s="66">
        <v>0</v>
      </c>
      <c r="AA33" s="67">
        <v>0</v>
      </c>
      <c r="AB33" s="68">
        <v>0</v>
      </c>
      <c r="AC33" s="69">
        <v>0</v>
      </c>
      <c r="AD33" s="69">
        <v>12.62069542143078</v>
      </c>
      <c r="AE33" s="68">
        <v>12.5</v>
      </c>
      <c r="AF33" s="68">
        <v>0</v>
      </c>
      <c r="AG33" s="68">
        <v>1</v>
      </c>
      <c r="AH33" s="69">
        <v>236.61552775700886</v>
      </c>
      <c r="AI33" s="69">
        <v>468.24387826919553</v>
      </c>
      <c r="AJ33" s="69">
        <v>1107.7455881754556</v>
      </c>
      <c r="AK33" s="69">
        <v>663.04982589085898</v>
      </c>
      <c r="AL33" s="69">
        <v>1773.9095837275186</v>
      </c>
      <c r="AM33" s="69">
        <v>2337.6620328267418</v>
      </c>
      <c r="AN33" s="69">
        <v>626.58631010055535</v>
      </c>
      <c r="AO33" s="69">
        <v>2004.7906843821208</v>
      </c>
      <c r="AP33" s="69">
        <v>344.10202124913525</v>
      </c>
      <c r="AQ33" s="69">
        <v>678.4157559712728</v>
      </c>
    </row>
    <row r="34" spans="1:43" x14ac:dyDescent="0.25">
      <c r="A34" s="11">
        <v>41666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255.21811189651447</v>
      </c>
      <c r="J34" s="60">
        <v>676.28825225830212</v>
      </c>
      <c r="K34" s="60">
        <v>27.715957287947234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331.11</v>
      </c>
      <c r="V34" s="62">
        <v>0</v>
      </c>
      <c r="W34" s="62">
        <v>30.9</v>
      </c>
      <c r="X34" s="62">
        <v>0</v>
      </c>
      <c r="Y34" s="66">
        <v>206.21</v>
      </c>
      <c r="Z34" s="66">
        <v>0</v>
      </c>
      <c r="AA34" s="67">
        <v>0</v>
      </c>
      <c r="AB34" s="68">
        <v>0</v>
      </c>
      <c r="AC34" s="69">
        <v>0</v>
      </c>
      <c r="AD34" s="69">
        <v>12.618708995978023</v>
      </c>
      <c r="AE34" s="68">
        <v>12.5</v>
      </c>
      <c r="AF34" s="68">
        <v>0</v>
      </c>
      <c r="AG34" s="68">
        <v>1</v>
      </c>
      <c r="AH34" s="69">
        <v>266.0035616556803</v>
      </c>
      <c r="AI34" s="69">
        <v>530.42930243810019</v>
      </c>
      <c r="AJ34" s="69">
        <v>1085.5849261601766</v>
      </c>
      <c r="AK34" s="69">
        <v>705.14486007690425</v>
      </c>
      <c r="AL34" s="69">
        <v>1966.5376999537145</v>
      </c>
      <c r="AM34" s="69">
        <v>2471.4777006785075</v>
      </c>
      <c r="AN34" s="69">
        <v>737.32494258880627</v>
      </c>
      <c r="AO34" s="69">
        <v>2035.0230298360188</v>
      </c>
      <c r="AP34" s="69">
        <v>407.02746580441789</v>
      </c>
      <c r="AQ34" s="69">
        <v>760.29088207880659</v>
      </c>
    </row>
    <row r="35" spans="1:43" x14ac:dyDescent="0.25">
      <c r="A35" s="11">
        <v>41667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255.33004771868318</v>
      </c>
      <c r="J35" s="60">
        <v>675.86148204803646</v>
      </c>
      <c r="K35" s="60">
        <v>27.574029356241184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329.23</v>
      </c>
      <c r="V35" s="62">
        <v>0</v>
      </c>
      <c r="W35" s="62">
        <v>30.65</v>
      </c>
      <c r="X35" s="62">
        <v>0</v>
      </c>
      <c r="Y35" s="66">
        <v>206.25</v>
      </c>
      <c r="Z35" s="66">
        <v>0</v>
      </c>
      <c r="AA35" s="67">
        <v>0</v>
      </c>
      <c r="AB35" s="68">
        <v>0</v>
      </c>
      <c r="AC35" s="69">
        <v>0</v>
      </c>
      <c r="AD35" s="69">
        <v>12.621642871697741</v>
      </c>
      <c r="AE35" s="68">
        <v>12.5</v>
      </c>
      <c r="AF35" s="68">
        <v>0</v>
      </c>
      <c r="AG35" s="68">
        <v>1</v>
      </c>
      <c r="AH35" s="69">
        <v>288.98415713310243</v>
      </c>
      <c r="AI35" s="69">
        <v>562.8541732470195</v>
      </c>
      <c r="AJ35" s="69">
        <v>1102.5466941833495</v>
      </c>
      <c r="AK35" s="69">
        <v>671.33193155924482</v>
      </c>
      <c r="AL35" s="69">
        <v>1978.8181443532308</v>
      </c>
      <c r="AM35" s="69">
        <v>2380.703471501668</v>
      </c>
      <c r="AN35" s="69">
        <v>751.26019261678061</v>
      </c>
      <c r="AO35" s="69">
        <v>2063.8689966837564</v>
      </c>
      <c r="AP35" s="69">
        <v>406.57052081425991</v>
      </c>
      <c r="AQ35" s="69">
        <v>773.61197404861457</v>
      </c>
    </row>
    <row r="36" spans="1:43" x14ac:dyDescent="0.25">
      <c r="A36" s="11">
        <v>41668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263.00537904103561</v>
      </c>
      <c r="J36" s="60">
        <v>696.57170766194804</v>
      </c>
      <c r="K36" s="60">
        <v>28.607350818316018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333.61</v>
      </c>
      <c r="V36" s="62">
        <v>0</v>
      </c>
      <c r="W36" s="62">
        <v>29.68</v>
      </c>
      <c r="X36" s="62">
        <v>0</v>
      </c>
      <c r="Y36" s="66">
        <v>204.16</v>
      </c>
      <c r="Z36" s="66">
        <v>0</v>
      </c>
      <c r="AA36" s="67">
        <v>0</v>
      </c>
      <c r="AB36" s="68">
        <v>0</v>
      </c>
      <c r="AC36" s="69">
        <v>0</v>
      </c>
      <c r="AD36" s="69">
        <v>12.433470424678593</v>
      </c>
      <c r="AE36" s="68">
        <v>12.23</v>
      </c>
      <c r="AF36" s="68">
        <v>0</v>
      </c>
      <c r="AG36" s="68">
        <v>1</v>
      </c>
      <c r="AH36" s="69">
        <v>269.48469452857978</v>
      </c>
      <c r="AI36" s="69">
        <v>515.3508790016175</v>
      </c>
      <c r="AJ36" s="69">
        <v>1114.3050489425657</v>
      </c>
      <c r="AK36" s="69">
        <v>665.8722315470377</v>
      </c>
      <c r="AL36" s="69">
        <v>1794.8024312337241</v>
      </c>
      <c r="AM36" s="69">
        <v>2454.9064425150555</v>
      </c>
      <c r="AN36" s="69">
        <v>689.64847739537561</v>
      </c>
      <c r="AO36" s="69">
        <v>2083.0120989481607</v>
      </c>
      <c r="AP36" s="69">
        <v>368.61405781110125</v>
      </c>
      <c r="AQ36" s="69">
        <v>729.23775612513236</v>
      </c>
    </row>
    <row r="37" spans="1:43" x14ac:dyDescent="0.25">
      <c r="A37" s="11">
        <v>41669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264.69965519905043</v>
      </c>
      <c r="J37" s="60">
        <v>701.07872107823721</v>
      </c>
      <c r="K37" s="60">
        <v>29.00711297591511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345.78</v>
      </c>
      <c r="V37" s="62">
        <v>0</v>
      </c>
      <c r="W37" s="62">
        <v>30.44</v>
      </c>
      <c r="X37" s="62">
        <v>0</v>
      </c>
      <c r="Y37" s="66">
        <v>208.2</v>
      </c>
      <c r="Z37" s="66">
        <v>0</v>
      </c>
      <c r="AA37" s="67">
        <v>0</v>
      </c>
      <c r="AB37" s="68">
        <v>0</v>
      </c>
      <c r="AC37" s="69">
        <v>0</v>
      </c>
      <c r="AD37" s="69">
        <v>12.534413927793508</v>
      </c>
      <c r="AE37" s="68">
        <v>12.27</v>
      </c>
      <c r="AF37" s="68">
        <v>0</v>
      </c>
      <c r="AG37" s="68">
        <v>1</v>
      </c>
      <c r="AH37" s="69">
        <v>251.48999819755554</v>
      </c>
      <c r="AI37" s="69">
        <v>489.49879404703773</v>
      </c>
      <c r="AJ37" s="69">
        <v>1082.4708365122478</v>
      </c>
      <c r="AK37" s="69">
        <v>663.4597332636514</v>
      </c>
      <c r="AL37" s="69">
        <v>1830.5453612009683</v>
      </c>
      <c r="AM37" s="69">
        <v>2424.3654516855877</v>
      </c>
      <c r="AN37" s="69">
        <v>658.33235619862864</v>
      </c>
      <c r="AO37" s="69">
        <v>2041.0204714457193</v>
      </c>
      <c r="AP37" s="69">
        <v>357.12444898287453</v>
      </c>
      <c r="AQ37" s="69">
        <v>726.81678530375166</v>
      </c>
    </row>
    <row r="38" spans="1:43" ht="15.75" thickBot="1" x14ac:dyDescent="0.3">
      <c r="A38" s="11">
        <v>41670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257.94087074597638</v>
      </c>
      <c r="J38" s="74">
        <v>682.67227678299082</v>
      </c>
      <c r="K38" s="74">
        <v>28.144113687674093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338.02604550255984</v>
      </c>
      <c r="V38" s="80">
        <v>0</v>
      </c>
      <c r="W38" s="81">
        <v>31.490453056494381</v>
      </c>
      <c r="X38" s="81">
        <v>0</v>
      </c>
      <c r="Y38" s="80">
        <v>211.85983897844966</v>
      </c>
      <c r="Z38" s="80">
        <v>0</v>
      </c>
      <c r="AA38" s="82">
        <v>0</v>
      </c>
      <c r="AB38" s="83">
        <v>0</v>
      </c>
      <c r="AC38" s="84">
        <v>0</v>
      </c>
      <c r="AD38" s="85">
        <v>12.758315975798496</v>
      </c>
      <c r="AE38" s="83">
        <v>12.498953003611557</v>
      </c>
      <c r="AF38" s="83">
        <v>0</v>
      </c>
      <c r="AG38" s="83">
        <v>1</v>
      </c>
      <c r="AH38" s="84">
        <v>268.61736496289569</v>
      </c>
      <c r="AI38" s="84">
        <v>527.2369034131367</v>
      </c>
      <c r="AJ38" s="84">
        <v>1083.1653966267904</v>
      </c>
      <c r="AK38" s="84">
        <v>677.17898912429803</v>
      </c>
      <c r="AL38" s="84">
        <v>1959.0616888682046</v>
      </c>
      <c r="AM38" s="84">
        <v>2498.4476881663004</v>
      </c>
      <c r="AN38" s="84">
        <v>717.61874891916921</v>
      </c>
      <c r="AO38" s="84">
        <v>2079.0175210316975</v>
      </c>
      <c r="AP38" s="84">
        <v>394.74538620313007</v>
      </c>
      <c r="AQ38" s="84">
        <v>760.73240499496467</v>
      </c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7498.5231674075021</v>
      </c>
      <c r="J39" s="30">
        <f t="shared" si="0"/>
        <v>24160.948725414277</v>
      </c>
      <c r="K39" s="30">
        <f t="shared" si="0"/>
        <v>802.44167892634891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10593.984792230392</v>
      </c>
      <c r="V39" s="264">
        <f t="shared" si="0"/>
        <v>0</v>
      </c>
      <c r="W39" s="264">
        <f t="shared" si="0"/>
        <v>946.90202129522936</v>
      </c>
      <c r="X39" s="264">
        <f t="shared" si="0"/>
        <v>0</v>
      </c>
      <c r="Y39" s="264">
        <f t="shared" si="0"/>
        <v>7488.340029134748</v>
      </c>
      <c r="Z39" s="264">
        <f t="shared" si="0"/>
        <v>0</v>
      </c>
      <c r="AA39" s="272">
        <f t="shared" si="0"/>
        <v>0</v>
      </c>
      <c r="AB39" s="275">
        <f t="shared" si="0"/>
        <v>0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7820.9961274147054</v>
      </c>
      <c r="AI39" s="275">
        <f t="shared" si="1"/>
        <v>15563.533114465079</v>
      </c>
      <c r="AJ39" s="275">
        <f t="shared" si="1"/>
        <v>34430.808060455325</v>
      </c>
      <c r="AK39" s="275">
        <f t="shared" si="1"/>
        <v>20843.738874975836</v>
      </c>
      <c r="AL39" s="275">
        <f t="shared" si="1"/>
        <v>56947.881203651406</v>
      </c>
      <c r="AM39" s="275">
        <f t="shared" si="1"/>
        <v>73253.597939936328</v>
      </c>
      <c r="AN39" s="275">
        <f t="shared" si="1"/>
        <v>20684.193022251126</v>
      </c>
      <c r="AO39" s="275">
        <f t="shared" si="1"/>
        <v>62626.364436086027</v>
      </c>
      <c r="AP39" s="275">
        <f t="shared" si="1"/>
        <v>11709.149585819245</v>
      </c>
      <c r="AQ39" s="275">
        <f t="shared" si="1"/>
        <v>23363.060415808362</v>
      </c>
    </row>
    <row r="40" spans="1:43" ht="15.75" thickBot="1" x14ac:dyDescent="0.3">
      <c r="A40" s="47" t="s">
        <v>174</v>
      </c>
      <c r="B40" s="32">
        <f>Projection!$AA$30</f>
        <v>0.80583665399999982</v>
      </c>
      <c r="C40" s="33">
        <f>Projection!$AA$28</f>
        <v>1.0959093599999998</v>
      </c>
      <c r="D40" s="33">
        <f>Projection!$AA$31</f>
        <v>2.1834120000000001</v>
      </c>
      <c r="E40" s="33">
        <f>Projection!$AA$26</f>
        <v>4.3368000000000002</v>
      </c>
      <c r="F40" s="33">
        <f>Projection!$AA$23</f>
        <v>5.8379999999999994E-2</v>
      </c>
      <c r="G40" s="33">
        <f>Projection!$AA$24</f>
        <v>5.5119999999999995E-2</v>
      </c>
      <c r="H40" s="34">
        <f>Projection!$AA$29</f>
        <v>3.4361216999999997</v>
      </c>
      <c r="I40" s="32">
        <f>Projection!$AA$30</f>
        <v>0.80583665399999982</v>
      </c>
      <c r="J40" s="33">
        <f>Projection!$AA$28</f>
        <v>1.0959093599999998</v>
      </c>
      <c r="K40" s="33">
        <f>Projection!$AA$26</f>
        <v>4.3368000000000002</v>
      </c>
      <c r="L40" s="33">
        <f>Projection!$AA$25</f>
        <v>0</v>
      </c>
      <c r="M40" s="33">
        <f>Projection!$AA$23</f>
        <v>5.8379999999999994E-2</v>
      </c>
      <c r="N40" s="34">
        <f>Projection!$AA$23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1.0959093599999998</v>
      </c>
      <c r="T40" s="38">
        <f>Projection!$AA$28</f>
        <v>1.0959093599999998</v>
      </c>
      <c r="U40" s="26">
        <f>Projection!$AA$27</f>
        <v>0.21934999999999999</v>
      </c>
      <c r="V40" s="27">
        <f>Projection!$AA$27</f>
        <v>0.21934999999999999</v>
      </c>
      <c r="W40" s="27">
        <f>Projection!$AA$22</f>
        <v>1.1625000000000001</v>
      </c>
      <c r="X40" s="27">
        <f>Projection!$AA$22</f>
        <v>1.1625000000000001</v>
      </c>
      <c r="Y40" s="27">
        <f>Projection!$AA$31</f>
        <v>2.1834120000000001</v>
      </c>
      <c r="Z40" s="27">
        <f>Projection!$AA$31</f>
        <v>2.1834120000000001</v>
      </c>
      <c r="AA40" s="28">
        <v>0</v>
      </c>
      <c r="AB40" s="41">
        <f>Projection!$AA$27</f>
        <v>0.21934999999999999</v>
      </c>
      <c r="AC40" s="41">
        <f>Projection!$AA$30</f>
        <v>0.80583665399999982</v>
      </c>
      <c r="AD40" s="279">
        <f>SUM(AD8:AD38)</f>
        <v>393.51495193574158</v>
      </c>
      <c r="AE40" s="279">
        <f>SUM(AE8:AE38)</f>
        <v>388.50555896736313</v>
      </c>
      <c r="AF40" s="279">
        <f>SUM(AF8:AF38)</f>
        <v>0</v>
      </c>
      <c r="AG40" s="279">
        <f>IF(SUM(AE40:AF40)&gt;0, AE40/(AE40+AF40), "")</f>
        <v>1</v>
      </c>
      <c r="AH40" s="315">
        <v>6.5000000000000002E-2</v>
      </c>
      <c r="AI40" s="315">
        <f t="shared" ref="AI40:AQ40" si="2">$AH$40</f>
        <v>6.5000000000000002E-2</v>
      </c>
      <c r="AJ40" s="315">
        <f t="shared" si="2"/>
        <v>6.5000000000000002E-2</v>
      </c>
      <c r="AK40" s="315">
        <f t="shared" si="2"/>
        <v>6.5000000000000002E-2</v>
      </c>
      <c r="AL40" s="315">
        <f t="shared" si="2"/>
        <v>6.5000000000000002E-2</v>
      </c>
      <c r="AM40" s="315">
        <f t="shared" si="2"/>
        <v>6.5000000000000002E-2</v>
      </c>
      <c r="AN40" s="315">
        <f t="shared" si="2"/>
        <v>6.5000000000000002E-2</v>
      </c>
      <c r="AO40" s="315">
        <f t="shared" si="2"/>
        <v>6.5000000000000002E-2</v>
      </c>
      <c r="AP40" s="315">
        <f t="shared" si="2"/>
        <v>6.5000000000000002E-2</v>
      </c>
      <c r="AQ40" s="315">
        <f t="shared" si="2"/>
        <v>6.5000000000000002E-2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6042.5848191651421</v>
      </c>
      <c r="J41" s="36">
        <f t="shared" si="3"/>
        <v>26478.209854661571</v>
      </c>
      <c r="K41" s="36">
        <f t="shared" si="3"/>
        <v>3480.0290731677901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2323.7905641757366</v>
      </c>
      <c r="V41" s="270">
        <f t="shared" si="3"/>
        <v>0</v>
      </c>
      <c r="W41" s="270">
        <f t="shared" si="3"/>
        <v>1100.7735997557043</v>
      </c>
      <c r="X41" s="270">
        <f t="shared" si="3"/>
        <v>0</v>
      </c>
      <c r="Y41" s="270">
        <f t="shared" si="3"/>
        <v>16350.13147969316</v>
      </c>
      <c r="Z41" s="270">
        <f t="shared" si="3"/>
        <v>0</v>
      </c>
      <c r="AA41" s="274">
        <f t="shared" si="3"/>
        <v>0</v>
      </c>
      <c r="AB41" s="277">
        <f t="shared" si="3"/>
        <v>0</v>
      </c>
      <c r="AC41" s="277">
        <f t="shared" si="3"/>
        <v>0</v>
      </c>
      <c r="AH41" s="280">
        <f t="shared" ref="AH41:AQ41" si="4">AH40*AH39</f>
        <v>508.36474828195588</v>
      </c>
      <c r="AI41" s="280">
        <f t="shared" si="4"/>
        <v>1011.6296524402302</v>
      </c>
      <c r="AJ41" s="280">
        <f t="shared" si="4"/>
        <v>2238.002523929596</v>
      </c>
      <c r="AK41" s="280">
        <f t="shared" si="4"/>
        <v>1354.8430268734294</v>
      </c>
      <c r="AL41" s="280">
        <f t="shared" si="4"/>
        <v>3701.6122782373413</v>
      </c>
      <c r="AM41" s="280">
        <f t="shared" si="4"/>
        <v>4761.4838660958612</v>
      </c>
      <c r="AN41" s="280">
        <f t="shared" si="4"/>
        <v>1344.4725464463231</v>
      </c>
      <c r="AO41" s="280">
        <f t="shared" si="4"/>
        <v>4070.7136883455919</v>
      </c>
      <c r="AP41" s="280">
        <f t="shared" si="4"/>
        <v>761.09472307825092</v>
      </c>
      <c r="AQ41" s="280">
        <f t="shared" si="4"/>
        <v>1518.5989270275436</v>
      </c>
    </row>
    <row r="42" spans="1:43" ht="49.5" customHeight="1" thickTop="1" thickBot="1" x14ac:dyDescent="0.3">
      <c r="A42" s="564" t="s">
        <v>227</v>
      </c>
      <c r="B42" s="565"/>
      <c r="C42" s="565"/>
      <c r="D42" s="565"/>
      <c r="E42" s="565"/>
      <c r="F42" s="565"/>
      <c r="G42" s="565"/>
      <c r="H42" s="565"/>
      <c r="I42" s="565"/>
      <c r="J42" s="565"/>
      <c r="K42" s="54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1312.98</v>
      </c>
      <c r="AI42" s="280" t="s">
        <v>199</v>
      </c>
      <c r="AJ42" s="280">
        <v>3342.29</v>
      </c>
      <c r="AK42" s="280">
        <v>1393.25</v>
      </c>
      <c r="AL42" s="280">
        <v>1980.76</v>
      </c>
      <c r="AM42" s="280">
        <v>9379.3799999999992</v>
      </c>
      <c r="AN42" s="280">
        <v>2294.4</v>
      </c>
      <c r="AO42" s="280" t="s">
        <v>199</v>
      </c>
      <c r="AP42" s="280">
        <v>447.27</v>
      </c>
      <c r="AQ42" s="280">
        <v>855.36</v>
      </c>
    </row>
    <row r="43" spans="1:43" ht="38.25" customHeight="1" thickTop="1" thickBot="1" x14ac:dyDescent="0.3">
      <c r="A43" s="552" t="s">
        <v>49</v>
      </c>
      <c r="B43" s="548"/>
      <c r="C43" s="291"/>
      <c r="D43" s="548" t="s">
        <v>47</v>
      </c>
      <c r="E43" s="548"/>
      <c r="F43" s="291"/>
      <c r="G43" s="548" t="s">
        <v>48</v>
      </c>
      <c r="H43" s="548"/>
      <c r="I43" s="292"/>
      <c r="J43" s="548" t="s">
        <v>50</v>
      </c>
      <c r="K43" s="549"/>
      <c r="L43" s="44"/>
      <c r="M43" s="44"/>
      <c r="N43" s="44"/>
      <c r="O43" s="45"/>
      <c r="P43" s="45"/>
      <c r="Q43" s="45"/>
      <c r="R43" s="558" t="s">
        <v>168</v>
      </c>
      <c r="S43" s="559"/>
      <c r="T43" s="559"/>
      <c r="U43" s="560"/>
      <c r="AC43" s="45"/>
    </row>
    <row r="44" spans="1:43" ht="24.75" thickTop="1" thickBot="1" x14ac:dyDescent="0.3">
      <c r="A44" s="284" t="s">
        <v>135</v>
      </c>
      <c r="B44" s="285">
        <f>SUM(B41:AC41)</f>
        <v>55775.519390619105</v>
      </c>
      <c r="C44" s="12"/>
      <c r="D44" s="284" t="s">
        <v>135</v>
      </c>
      <c r="E44" s="285">
        <f>SUM(B41:H41)+P41+R41+T41+V41+X41+Z41</f>
        <v>0</v>
      </c>
      <c r="F44" s="12"/>
      <c r="G44" s="284" t="s">
        <v>135</v>
      </c>
      <c r="H44" s="285">
        <f>SUM(I41:N41)+O41+Q41+S41+U41+W41+Y41</f>
        <v>55775.519390619105</v>
      </c>
      <c r="I44" s="12"/>
      <c r="J44" s="284" t="s">
        <v>200</v>
      </c>
      <c r="K44" s="285">
        <v>90206.95</v>
      </c>
      <c r="L44" s="12"/>
      <c r="M44" s="12"/>
      <c r="N44" s="12"/>
      <c r="O44" s="12"/>
      <c r="P44" s="12"/>
      <c r="Q44" s="12"/>
      <c r="R44" s="303" t="s">
        <v>135</v>
      </c>
      <c r="S44" s="304"/>
      <c r="T44" s="299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21270.815980756121</v>
      </c>
      <c r="C45" s="12"/>
      <c r="D45" s="286" t="s">
        <v>185</v>
      </c>
      <c r="E45" s="287">
        <f>AH41*(1-$AG$40)+AI41+AJ41*0.5+AL41+AM41*(1-$AG$40)+AN41*(1-$AG$40)+AO41*(1-$AG$40)+AP41*0.5+AQ41*0.5</f>
        <v>6972.0900176952673</v>
      </c>
      <c r="F45" s="24"/>
      <c r="G45" s="286" t="s">
        <v>185</v>
      </c>
      <c r="H45" s="287">
        <f>AH41*AG40+AJ41*0.5+AK41+AM41*AG40+AN41*AG40+AO41*AG40+AP41*0.5+AQ41*0.5</f>
        <v>14298.725963060855</v>
      </c>
      <c r="I45" s="12"/>
      <c r="J45" s="12"/>
      <c r="K45" s="290"/>
      <c r="L45" s="12"/>
      <c r="M45" s="12"/>
      <c r="N45" s="12"/>
      <c r="O45" s="12"/>
      <c r="P45" s="12"/>
      <c r="Q45" s="12"/>
      <c r="R45" s="301" t="s">
        <v>141</v>
      </c>
      <c r="S45" s="302"/>
      <c r="T45" s="256">
        <f>$W$39+$X$39</f>
        <v>946.90202129522936</v>
      </c>
      <c r="U45" s="258">
        <f>(T45*8.34*0.895)/27000</f>
        <v>0.26177632435385118</v>
      </c>
    </row>
    <row r="46" spans="1:43" ht="32.25" thickBot="1" x14ac:dyDescent="0.3">
      <c r="A46" s="288" t="s">
        <v>186</v>
      </c>
      <c r="B46" s="289">
        <f>SUM(AH42:AQ42)</f>
        <v>21005.690000000002</v>
      </c>
      <c r="C46" s="12"/>
      <c r="D46" s="288" t="s">
        <v>186</v>
      </c>
      <c r="E46" s="289">
        <f>AH42*(1-$AG$40)+AJ42*0.5+AL42+AM42*(1-$AG$40)+AN42*(1-$AG$40)+AP42*0.5+AQ42*0.5</f>
        <v>4303.22</v>
      </c>
      <c r="F46" s="23"/>
      <c r="G46" s="288" t="s">
        <v>186</v>
      </c>
      <c r="H46" s="289">
        <f>AH42*AG40+AJ42*0.5+AK42+AM42*AG40+AN42*AG40+AP42*0.5+AQ42*0.5</f>
        <v>16702.469999999998</v>
      </c>
      <c r="I46" s="12"/>
      <c r="J46" s="550" t="s">
        <v>201</v>
      </c>
      <c r="K46" s="551"/>
      <c r="L46" s="12"/>
      <c r="M46" s="12"/>
      <c r="N46" s="12"/>
      <c r="O46" s="12"/>
      <c r="P46" s="12"/>
      <c r="Q46" s="12"/>
      <c r="R46" s="301" t="s">
        <v>145</v>
      </c>
      <c r="S46" s="302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90206.95</v>
      </c>
      <c r="C47" s="12"/>
      <c r="D47" s="288" t="s">
        <v>189</v>
      </c>
      <c r="E47" s="289">
        <f>K44*0.5</f>
        <v>45103.474999999999</v>
      </c>
      <c r="F47" s="24"/>
      <c r="G47" s="288" t="s">
        <v>187</v>
      </c>
      <c r="H47" s="289">
        <f>K44*0.5</f>
        <v>45103.474999999999</v>
      </c>
      <c r="I47" s="12"/>
      <c r="J47" s="284" t="s">
        <v>200</v>
      </c>
      <c r="K47" s="285">
        <v>9342.39</v>
      </c>
      <c r="L47" s="12"/>
      <c r="M47" s="12"/>
      <c r="N47" s="12"/>
      <c r="O47" s="12"/>
      <c r="P47" s="12"/>
      <c r="Q47" s="12"/>
      <c r="R47" s="301" t="s">
        <v>148</v>
      </c>
      <c r="S47" s="302"/>
      <c r="T47" s="256">
        <f>$G$39</f>
        <v>0</v>
      </c>
      <c r="U47" s="258">
        <f>T47/40000</f>
        <v>0</v>
      </c>
    </row>
    <row r="48" spans="1:43" ht="24" thickBot="1" x14ac:dyDescent="0.3">
      <c r="A48" s="288" t="s">
        <v>188</v>
      </c>
      <c r="B48" s="289">
        <f>K47</f>
        <v>9342.39</v>
      </c>
      <c r="C48" s="12"/>
      <c r="D48" s="288" t="s">
        <v>188</v>
      </c>
      <c r="E48" s="289">
        <f>K47*0.5</f>
        <v>4671.1949999999997</v>
      </c>
      <c r="F48" s="23"/>
      <c r="G48" s="288" t="s">
        <v>188</v>
      </c>
      <c r="H48" s="289">
        <f>K47*0.5</f>
        <v>4671.1949999999997</v>
      </c>
      <c r="I48" s="12"/>
      <c r="J48" s="12"/>
      <c r="K48" s="86"/>
      <c r="L48" s="12"/>
      <c r="M48" s="12"/>
      <c r="N48" s="12"/>
      <c r="O48" s="12"/>
      <c r="P48" s="12"/>
      <c r="Q48" s="12"/>
      <c r="R48" s="301" t="s">
        <v>150</v>
      </c>
      <c r="S48" s="302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393.51495193574158</v>
      </c>
      <c r="C49" s="12"/>
      <c r="D49" s="293" t="s">
        <v>197</v>
      </c>
      <c r="E49" s="294">
        <f>AF40</f>
        <v>0</v>
      </c>
      <c r="F49" s="23"/>
      <c r="G49" s="293" t="s">
        <v>198</v>
      </c>
      <c r="H49" s="294">
        <f>AE40</f>
        <v>388.50555896736313</v>
      </c>
      <c r="I49" s="12"/>
      <c r="J49" s="12"/>
      <c r="K49" s="86"/>
      <c r="L49" s="12"/>
      <c r="M49" s="12"/>
      <c r="N49" s="12"/>
      <c r="O49" s="12"/>
      <c r="P49" s="12"/>
      <c r="Q49" s="12"/>
      <c r="R49" s="301" t="s">
        <v>152</v>
      </c>
      <c r="S49" s="302"/>
      <c r="T49" s="256">
        <f>$E$39+$K$39</f>
        <v>802.44167892634891</v>
      </c>
      <c r="U49" s="258">
        <f>(T49*8.34*1.04)/45000</f>
        <v>0.15466795880745732</v>
      </c>
    </row>
    <row r="50" spans="1:25" ht="48" thickTop="1" thickBot="1" x14ac:dyDescent="0.3">
      <c r="A50" s="293" t="s">
        <v>192</v>
      </c>
      <c r="B50" s="295">
        <f>(SUM(B44:B48)/AD40)</f>
        <v>502.14449133216732</v>
      </c>
      <c r="C50" s="12"/>
      <c r="D50" s="293" t="s">
        <v>190</v>
      </c>
      <c r="E50" s="295" t="e">
        <f>SUM(E44:E48)/AF40</f>
        <v>#DIV/0!</v>
      </c>
      <c r="F50" s="23"/>
      <c r="G50" s="293" t="s">
        <v>191</v>
      </c>
      <c r="H50" s="295">
        <f>SUM(H44:H48)/AE40</f>
        <v>351.47858814846751</v>
      </c>
      <c r="I50" s="12"/>
      <c r="J50" s="12"/>
      <c r="K50" s="86"/>
      <c r="L50" s="12"/>
      <c r="M50" s="12"/>
      <c r="N50" s="12"/>
      <c r="O50" s="12"/>
      <c r="P50" s="12"/>
      <c r="Q50" s="12"/>
      <c r="R50" s="301" t="s">
        <v>153</v>
      </c>
      <c r="S50" s="302"/>
      <c r="T50" s="256">
        <f>$U$39+$V$39+$AB$39</f>
        <v>10593.984792230392</v>
      </c>
      <c r="U50" s="258">
        <f>T50/2000/8</f>
        <v>0.66212404951439952</v>
      </c>
    </row>
    <row r="51" spans="1:25" ht="47.25" customHeight="1" thickTop="1" thickBot="1" x14ac:dyDescent="0.3">
      <c r="A51" s="283" t="s">
        <v>193</v>
      </c>
      <c r="B51" s="296">
        <f>B50/1000</f>
        <v>0.50214449133216732</v>
      </c>
      <c r="C51" s="12"/>
      <c r="D51" s="283" t="s">
        <v>194</v>
      </c>
      <c r="E51" s="296" t="e">
        <f>E50/1000</f>
        <v>#DIV/0!</v>
      </c>
      <c r="F51" s="12"/>
      <c r="G51" s="283" t="s">
        <v>195</v>
      </c>
      <c r="H51" s="296">
        <f>H50/1000</f>
        <v>0.3514785881484675</v>
      </c>
      <c r="I51" s="12"/>
      <c r="J51" s="12"/>
      <c r="K51" s="86"/>
      <c r="L51" s="12"/>
      <c r="M51" s="12"/>
      <c r="N51" s="12"/>
      <c r="O51" s="12"/>
      <c r="P51" s="12"/>
      <c r="Q51" s="12"/>
      <c r="R51" s="301" t="s">
        <v>154</v>
      </c>
      <c r="S51" s="302"/>
      <c r="T51" s="256">
        <f>$C$39+$J$39+$S$39+$T$39</f>
        <v>24160.948725414277</v>
      </c>
      <c r="U51" s="258">
        <f>(T51*8.34*1.4)/45000</f>
        <v>6.268960829287491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1" t="s">
        <v>155</v>
      </c>
      <c r="S52" s="302"/>
      <c r="T52" s="256">
        <f>$H$39</f>
        <v>0</v>
      </c>
      <c r="U52" s="258">
        <f>(T52*8.34*1.135)/45000</f>
        <v>0</v>
      </c>
    </row>
    <row r="53" spans="1:25" ht="48" customHeight="1" thickTop="1" thickBot="1" x14ac:dyDescent="0.3">
      <c r="A53" s="561" t="s">
        <v>51</v>
      </c>
      <c r="B53" s="562"/>
      <c r="C53" s="562"/>
      <c r="D53" s="562"/>
      <c r="E53" s="56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1" t="s">
        <v>156</v>
      </c>
      <c r="S53" s="302"/>
      <c r="T53" s="256">
        <f>$B$39+$I$39+$AC$39</f>
        <v>7498.5231674075021</v>
      </c>
      <c r="U53" s="258">
        <f>(T53*8.34*1.029*0.03)/3300</f>
        <v>0.58501160026770671</v>
      </c>
    </row>
    <row r="54" spans="1:25" ht="57" customHeight="1" thickBot="1" x14ac:dyDescent="0.3">
      <c r="A54" s="545" t="s">
        <v>202</v>
      </c>
      <c r="B54" s="546"/>
      <c r="C54" s="546"/>
      <c r="D54" s="546"/>
      <c r="E54" s="54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5" t="s">
        <v>158</v>
      </c>
      <c r="S54" s="556"/>
      <c r="T54" s="260">
        <f>$D$39+$Y$39+$Z$39</f>
        <v>7488.340029134748</v>
      </c>
      <c r="U54" s="261">
        <f>(T54*1.54*8.34)/45000</f>
        <v>2.1372720888487788</v>
      </c>
    </row>
    <row r="55" spans="1:25" ht="15.75" thickTop="1" x14ac:dyDescent="0.25">
      <c r="A55" s="306"/>
      <c r="B55" s="306"/>
      <c r="C55" s="306"/>
      <c r="D55" s="306"/>
      <c r="E55" s="306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557"/>
      <c r="S55" s="557"/>
      <c r="T55" s="313"/>
      <c r="U55" s="314"/>
    </row>
    <row r="56" spans="1:25" x14ac:dyDescent="0.25">
      <c r="A56" s="317"/>
      <c r="B56" s="31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324"/>
      <c r="B57" s="31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318"/>
      <c r="B58" s="31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324"/>
      <c r="B59" s="31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18"/>
      <c r="B60" s="318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</sheetData>
  <sheetProtection algorithmName="SHA-512" hashValue="/S9SQCl5u3Z31z1J5CAnOxpclsiIG/E2Bw8h/mBOltGdhA1wdpeFoQVXyeyWH2i1FxK/f7REVDHI/WQJ2+lo6g==" saltValue="CDFu58ZAqtENMiAXItoXNw==" spinCount="100000" sheet="1" objects="1" scenarios="1" selectLockedCells="1" selectUnlockedCells="1"/>
  <mergeCells count="31">
    <mergeCell ref="R54:S54"/>
    <mergeCell ref="R55:S55"/>
    <mergeCell ref="R43:U43"/>
    <mergeCell ref="A53:E53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4:E54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opLeftCell="AH1" zoomScale="60" zoomScaleNormal="60" workbookViewId="0">
      <selection activeCell="AH39" sqref="AH39:AQ39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8.710937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</row>
    <row r="5" spans="1:47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  <c r="AT5" t="s">
        <v>171</v>
      </c>
      <c r="AU5" s="340" t="s">
        <v>209</v>
      </c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8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41671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257.7859158833819</v>
      </c>
      <c r="J8" s="50">
        <v>682.83746274312398</v>
      </c>
      <c r="K8" s="50">
        <v>28.104217487573514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332.73851032257204</v>
      </c>
      <c r="V8" s="54">
        <v>0</v>
      </c>
      <c r="W8" s="54">
        <v>31.325529984633114</v>
      </c>
      <c r="X8" s="54">
        <v>0</v>
      </c>
      <c r="Y8" s="54">
        <v>211.87063217957808</v>
      </c>
      <c r="Z8" s="54">
        <v>0</v>
      </c>
      <c r="AA8" s="55">
        <v>0</v>
      </c>
      <c r="AB8" s="56">
        <v>0</v>
      </c>
      <c r="AC8" s="57">
        <v>0</v>
      </c>
      <c r="AD8" s="57">
        <v>12.755684519476365</v>
      </c>
      <c r="AE8" s="58">
        <v>12.500314084845423</v>
      </c>
      <c r="AF8" s="58">
        <v>0</v>
      </c>
      <c r="AG8" s="58">
        <v>1</v>
      </c>
      <c r="AH8" s="57">
        <v>278.62418309052788</v>
      </c>
      <c r="AI8" s="57">
        <v>549.05383046468091</v>
      </c>
      <c r="AJ8" s="57">
        <v>1093.660366821289</v>
      </c>
      <c r="AK8" s="57">
        <v>698.45996739069631</v>
      </c>
      <c r="AL8" s="57">
        <v>1955.4376035054524</v>
      </c>
      <c r="AM8" s="57">
        <v>2400.2730093638102</v>
      </c>
      <c r="AN8" s="57">
        <v>732.76649128596</v>
      </c>
      <c r="AO8" s="57">
        <v>2066.7325299580889</v>
      </c>
      <c r="AP8" s="57">
        <v>397.67657798131302</v>
      </c>
      <c r="AQ8" s="57">
        <v>730.50700403849282</v>
      </c>
    </row>
    <row r="9" spans="1:47" x14ac:dyDescent="0.25">
      <c r="A9" s="11">
        <v>41672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257.79267873764019</v>
      </c>
      <c r="J9" s="60">
        <v>682.46882473627954</v>
      </c>
      <c r="K9" s="60">
        <v>27.974267613887733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316.74092029995569</v>
      </c>
      <c r="V9" s="62">
        <v>0</v>
      </c>
      <c r="W9" s="62">
        <v>31.079867553710915</v>
      </c>
      <c r="X9" s="62">
        <v>0</v>
      </c>
      <c r="Y9" s="66">
        <v>208.08113645712575</v>
      </c>
      <c r="Z9" s="66">
        <v>0</v>
      </c>
      <c r="AA9" s="67">
        <v>0</v>
      </c>
      <c r="AB9" s="68">
        <v>0</v>
      </c>
      <c r="AC9" s="69">
        <v>0</v>
      </c>
      <c r="AD9" s="69">
        <v>12.755027332570824</v>
      </c>
      <c r="AE9" s="68">
        <v>12.500037633980668</v>
      </c>
      <c r="AF9" s="68">
        <v>0</v>
      </c>
      <c r="AG9" s="68">
        <v>1</v>
      </c>
      <c r="AH9" s="69">
        <v>287.33529192606608</v>
      </c>
      <c r="AI9" s="69">
        <v>562.779075241089</v>
      </c>
      <c r="AJ9" s="69">
        <v>1131.0725744247434</v>
      </c>
      <c r="AK9" s="69">
        <v>696.36754913330083</v>
      </c>
      <c r="AL9" s="69">
        <v>1968.8907172520958</v>
      </c>
      <c r="AM9" s="69">
        <v>2406.2814016977945</v>
      </c>
      <c r="AN9" s="69">
        <v>739.97395057678227</v>
      </c>
      <c r="AO9" s="69">
        <v>2067.9683359781902</v>
      </c>
      <c r="AP9" s="69">
        <v>407.94102737108869</v>
      </c>
      <c r="AQ9" s="69">
        <v>668.93475364049277</v>
      </c>
    </row>
    <row r="10" spans="1:47" x14ac:dyDescent="0.25">
      <c r="A10" s="11">
        <v>41673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257.80577678680402</v>
      </c>
      <c r="J10" s="60">
        <v>682.4755858739245</v>
      </c>
      <c r="K10" s="60">
        <v>27.990444562832455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325.31041075388566</v>
      </c>
      <c r="V10" s="62">
        <v>0</v>
      </c>
      <c r="W10" s="62">
        <v>31.23861809571585</v>
      </c>
      <c r="X10" s="62">
        <v>0</v>
      </c>
      <c r="Y10" s="66">
        <v>208.23961951732639</v>
      </c>
      <c r="Z10" s="66">
        <v>0</v>
      </c>
      <c r="AA10" s="67">
        <v>0</v>
      </c>
      <c r="AB10" s="68">
        <v>0</v>
      </c>
      <c r="AC10" s="69">
        <v>0</v>
      </c>
      <c r="AD10" s="69">
        <v>12.750850919220198</v>
      </c>
      <c r="AE10" s="68">
        <v>12.499415397591815</v>
      </c>
      <c r="AF10" s="68">
        <v>0</v>
      </c>
      <c r="AG10" s="68">
        <v>1</v>
      </c>
      <c r="AH10" s="69">
        <v>284.33563826878867</v>
      </c>
      <c r="AI10" s="69">
        <v>545.5688522656759</v>
      </c>
      <c r="AJ10" s="69">
        <v>1102.2227125167847</v>
      </c>
      <c r="AK10" s="69">
        <v>691.92885675430318</v>
      </c>
      <c r="AL10" s="69">
        <v>1974.7547499974564</v>
      </c>
      <c r="AM10" s="69">
        <v>2474.5150515238442</v>
      </c>
      <c r="AN10" s="69">
        <v>717.62468550999949</v>
      </c>
      <c r="AO10" s="69">
        <v>1969.2674601236979</v>
      </c>
      <c r="AP10" s="69">
        <v>400.86723364194245</v>
      </c>
      <c r="AQ10" s="69">
        <v>737.83622105916345</v>
      </c>
    </row>
    <row r="11" spans="1:47" x14ac:dyDescent="0.25">
      <c r="A11" s="11">
        <v>41674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271.36713306109124</v>
      </c>
      <c r="J11" s="60">
        <v>696.78492288589587</v>
      </c>
      <c r="K11" s="60">
        <v>28.633242652813536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323.08</v>
      </c>
      <c r="V11" s="62">
        <v>0</v>
      </c>
      <c r="W11" s="62">
        <v>30.71</v>
      </c>
      <c r="X11" s="62">
        <v>0</v>
      </c>
      <c r="Y11" s="66">
        <v>199.03</v>
      </c>
      <c r="Z11" s="66">
        <v>0</v>
      </c>
      <c r="AA11" s="67">
        <v>0</v>
      </c>
      <c r="AB11" s="68">
        <v>0</v>
      </c>
      <c r="AC11" s="69">
        <v>0</v>
      </c>
      <c r="AD11" s="69">
        <v>12.587244884173057</v>
      </c>
      <c r="AE11" s="68">
        <v>12.38</v>
      </c>
      <c r="AF11" s="68">
        <v>0</v>
      </c>
      <c r="AG11" s="68">
        <v>1</v>
      </c>
      <c r="AH11" s="69">
        <v>293.01196668942771</v>
      </c>
      <c r="AI11" s="69">
        <v>569.64874051411937</v>
      </c>
      <c r="AJ11" s="69">
        <v>1089.580701637268</v>
      </c>
      <c r="AK11" s="69">
        <v>728.33214454650897</v>
      </c>
      <c r="AL11" s="69">
        <v>2017.6747248331708</v>
      </c>
      <c r="AM11" s="69">
        <v>2531.0963811238612</v>
      </c>
      <c r="AN11" s="69">
        <v>751.4844518025717</v>
      </c>
      <c r="AO11" s="69">
        <v>1883.3731477101644</v>
      </c>
      <c r="AP11" s="69">
        <v>418.0652894337972</v>
      </c>
      <c r="AQ11" s="69">
        <v>743.1231752395629</v>
      </c>
    </row>
    <row r="12" spans="1:47" x14ac:dyDescent="0.25">
      <c r="A12" s="11">
        <v>41675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282.08206969896935</v>
      </c>
      <c r="J12" s="60">
        <v>693.54858496984025</v>
      </c>
      <c r="K12" s="60">
        <v>28.546900786956098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317.72000000000003</v>
      </c>
      <c r="V12" s="62">
        <v>0</v>
      </c>
      <c r="W12" s="62">
        <v>30.96</v>
      </c>
      <c r="X12" s="62">
        <v>0</v>
      </c>
      <c r="Y12" s="66">
        <v>194.86</v>
      </c>
      <c r="Z12" s="66">
        <v>0</v>
      </c>
      <c r="AA12" s="67">
        <v>0</v>
      </c>
      <c r="AB12" s="68">
        <v>0</v>
      </c>
      <c r="AC12" s="69">
        <v>0</v>
      </c>
      <c r="AD12" s="69">
        <v>12.360102399190282</v>
      </c>
      <c r="AE12" s="68">
        <v>12.23</v>
      </c>
      <c r="AF12" s="68">
        <v>0</v>
      </c>
      <c r="AG12" s="68">
        <v>1</v>
      </c>
      <c r="AH12" s="69">
        <v>354.21410649617513</v>
      </c>
      <c r="AI12" s="69">
        <v>698.45695597330734</v>
      </c>
      <c r="AJ12" s="69">
        <v>1139.153171857198</v>
      </c>
      <c r="AK12" s="69">
        <v>789.17621787389112</v>
      </c>
      <c r="AL12" s="69">
        <v>2004.0130109151203</v>
      </c>
      <c r="AM12" s="69">
        <v>2644.6630132039381</v>
      </c>
      <c r="AN12" s="69">
        <v>918.75139478047686</v>
      </c>
      <c r="AO12" s="69">
        <v>1839.1705145517985</v>
      </c>
      <c r="AP12" s="69">
        <v>458.48231253623959</v>
      </c>
      <c r="AQ12" s="69">
        <v>771.05682827631654</v>
      </c>
    </row>
    <row r="13" spans="1:47" x14ac:dyDescent="0.25">
      <c r="A13" s="11">
        <v>41676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281.36529277165727</v>
      </c>
      <c r="J13" s="60">
        <v>679.30636844635148</v>
      </c>
      <c r="K13" s="60">
        <v>27.538251189390802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321.43</v>
      </c>
      <c r="V13" s="62">
        <v>0</v>
      </c>
      <c r="W13" s="62">
        <v>30.48</v>
      </c>
      <c r="X13" s="62">
        <v>0</v>
      </c>
      <c r="Y13" s="66">
        <v>203.82</v>
      </c>
      <c r="Z13" s="66">
        <v>0</v>
      </c>
      <c r="AA13" s="67">
        <v>0</v>
      </c>
      <c r="AB13" s="68">
        <v>0</v>
      </c>
      <c r="AC13" s="69">
        <v>0</v>
      </c>
      <c r="AD13" s="69">
        <v>12.467724574936762</v>
      </c>
      <c r="AE13" s="68">
        <v>12.35</v>
      </c>
      <c r="AF13" s="68">
        <v>0</v>
      </c>
      <c r="AG13" s="68">
        <v>1</v>
      </c>
      <c r="AH13" s="69">
        <v>360.15239186286937</v>
      </c>
      <c r="AI13" s="69">
        <v>722.37346487045295</v>
      </c>
      <c r="AJ13" s="69">
        <v>1147.7023571650188</v>
      </c>
      <c r="AK13" s="69">
        <v>754.82443647384662</v>
      </c>
      <c r="AL13" s="69">
        <v>2036.678173573812</v>
      </c>
      <c r="AM13" s="69">
        <v>2594.2655356089276</v>
      </c>
      <c r="AN13" s="69">
        <v>857.63497009277341</v>
      </c>
      <c r="AO13" s="69">
        <v>1832.4254201253254</v>
      </c>
      <c r="AP13" s="69">
        <v>463.07081942558295</v>
      </c>
      <c r="AQ13" s="69">
        <v>775.7059254010519</v>
      </c>
    </row>
    <row r="14" spans="1:47" x14ac:dyDescent="0.25">
      <c r="A14" s="11">
        <v>41677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280.8600640614826</v>
      </c>
      <c r="J14" s="60">
        <v>678.14677337010778</v>
      </c>
      <c r="K14" s="60">
        <v>27.532982663313518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324.27999999999997</v>
      </c>
      <c r="V14" s="62">
        <v>0</v>
      </c>
      <c r="W14" s="62">
        <v>30.92</v>
      </c>
      <c r="X14" s="62">
        <v>0</v>
      </c>
      <c r="Y14" s="66">
        <v>204.08</v>
      </c>
      <c r="Z14" s="66">
        <v>0</v>
      </c>
      <c r="AA14" s="67">
        <v>0</v>
      </c>
      <c r="AB14" s="68">
        <v>0</v>
      </c>
      <c r="AC14" s="69">
        <v>0</v>
      </c>
      <c r="AD14" s="69">
        <v>12.48381809393565</v>
      </c>
      <c r="AE14" s="68">
        <v>12.27</v>
      </c>
      <c r="AF14" s="68">
        <v>0</v>
      </c>
      <c r="AG14" s="68">
        <v>1</v>
      </c>
      <c r="AH14" s="69">
        <v>312.7745217959087</v>
      </c>
      <c r="AI14" s="69">
        <v>616.22855351765929</v>
      </c>
      <c r="AJ14" s="69">
        <v>1123.3512756983439</v>
      </c>
      <c r="AK14" s="69">
        <v>720.82911732991522</v>
      </c>
      <c r="AL14" s="69">
        <v>1994.7783930460614</v>
      </c>
      <c r="AM14" s="69">
        <v>2494.5583538055421</v>
      </c>
      <c r="AN14" s="69">
        <v>762.6128764470418</v>
      </c>
      <c r="AO14" s="69">
        <v>1882.6632223765055</v>
      </c>
      <c r="AP14" s="69">
        <v>416.46038317680353</v>
      </c>
      <c r="AQ14" s="69">
        <v>774.55074548721291</v>
      </c>
    </row>
    <row r="15" spans="1:47" x14ac:dyDescent="0.25">
      <c r="A15" s="11">
        <v>41678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289.82391842206323</v>
      </c>
      <c r="J15" s="60">
        <v>675.91772956848342</v>
      </c>
      <c r="K15" s="60">
        <v>27.602842601140253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331.5</v>
      </c>
      <c r="V15" s="62">
        <v>0</v>
      </c>
      <c r="W15" s="62">
        <v>30.91</v>
      </c>
      <c r="X15" s="62">
        <v>0</v>
      </c>
      <c r="Y15" s="66">
        <v>203.84</v>
      </c>
      <c r="Z15" s="66">
        <v>0</v>
      </c>
      <c r="AA15" s="67">
        <v>0</v>
      </c>
      <c r="AB15" s="68">
        <v>0</v>
      </c>
      <c r="AC15" s="69">
        <v>0</v>
      </c>
      <c r="AD15" s="69">
        <v>12.528030317028371</v>
      </c>
      <c r="AE15" s="68">
        <v>12.5</v>
      </c>
      <c r="AF15" s="68">
        <v>0</v>
      </c>
      <c r="AG15" s="68">
        <v>1</v>
      </c>
      <c r="AH15" s="69">
        <v>261.50411351521808</v>
      </c>
      <c r="AI15" s="69">
        <v>521.2812385559082</v>
      </c>
      <c r="AJ15" s="69">
        <v>1075.1778381983438</v>
      </c>
      <c r="AK15" s="69">
        <v>671.39623483022046</v>
      </c>
      <c r="AL15" s="69">
        <v>1715.2255769729611</v>
      </c>
      <c r="AM15" s="69">
        <v>2231.8862677256266</v>
      </c>
      <c r="AN15" s="69">
        <v>679.21130650838222</v>
      </c>
      <c r="AO15" s="69">
        <v>1930.2368925730386</v>
      </c>
      <c r="AP15" s="69">
        <v>194.34514038165412</v>
      </c>
      <c r="AQ15" s="69">
        <v>707.073109404246</v>
      </c>
    </row>
    <row r="16" spans="1:47" x14ac:dyDescent="0.25">
      <c r="A16" s="11">
        <v>41679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296.36439830462132</v>
      </c>
      <c r="J16" s="60">
        <v>675.90090484619213</v>
      </c>
      <c r="K16" s="60">
        <v>27.481054514646516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331.14</v>
      </c>
      <c r="V16" s="62">
        <v>0</v>
      </c>
      <c r="W16" s="62">
        <v>31.4</v>
      </c>
      <c r="X16" s="62">
        <v>0</v>
      </c>
      <c r="Y16" s="66">
        <v>198.26</v>
      </c>
      <c r="Z16" s="66">
        <v>0</v>
      </c>
      <c r="AA16" s="67">
        <v>0</v>
      </c>
      <c r="AB16" s="68">
        <v>0</v>
      </c>
      <c r="AC16" s="69">
        <v>0</v>
      </c>
      <c r="AD16" s="69">
        <v>12.619302467505131</v>
      </c>
      <c r="AE16" s="68">
        <v>12.5</v>
      </c>
      <c r="AF16" s="68">
        <v>0</v>
      </c>
      <c r="AG16" s="68">
        <v>1</v>
      </c>
      <c r="AH16" s="69">
        <v>274.27286685307826</v>
      </c>
      <c r="AI16" s="69">
        <v>536.96255356470738</v>
      </c>
      <c r="AJ16" s="69">
        <v>1035.8152936935423</v>
      </c>
      <c r="AK16" s="69">
        <v>668.52253049214687</v>
      </c>
      <c r="AL16" s="69">
        <v>1764.679205195109</v>
      </c>
      <c r="AM16" s="69">
        <v>2188.504758580526</v>
      </c>
      <c r="AN16" s="69">
        <v>687.80683409372966</v>
      </c>
      <c r="AO16" s="69">
        <v>1913.1947284698485</v>
      </c>
      <c r="AP16" s="69">
        <v>386.27264223098757</v>
      </c>
      <c r="AQ16" s="69">
        <v>728.74123999277742</v>
      </c>
    </row>
    <row r="17" spans="1:43" x14ac:dyDescent="0.25">
      <c r="A17" s="11">
        <v>41680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301.54169572194417</v>
      </c>
      <c r="J17" s="50">
        <v>687.83831593195703</v>
      </c>
      <c r="K17" s="50">
        <v>27.992925467093698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323.18</v>
      </c>
      <c r="V17" s="66">
        <v>0</v>
      </c>
      <c r="W17" s="62">
        <v>31.4</v>
      </c>
      <c r="X17" s="62">
        <v>0</v>
      </c>
      <c r="Y17" s="66">
        <v>195.86</v>
      </c>
      <c r="Z17" s="66">
        <v>0</v>
      </c>
      <c r="AA17" s="67">
        <v>0</v>
      </c>
      <c r="AB17" s="68">
        <v>0</v>
      </c>
      <c r="AC17" s="69">
        <v>0</v>
      </c>
      <c r="AD17" s="69">
        <v>12.473301263650256</v>
      </c>
      <c r="AE17" s="68">
        <v>12.35</v>
      </c>
      <c r="AF17" s="68">
        <v>0</v>
      </c>
      <c r="AG17" s="68">
        <v>1</v>
      </c>
      <c r="AH17" s="69">
        <v>310.49600051244101</v>
      </c>
      <c r="AI17" s="69">
        <v>578.22731777826948</v>
      </c>
      <c r="AJ17" s="69">
        <v>1102.9463366826376</v>
      </c>
      <c r="AK17" s="69">
        <v>681.20142405827846</v>
      </c>
      <c r="AL17" s="69">
        <v>1767.6720446904501</v>
      </c>
      <c r="AM17" s="69">
        <v>2249.7201524098714</v>
      </c>
      <c r="AN17" s="69">
        <v>705.68000748952227</v>
      </c>
      <c r="AO17" s="69">
        <v>1974.1453365325929</v>
      </c>
      <c r="AP17" s="69">
        <v>397.78186105092374</v>
      </c>
      <c r="AQ17" s="69">
        <v>809.39745610555019</v>
      </c>
    </row>
    <row r="18" spans="1:43" x14ac:dyDescent="0.25">
      <c r="A18" s="11">
        <v>41681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304.81407636006657</v>
      </c>
      <c r="J18" s="60">
        <v>694.82598012288463</v>
      </c>
      <c r="K18" s="60">
        <v>28.495537934700529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327.98</v>
      </c>
      <c r="V18" s="62">
        <v>0</v>
      </c>
      <c r="W18" s="62">
        <v>30.5</v>
      </c>
      <c r="X18" s="62">
        <v>0</v>
      </c>
      <c r="Y18" s="66">
        <v>199.11</v>
      </c>
      <c r="Z18" s="66">
        <v>0</v>
      </c>
      <c r="AA18" s="67">
        <v>0</v>
      </c>
      <c r="AB18" s="68">
        <v>0</v>
      </c>
      <c r="AC18" s="69">
        <v>0</v>
      </c>
      <c r="AD18" s="69">
        <v>12.512488788366332</v>
      </c>
      <c r="AE18" s="68">
        <v>12.39</v>
      </c>
      <c r="AF18" s="68">
        <v>0</v>
      </c>
      <c r="AG18" s="68">
        <v>1</v>
      </c>
      <c r="AH18" s="69">
        <v>309.84184069633477</v>
      </c>
      <c r="AI18" s="69">
        <v>571.58335254987082</v>
      </c>
      <c r="AJ18" s="69">
        <v>1124.1065211613973</v>
      </c>
      <c r="AK18" s="69">
        <v>686.72313508987429</v>
      </c>
      <c r="AL18" s="69">
        <v>1843.927841567993</v>
      </c>
      <c r="AM18" s="69">
        <v>2281.765396372477</v>
      </c>
      <c r="AN18" s="69">
        <v>673.41076812744143</v>
      </c>
      <c r="AO18" s="69">
        <v>1992.9215836842855</v>
      </c>
      <c r="AP18" s="69">
        <v>371.0113849480947</v>
      </c>
      <c r="AQ18" s="69">
        <v>814.70591233571383</v>
      </c>
    </row>
    <row r="19" spans="1:43" x14ac:dyDescent="0.25">
      <c r="A19" s="11">
        <v>41682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296.36803353627539</v>
      </c>
      <c r="J19" s="60">
        <v>675.62639722824281</v>
      </c>
      <c r="K19" s="60">
        <v>27.376859255631729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338.18</v>
      </c>
      <c r="V19" s="62">
        <v>0</v>
      </c>
      <c r="W19" s="62">
        <v>31.17</v>
      </c>
      <c r="X19" s="62">
        <v>0</v>
      </c>
      <c r="Y19" s="66">
        <v>202.31</v>
      </c>
      <c r="Z19" s="66">
        <v>0</v>
      </c>
      <c r="AA19" s="67">
        <v>0</v>
      </c>
      <c r="AB19" s="68">
        <v>0</v>
      </c>
      <c r="AC19" s="69">
        <v>0</v>
      </c>
      <c r="AD19" s="69">
        <v>12.47406558328205</v>
      </c>
      <c r="AE19" s="68">
        <v>12.36</v>
      </c>
      <c r="AF19" s="68">
        <v>0</v>
      </c>
      <c r="AG19" s="68">
        <v>1</v>
      </c>
      <c r="AH19" s="69">
        <v>304.69744520982107</v>
      </c>
      <c r="AI19" s="69">
        <v>557.81193696657806</v>
      </c>
      <c r="AJ19" s="69">
        <v>1146.4036545435586</v>
      </c>
      <c r="AK19" s="69">
        <v>683.36430470148719</v>
      </c>
      <c r="AL19" s="69">
        <v>1880.2828970591227</v>
      </c>
      <c r="AM19" s="69">
        <v>2356.8932088216152</v>
      </c>
      <c r="AN19" s="69">
        <v>668.89039414723709</v>
      </c>
      <c r="AO19" s="69">
        <v>2001.4677299499513</v>
      </c>
      <c r="AP19" s="69">
        <v>384.27921338081364</v>
      </c>
      <c r="AQ19" s="69">
        <v>815.77020200093591</v>
      </c>
    </row>
    <row r="20" spans="1:43" x14ac:dyDescent="0.25">
      <c r="A20" s="11">
        <v>41683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307.89395540555358</v>
      </c>
      <c r="J20" s="60">
        <v>694.78608293533239</v>
      </c>
      <c r="K20" s="60">
        <v>28.414165107409048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339.35</v>
      </c>
      <c r="V20" s="62">
        <v>0</v>
      </c>
      <c r="W20" s="62">
        <v>30.27</v>
      </c>
      <c r="X20" s="62">
        <v>0</v>
      </c>
      <c r="Y20" s="66">
        <v>205.42</v>
      </c>
      <c r="Z20" s="66">
        <v>0</v>
      </c>
      <c r="AA20" s="67">
        <v>0</v>
      </c>
      <c r="AB20" s="68">
        <v>0</v>
      </c>
      <c r="AC20" s="69">
        <v>0</v>
      </c>
      <c r="AD20" s="69">
        <v>12.725597927967717</v>
      </c>
      <c r="AE20" s="68">
        <v>12.58</v>
      </c>
      <c r="AF20" s="68">
        <v>0</v>
      </c>
      <c r="AG20" s="68">
        <v>1</v>
      </c>
      <c r="AH20" s="69">
        <v>290.45762856006621</v>
      </c>
      <c r="AI20" s="69">
        <v>526.39286432266238</v>
      </c>
      <c r="AJ20" s="69">
        <v>1062.4822856267292</v>
      </c>
      <c r="AK20" s="69">
        <v>656.43342342376718</v>
      </c>
      <c r="AL20" s="69">
        <v>1732.2177030563355</v>
      </c>
      <c r="AM20" s="69">
        <v>2241.3877641042072</v>
      </c>
      <c r="AN20" s="69">
        <v>614.82644748687733</v>
      </c>
      <c r="AO20" s="69">
        <v>2084.0844342549644</v>
      </c>
      <c r="AP20" s="69">
        <v>362.7652825196584</v>
      </c>
      <c r="AQ20" s="69">
        <v>798.40704733530686</v>
      </c>
    </row>
    <row r="21" spans="1:43" x14ac:dyDescent="0.25">
      <c r="A21" s="11">
        <v>41684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316.20995006958663</v>
      </c>
      <c r="J21" s="60">
        <v>702.98821821212573</v>
      </c>
      <c r="K21" s="60">
        <v>28.931233290831138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359.76</v>
      </c>
      <c r="V21" s="62">
        <v>0</v>
      </c>
      <c r="W21" s="62">
        <v>31.22</v>
      </c>
      <c r="X21" s="62">
        <v>0</v>
      </c>
      <c r="Y21" s="66">
        <v>212.88</v>
      </c>
      <c r="Z21" s="66">
        <v>0</v>
      </c>
      <c r="AA21" s="67">
        <v>0</v>
      </c>
      <c r="AB21" s="68">
        <v>0</v>
      </c>
      <c r="AC21" s="69">
        <v>0</v>
      </c>
      <c r="AD21" s="69">
        <v>13.124081255329981</v>
      </c>
      <c r="AE21" s="68">
        <v>13</v>
      </c>
      <c r="AF21" s="68">
        <v>0</v>
      </c>
      <c r="AG21" s="68">
        <v>1</v>
      </c>
      <c r="AH21" s="69">
        <v>292.62476169268297</v>
      </c>
      <c r="AI21" s="69">
        <v>526.4340675195059</v>
      </c>
      <c r="AJ21" s="69">
        <v>1048.584048652649</v>
      </c>
      <c r="AK21" s="69">
        <v>664.16865717569976</v>
      </c>
      <c r="AL21" s="69">
        <v>1752.3286181767783</v>
      </c>
      <c r="AM21" s="69">
        <v>2214.9199586232498</v>
      </c>
      <c r="AN21" s="69">
        <v>618.38830785751361</v>
      </c>
      <c r="AO21" s="69">
        <v>2141.9593505859375</v>
      </c>
      <c r="AP21" s="69">
        <v>369.60874077479042</v>
      </c>
      <c r="AQ21" s="69">
        <v>798.17131697336833</v>
      </c>
    </row>
    <row r="22" spans="1:43" x14ac:dyDescent="0.25">
      <c r="A22" s="11">
        <v>41685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316.74112124443093</v>
      </c>
      <c r="J22" s="60">
        <v>702.91429309844784</v>
      </c>
      <c r="K22" s="60">
        <v>28.957918858528032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360.94</v>
      </c>
      <c r="V22" s="62">
        <v>0</v>
      </c>
      <c r="W22" s="62">
        <v>32</v>
      </c>
      <c r="X22" s="62">
        <v>0</v>
      </c>
      <c r="Y22" s="66">
        <v>212.3</v>
      </c>
      <c r="Z22" s="66">
        <v>0</v>
      </c>
      <c r="AA22" s="67">
        <v>0</v>
      </c>
      <c r="AB22" s="68">
        <v>0</v>
      </c>
      <c r="AC22" s="69">
        <v>0</v>
      </c>
      <c r="AD22" s="69">
        <v>13.122608196735399</v>
      </c>
      <c r="AE22" s="68">
        <v>13</v>
      </c>
      <c r="AF22" s="68">
        <v>0</v>
      </c>
      <c r="AG22" s="68">
        <v>1</v>
      </c>
      <c r="AH22" s="69">
        <v>290.22303836345674</v>
      </c>
      <c r="AI22" s="69">
        <v>525.00680200258898</v>
      </c>
      <c r="AJ22" s="69">
        <v>1055.632125790914</v>
      </c>
      <c r="AK22" s="69">
        <v>662.36451536814366</v>
      </c>
      <c r="AL22" s="69">
        <v>1811.0990550359093</v>
      </c>
      <c r="AM22" s="69">
        <v>2205.1710425059</v>
      </c>
      <c r="AN22" s="69">
        <v>617.77313674290963</v>
      </c>
      <c r="AO22" s="69">
        <v>2139.2553627014163</v>
      </c>
      <c r="AP22" s="69">
        <v>376.22600226402284</v>
      </c>
      <c r="AQ22" s="69">
        <v>816.11719945271807</v>
      </c>
    </row>
    <row r="23" spans="1:43" x14ac:dyDescent="0.25">
      <c r="A23" s="11">
        <v>41686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316.93250368436225</v>
      </c>
      <c r="J23" s="60">
        <v>703.0140721638985</v>
      </c>
      <c r="K23" s="60">
        <v>28.933596571286454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360.81</v>
      </c>
      <c r="V23" s="62">
        <v>0</v>
      </c>
      <c r="W23" s="62">
        <v>32.200000000000003</v>
      </c>
      <c r="X23" s="62">
        <v>0</v>
      </c>
      <c r="Y23" s="66">
        <v>212.35</v>
      </c>
      <c r="Z23" s="66">
        <v>0</v>
      </c>
      <c r="AA23" s="67">
        <v>0</v>
      </c>
      <c r="AB23" s="68">
        <v>0</v>
      </c>
      <c r="AC23" s="69">
        <v>0</v>
      </c>
      <c r="AD23" s="69">
        <v>13.128150559796211</v>
      </c>
      <c r="AE23" s="68">
        <v>13</v>
      </c>
      <c r="AF23" s="68">
        <v>0</v>
      </c>
      <c r="AG23" s="68">
        <v>1</v>
      </c>
      <c r="AH23" s="69">
        <v>249.34227732817334</v>
      </c>
      <c r="AI23" s="69">
        <v>485.01419057846073</v>
      </c>
      <c r="AJ23" s="69">
        <v>1085.6202971776327</v>
      </c>
      <c r="AK23" s="69">
        <v>653.335264746348</v>
      </c>
      <c r="AL23" s="69">
        <v>1723.4252414067589</v>
      </c>
      <c r="AM23" s="69">
        <v>2139.5888113657629</v>
      </c>
      <c r="AN23" s="69">
        <v>611.39042991002395</v>
      </c>
      <c r="AO23" s="69">
        <v>2131.1109865824383</v>
      </c>
      <c r="AP23" s="69">
        <v>359.4719435691834</v>
      </c>
      <c r="AQ23" s="69">
        <v>888.95640036265036</v>
      </c>
    </row>
    <row r="24" spans="1:43" x14ac:dyDescent="0.25">
      <c r="A24" s="11">
        <v>41687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316.94654655456577</v>
      </c>
      <c r="J24" s="60">
        <v>703.54139556884934</v>
      </c>
      <c r="K24" s="60">
        <v>28.814262600739703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339.26</v>
      </c>
      <c r="V24" s="62">
        <v>0</v>
      </c>
      <c r="W24" s="62">
        <v>32.22</v>
      </c>
      <c r="X24" s="62">
        <v>0</v>
      </c>
      <c r="Y24" s="66">
        <v>203.25</v>
      </c>
      <c r="Z24" s="66">
        <v>0</v>
      </c>
      <c r="AA24" s="67">
        <v>0</v>
      </c>
      <c r="AB24" s="68">
        <v>0</v>
      </c>
      <c r="AC24" s="69">
        <v>0</v>
      </c>
      <c r="AD24" s="69">
        <v>12.544247181548036</v>
      </c>
      <c r="AE24" s="68">
        <v>12.32</v>
      </c>
      <c r="AF24" s="68">
        <v>0</v>
      </c>
      <c r="AG24" s="68">
        <v>1</v>
      </c>
      <c r="AH24" s="69">
        <v>247.20438182353971</v>
      </c>
      <c r="AI24" s="69">
        <v>479.71366294225061</v>
      </c>
      <c r="AJ24" s="69">
        <v>1047.5752677281698</v>
      </c>
      <c r="AK24" s="69">
        <v>657.99027951558446</v>
      </c>
      <c r="AL24" s="69">
        <v>1734.2978851318358</v>
      </c>
      <c r="AM24" s="69">
        <v>2173.0624371846516</v>
      </c>
      <c r="AN24" s="69">
        <v>617.07307551701876</v>
      </c>
      <c r="AO24" s="69">
        <v>2013.5795258839928</v>
      </c>
      <c r="AP24" s="69">
        <v>356.00176571210227</v>
      </c>
      <c r="AQ24" s="69">
        <v>821.09549217224117</v>
      </c>
    </row>
    <row r="25" spans="1:43" x14ac:dyDescent="0.25">
      <c r="A25" s="11">
        <v>41688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315.65656728744506</v>
      </c>
      <c r="J25" s="60">
        <v>700.60777943929202</v>
      </c>
      <c r="K25" s="60">
        <v>28.787446941931925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327.12</v>
      </c>
      <c r="V25" s="62">
        <v>0</v>
      </c>
      <c r="W25" s="62">
        <v>31.47</v>
      </c>
      <c r="X25" s="62">
        <v>0</v>
      </c>
      <c r="Y25" s="66">
        <v>200.35</v>
      </c>
      <c r="Z25" s="66">
        <v>0</v>
      </c>
      <c r="AA25" s="67">
        <v>0</v>
      </c>
      <c r="AB25" s="68">
        <v>0</v>
      </c>
      <c r="AC25" s="69">
        <v>0</v>
      </c>
      <c r="AD25" s="69">
        <v>12.40230454272694</v>
      </c>
      <c r="AE25" s="68">
        <v>12.13</v>
      </c>
      <c r="AF25" s="68">
        <v>0</v>
      </c>
      <c r="AG25" s="68">
        <v>1</v>
      </c>
      <c r="AH25" s="69">
        <v>245.67138957977298</v>
      </c>
      <c r="AI25" s="69">
        <v>469.32314885457356</v>
      </c>
      <c r="AJ25" s="69">
        <v>1074.523494720459</v>
      </c>
      <c r="AK25" s="69">
        <v>655.62062587738023</v>
      </c>
      <c r="AL25" s="69">
        <v>1687.9923239390055</v>
      </c>
      <c r="AM25" s="69">
        <v>2255.8831576029461</v>
      </c>
      <c r="AN25" s="69">
        <v>651.99840920766201</v>
      </c>
      <c r="AO25" s="69">
        <v>2267.7063808441162</v>
      </c>
      <c r="AP25" s="69">
        <v>341.91967453956602</v>
      </c>
      <c r="AQ25" s="69">
        <v>863.92149295806882</v>
      </c>
    </row>
    <row r="26" spans="1:43" x14ac:dyDescent="0.25">
      <c r="A26" s="11">
        <v>41689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307.278971719742</v>
      </c>
      <c r="J26" s="60">
        <v>681.53425610860381</v>
      </c>
      <c r="K26" s="60">
        <v>27.986524258057155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336.74895305633532</v>
      </c>
      <c r="V26" s="62">
        <v>0</v>
      </c>
      <c r="W26" s="62">
        <v>32.400402140617402</v>
      </c>
      <c r="X26" s="62">
        <v>0</v>
      </c>
      <c r="Y26" s="66">
        <v>200.72210851510363</v>
      </c>
      <c r="Z26" s="66">
        <v>0</v>
      </c>
      <c r="AA26" s="67">
        <v>0</v>
      </c>
      <c r="AB26" s="68">
        <v>21.472221628824791</v>
      </c>
      <c r="AC26" s="69">
        <v>0</v>
      </c>
      <c r="AD26" s="69">
        <v>12.764027557108106</v>
      </c>
      <c r="AE26" s="68">
        <v>12.499651267225047</v>
      </c>
      <c r="AF26" s="68">
        <v>0</v>
      </c>
      <c r="AG26" s="68">
        <v>1</v>
      </c>
      <c r="AH26" s="69">
        <v>245.35699620246888</v>
      </c>
      <c r="AI26" s="69">
        <v>464.91440048217788</v>
      </c>
      <c r="AJ26" s="69">
        <v>1080.3446945190428</v>
      </c>
      <c r="AK26" s="69">
        <v>661.79565560022991</v>
      </c>
      <c r="AL26" s="69">
        <v>1700.6082210540769</v>
      </c>
      <c r="AM26" s="69">
        <v>2146.2297205607101</v>
      </c>
      <c r="AN26" s="69">
        <v>622.27254409790032</v>
      </c>
      <c r="AO26" s="69">
        <v>2402.489616394043</v>
      </c>
      <c r="AP26" s="69">
        <v>336.1664620876312</v>
      </c>
      <c r="AQ26" s="69">
        <v>823.35588283538812</v>
      </c>
    </row>
    <row r="27" spans="1:43" x14ac:dyDescent="0.25">
      <c r="A27" s="11">
        <v>41690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306.5005578676861</v>
      </c>
      <c r="J27" s="60">
        <v>679.62830712000653</v>
      </c>
      <c r="K27" s="60">
        <v>27.889841413497859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323.27624236213353</v>
      </c>
      <c r="V27" s="62">
        <v>0</v>
      </c>
      <c r="W27" s="62">
        <v>32.01703513065975</v>
      </c>
      <c r="X27" s="62">
        <v>0</v>
      </c>
      <c r="Y27" s="62">
        <v>195.47615032196015</v>
      </c>
      <c r="Z27" s="62">
        <v>0</v>
      </c>
      <c r="AA27" s="72">
        <v>0</v>
      </c>
      <c r="AB27" s="69">
        <v>33.825840335422008</v>
      </c>
      <c r="AC27" s="69">
        <v>0</v>
      </c>
      <c r="AD27" s="69">
        <v>12.759309185213523</v>
      </c>
      <c r="AE27" s="69">
        <v>12.502191035017773</v>
      </c>
      <c r="AF27" s="69">
        <v>0</v>
      </c>
      <c r="AG27" s="69">
        <v>1</v>
      </c>
      <c r="AH27" s="69">
        <v>281.24922000567119</v>
      </c>
      <c r="AI27" s="69">
        <v>516.0712988535563</v>
      </c>
      <c r="AJ27" s="69">
        <v>1044.9353232701619</v>
      </c>
      <c r="AK27" s="69">
        <v>683.68602654139181</v>
      </c>
      <c r="AL27" s="69">
        <v>1899.9328773498532</v>
      </c>
      <c r="AM27" s="69">
        <v>2253.9116152445472</v>
      </c>
      <c r="AN27" s="69">
        <v>671.80366582870477</v>
      </c>
      <c r="AO27" s="69">
        <v>2399.275364176432</v>
      </c>
      <c r="AP27" s="69">
        <v>372.09147404034923</v>
      </c>
      <c r="AQ27" s="69">
        <v>856.26892229715986</v>
      </c>
    </row>
    <row r="28" spans="1:43" x14ac:dyDescent="0.25">
      <c r="A28" s="11">
        <v>41691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306.19077555338549</v>
      </c>
      <c r="J28" s="60">
        <v>679.09298261006847</v>
      </c>
      <c r="K28" s="60">
        <v>27.836764542261658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311.29063008626179</v>
      </c>
      <c r="V28" s="62">
        <v>0</v>
      </c>
      <c r="W28" s="62">
        <v>29.748560372988379</v>
      </c>
      <c r="X28" s="62">
        <v>0</v>
      </c>
      <c r="Y28" s="66">
        <v>194.46854247252134</v>
      </c>
      <c r="Z28" s="66">
        <v>0</v>
      </c>
      <c r="AA28" s="67">
        <v>0</v>
      </c>
      <c r="AB28" s="68">
        <v>33.821505265765609</v>
      </c>
      <c r="AC28" s="69">
        <v>0</v>
      </c>
      <c r="AD28" s="69">
        <v>12.755409908294684</v>
      </c>
      <c r="AE28" s="68">
        <v>12.499113529482363</v>
      </c>
      <c r="AF28" s="68">
        <v>0</v>
      </c>
      <c r="AG28" s="68">
        <v>1</v>
      </c>
      <c r="AH28" s="69">
        <v>275.94845380783079</v>
      </c>
      <c r="AI28" s="69">
        <v>523.09723304112754</v>
      </c>
      <c r="AJ28" s="69">
        <v>1082.3687097549437</v>
      </c>
      <c r="AK28" s="69">
        <v>675.76755609512327</v>
      </c>
      <c r="AL28" s="69">
        <v>1844.711580149333</v>
      </c>
      <c r="AM28" s="69">
        <v>2237.5761644999188</v>
      </c>
      <c r="AN28" s="69">
        <v>677.60747966766348</v>
      </c>
      <c r="AO28" s="69">
        <v>2379.2517283121742</v>
      </c>
      <c r="AP28" s="69">
        <v>368.74470917383826</v>
      </c>
      <c r="AQ28" s="69">
        <v>830.20411774317427</v>
      </c>
    </row>
    <row r="29" spans="1:43" x14ac:dyDescent="0.25">
      <c r="A29" s="11">
        <v>41692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306.18063136736555</v>
      </c>
      <c r="J29" s="60">
        <v>679.18732636769766</v>
      </c>
      <c r="K29" s="60">
        <v>27.887053728103545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332.08804615868468</v>
      </c>
      <c r="V29" s="62">
        <v>0</v>
      </c>
      <c r="W29" s="62">
        <v>30.821375060081458</v>
      </c>
      <c r="X29" s="62">
        <v>0</v>
      </c>
      <c r="Y29" s="66">
        <v>193.88319509029395</v>
      </c>
      <c r="Z29" s="66">
        <v>0</v>
      </c>
      <c r="AA29" s="67">
        <v>0</v>
      </c>
      <c r="AB29" s="68">
        <v>33.822471772299977</v>
      </c>
      <c r="AC29" s="69">
        <v>0</v>
      </c>
      <c r="AD29" s="69">
        <v>12.757680765125517</v>
      </c>
      <c r="AE29" s="68">
        <v>12.499120211782564</v>
      </c>
      <c r="AF29" s="68">
        <v>0</v>
      </c>
      <c r="AG29" s="68">
        <v>1</v>
      </c>
      <c r="AH29" s="69">
        <v>265.37717155615491</v>
      </c>
      <c r="AI29" s="69">
        <v>503.14428270657857</v>
      </c>
      <c r="AJ29" s="69">
        <v>1061.2240846633908</v>
      </c>
      <c r="AK29" s="69">
        <v>674.14828640619919</v>
      </c>
      <c r="AL29" s="69">
        <v>1818.570248222351</v>
      </c>
      <c r="AM29" s="69">
        <v>2203.2395070393877</v>
      </c>
      <c r="AN29" s="69">
        <v>650.70221563975019</v>
      </c>
      <c r="AO29" s="69">
        <v>2423.3565242767331</v>
      </c>
      <c r="AP29" s="69">
        <v>356.25635917981458</v>
      </c>
      <c r="AQ29" s="69">
        <v>734.66377471288047</v>
      </c>
    </row>
    <row r="30" spans="1:43" x14ac:dyDescent="0.25">
      <c r="A30" s="11">
        <v>41693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304.36697001457202</v>
      </c>
      <c r="J30" s="60">
        <v>675.36973514557008</v>
      </c>
      <c r="K30" s="60">
        <v>27.889721848567238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318.47000000000003</v>
      </c>
      <c r="V30" s="62">
        <v>0</v>
      </c>
      <c r="W30" s="62">
        <v>29.15</v>
      </c>
      <c r="X30" s="62">
        <v>0</v>
      </c>
      <c r="Y30" s="66">
        <v>181.45</v>
      </c>
      <c r="Z30" s="66">
        <v>0</v>
      </c>
      <c r="AA30" s="67">
        <v>0</v>
      </c>
      <c r="AB30" s="68">
        <v>33.824263887935253</v>
      </c>
      <c r="AC30" s="69">
        <v>0</v>
      </c>
      <c r="AD30" s="69">
        <v>11.989233733879171</v>
      </c>
      <c r="AE30" s="68">
        <v>11.81</v>
      </c>
      <c r="AF30" s="68">
        <v>0</v>
      </c>
      <c r="AG30" s="68">
        <v>1</v>
      </c>
      <c r="AH30" s="69">
        <v>260.06440645853678</v>
      </c>
      <c r="AI30" s="69">
        <v>498.42354157765709</v>
      </c>
      <c r="AJ30" s="69">
        <v>1061.5132562001547</v>
      </c>
      <c r="AK30" s="69">
        <v>673.33229268391938</v>
      </c>
      <c r="AL30" s="69">
        <v>1835.8308190027869</v>
      </c>
      <c r="AM30" s="69">
        <v>2170.1217466990151</v>
      </c>
      <c r="AN30" s="69">
        <v>654.59628855387382</v>
      </c>
      <c r="AO30" s="69">
        <v>2209.4246995290118</v>
      </c>
      <c r="AP30" s="69">
        <v>366.15709290504458</v>
      </c>
      <c r="AQ30" s="69">
        <v>761.77583646774292</v>
      </c>
    </row>
    <row r="31" spans="1:43" x14ac:dyDescent="0.25">
      <c r="A31" s="11">
        <v>41694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305.41484411557497</v>
      </c>
      <c r="J31" s="60">
        <v>689.93688767751189</v>
      </c>
      <c r="K31" s="60">
        <v>28.26364566485088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333.69</v>
      </c>
      <c r="V31" s="62">
        <v>0</v>
      </c>
      <c r="W31" s="62">
        <v>31.59</v>
      </c>
      <c r="X31" s="62">
        <v>0</v>
      </c>
      <c r="Y31" s="66">
        <v>192.17</v>
      </c>
      <c r="Z31" s="66">
        <v>0</v>
      </c>
      <c r="AA31" s="67">
        <v>0</v>
      </c>
      <c r="AB31" s="68">
        <v>33.82390334341266</v>
      </c>
      <c r="AC31" s="69">
        <v>0</v>
      </c>
      <c r="AD31" s="69">
        <v>12.680408565865616</v>
      </c>
      <c r="AE31" s="68">
        <v>12.55</v>
      </c>
      <c r="AF31" s="68">
        <v>0</v>
      </c>
      <c r="AG31" s="68">
        <v>1</v>
      </c>
      <c r="AH31" s="69">
        <v>258.14467647075656</v>
      </c>
      <c r="AI31" s="69">
        <v>493.67465063730867</v>
      </c>
      <c r="AJ31" s="69">
        <v>1080.6541596094767</v>
      </c>
      <c r="AK31" s="69">
        <v>672.4754158337912</v>
      </c>
      <c r="AL31" s="69">
        <v>1764.7984680811562</v>
      </c>
      <c r="AM31" s="69">
        <v>2215.6434219360353</v>
      </c>
      <c r="AN31" s="69">
        <v>616.54747505187981</v>
      </c>
      <c r="AO31" s="69">
        <v>1920.8548781077068</v>
      </c>
      <c r="AP31" s="69">
        <v>356.62275312741593</v>
      </c>
      <c r="AQ31" s="69">
        <v>844.12712291081732</v>
      </c>
    </row>
    <row r="32" spans="1:43" x14ac:dyDescent="0.25">
      <c r="A32" s="11">
        <v>41695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290.09577471415213</v>
      </c>
      <c r="J32" s="60">
        <v>671.0517064094546</v>
      </c>
      <c r="K32" s="60">
        <v>26.903145617246704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314.05</v>
      </c>
      <c r="V32" s="62">
        <v>0</v>
      </c>
      <c r="W32" s="62">
        <v>31.21</v>
      </c>
      <c r="X32" s="62">
        <v>0</v>
      </c>
      <c r="Y32" s="66">
        <v>191.66</v>
      </c>
      <c r="Z32" s="66">
        <v>0</v>
      </c>
      <c r="AA32" s="67">
        <v>0</v>
      </c>
      <c r="AB32" s="68">
        <v>33.818777237997935</v>
      </c>
      <c r="AC32" s="69">
        <v>0</v>
      </c>
      <c r="AD32" s="69">
        <v>12.618387716346312</v>
      </c>
      <c r="AE32" s="68">
        <v>12.5</v>
      </c>
      <c r="AF32" s="68">
        <v>0</v>
      </c>
      <c r="AG32" s="68">
        <v>1</v>
      </c>
      <c r="AH32" s="69">
        <v>284.31357558568317</v>
      </c>
      <c r="AI32" s="69">
        <v>535.63103264172878</v>
      </c>
      <c r="AJ32" s="69">
        <v>1059.9556285222372</v>
      </c>
      <c r="AK32" s="69">
        <v>699.44202597935987</v>
      </c>
      <c r="AL32" s="69">
        <v>1942.942448933919</v>
      </c>
      <c r="AM32" s="69">
        <v>2359.9390205383297</v>
      </c>
      <c r="AN32" s="69">
        <v>691.36967951456711</v>
      </c>
      <c r="AO32" s="69">
        <v>1867.7294649759926</v>
      </c>
      <c r="AP32" s="69">
        <v>396.75020071665455</v>
      </c>
      <c r="AQ32" s="69">
        <v>836.55509729385392</v>
      </c>
    </row>
    <row r="33" spans="1:43" x14ac:dyDescent="0.25">
      <c r="A33" s="11">
        <v>41696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290.33505613009152</v>
      </c>
      <c r="J33" s="60">
        <v>671.7767846425387</v>
      </c>
      <c r="K33" s="60">
        <v>27.439487059911091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310.33</v>
      </c>
      <c r="V33" s="62">
        <v>0</v>
      </c>
      <c r="W33" s="62">
        <v>29.76</v>
      </c>
      <c r="X33" s="62">
        <v>0</v>
      </c>
      <c r="Y33" s="66">
        <v>190.17</v>
      </c>
      <c r="Z33" s="66">
        <v>0</v>
      </c>
      <c r="AA33" s="67">
        <v>0</v>
      </c>
      <c r="AB33" s="68">
        <v>33.820914636717973</v>
      </c>
      <c r="AC33" s="69">
        <v>0</v>
      </c>
      <c r="AD33" s="69">
        <v>12.468600882424273</v>
      </c>
      <c r="AE33" s="68">
        <v>12.35</v>
      </c>
      <c r="AF33" s="68">
        <v>0</v>
      </c>
      <c r="AG33" s="68">
        <v>1</v>
      </c>
      <c r="AH33" s="69">
        <v>283.71586754322055</v>
      </c>
      <c r="AI33" s="69">
        <v>542.3213355223337</v>
      </c>
      <c r="AJ33" s="69">
        <v>1094.7447991689048</v>
      </c>
      <c r="AK33" s="69">
        <v>694.71562404632562</v>
      </c>
      <c r="AL33" s="69">
        <v>1886.9403825759889</v>
      </c>
      <c r="AM33" s="69">
        <v>2311.1810337066645</v>
      </c>
      <c r="AN33" s="69">
        <v>704.9253465334574</v>
      </c>
      <c r="AO33" s="69">
        <v>1899.5279369354248</v>
      </c>
      <c r="AP33" s="69">
        <v>385.16794344584144</v>
      </c>
      <c r="AQ33" s="69">
        <v>831.28188613255816</v>
      </c>
    </row>
    <row r="34" spans="1:43" x14ac:dyDescent="0.25">
      <c r="A34" s="11">
        <v>41697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298.26601794560747</v>
      </c>
      <c r="J34" s="60">
        <v>671.50099067688109</v>
      </c>
      <c r="K34" s="60">
        <v>27.638194533189118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337.39</v>
      </c>
      <c r="V34" s="62">
        <v>0</v>
      </c>
      <c r="W34" s="62">
        <v>30.87</v>
      </c>
      <c r="X34" s="62">
        <v>0</v>
      </c>
      <c r="Y34" s="66">
        <v>193.47</v>
      </c>
      <c r="Z34" s="66">
        <v>0</v>
      </c>
      <c r="AA34" s="67">
        <v>0</v>
      </c>
      <c r="AB34" s="68">
        <v>33.826951948801451</v>
      </c>
      <c r="AC34" s="69">
        <v>0</v>
      </c>
      <c r="AD34" s="69">
        <v>12.616363691621347</v>
      </c>
      <c r="AE34" s="68">
        <v>12.5</v>
      </c>
      <c r="AF34" s="68">
        <v>0</v>
      </c>
      <c r="AG34" s="68">
        <v>1</v>
      </c>
      <c r="AH34" s="69">
        <v>255.35283190409339</v>
      </c>
      <c r="AI34" s="69">
        <v>489.05477763811746</v>
      </c>
      <c r="AJ34" s="69">
        <v>1068.9616424560545</v>
      </c>
      <c r="AK34" s="69">
        <v>659.51758003234875</v>
      </c>
      <c r="AL34" s="69">
        <v>1741.8034460703525</v>
      </c>
      <c r="AM34" s="69">
        <v>2147.923870976766</v>
      </c>
      <c r="AN34" s="69">
        <v>623.19606841405209</v>
      </c>
      <c r="AO34" s="69">
        <v>1954.6821305592855</v>
      </c>
      <c r="AP34" s="69">
        <v>349.25812810262045</v>
      </c>
      <c r="AQ34" s="69">
        <v>874.32148720423368</v>
      </c>
    </row>
    <row r="35" spans="1:43" x14ac:dyDescent="0.25">
      <c r="A35" s="11">
        <v>41698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298.49853561719289</v>
      </c>
      <c r="J35" s="60">
        <v>671.41777865092058</v>
      </c>
      <c r="K35" s="60">
        <v>27.690885986884371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335.87</v>
      </c>
      <c r="V35" s="62">
        <v>0</v>
      </c>
      <c r="W35" s="62">
        <v>30.54</v>
      </c>
      <c r="X35" s="62">
        <v>0</v>
      </c>
      <c r="Y35" s="66">
        <v>198.8</v>
      </c>
      <c r="Z35" s="66">
        <v>0</v>
      </c>
      <c r="AA35" s="67">
        <v>0</v>
      </c>
      <c r="AB35" s="68">
        <v>33.826595139503297</v>
      </c>
      <c r="AC35" s="69">
        <v>0</v>
      </c>
      <c r="AD35" s="69">
        <v>12.618353388044577</v>
      </c>
      <c r="AE35" s="68">
        <v>12.5</v>
      </c>
      <c r="AF35" s="68">
        <v>0</v>
      </c>
      <c r="AG35" s="68">
        <v>1</v>
      </c>
      <c r="AH35" s="69">
        <v>251.64670275847115</v>
      </c>
      <c r="AI35" s="69">
        <v>483.85615994135537</v>
      </c>
      <c r="AJ35" s="69">
        <v>1063.8613484064738</v>
      </c>
      <c r="AK35" s="69">
        <v>667.33924341201782</v>
      </c>
      <c r="AL35" s="69">
        <v>1776.9954303105676</v>
      </c>
      <c r="AM35" s="69">
        <v>2037.7059426625569</v>
      </c>
      <c r="AN35" s="69">
        <v>607.06271934509289</v>
      </c>
      <c r="AO35" s="69">
        <v>1906.6198115030925</v>
      </c>
      <c r="AP35" s="69">
        <v>335.27794656753548</v>
      </c>
      <c r="AQ35" s="69">
        <v>823.29091844558729</v>
      </c>
    </row>
    <row r="36" spans="1:43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69"/>
      <c r="AE36" s="68"/>
      <c r="AF36" s="68"/>
      <c r="AG36" s="68"/>
      <c r="AH36" s="69"/>
      <c r="AI36" s="69"/>
      <c r="AJ36" s="69"/>
      <c r="AK36" s="69"/>
      <c r="AL36" s="69"/>
      <c r="AM36" s="69"/>
      <c r="AN36" s="69"/>
      <c r="AO36" s="69"/>
      <c r="AP36" s="69"/>
      <c r="AQ36" s="69"/>
    </row>
    <row r="37" spans="1:43" x14ac:dyDescent="0.25">
      <c r="A37" s="11"/>
      <c r="B37" s="59"/>
      <c r="C37" s="60"/>
      <c r="D37" s="60"/>
      <c r="E37" s="60"/>
      <c r="F37" s="60"/>
      <c r="G37" s="60"/>
      <c r="H37" s="61"/>
      <c r="I37" s="59"/>
      <c r="J37" s="60"/>
      <c r="K37" s="60"/>
      <c r="L37" s="60"/>
      <c r="M37" s="60"/>
      <c r="N37" s="61"/>
      <c r="O37" s="59"/>
      <c r="P37" s="60"/>
      <c r="Q37" s="60"/>
      <c r="R37" s="63"/>
      <c r="S37" s="60"/>
      <c r="T37" s="64"/>
      <c r="U37" s="65"/>
      <c r="V37" s="62"/>
      <c r="W37" s="62"/>
      <c r="X37" s="62"/>
      <c r="Y37" s="66"/>
      <c r="Z37" s="66"/>
      <c r="AA37" s="67"/>
      <c r="AB37" s="68"/>
      <c r="AC37" s="69"/>
      <c r="AD37" s="69"/>
      <c r="AE37" s="68"/>
      <c r="AF37" s="68"/>
      <c r="AG37" s="68"/>
      <c r="AH37" s="69"/>
      <c r="AI37" s="69"/>
      <c r="AJ37" s="69"/>
      <c r="AK37" s="69"/>
      <c r="AL37" s="69"/>
      <c r="AM37" s="69"/>
      <c r="AN37" s="69"/>
      <c r="AO37" s="69"/>
      <c r="AP37" s="69"/>
      <c r="AQ37" s="69"/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8281.4798326373111</v>
      </c>
      <c r="J39" s="30">
        <f t="shared" si="0"/>
        <v>19184.026447550481</v>
      </c>
      <c r="K39" s="30">
        <f t="shared" si="0"/>
        <v>785.53341475327625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9253.723713039828</v>
      </c>
      <c r="V39" s="264">
        <f t="shared" si="0"/>
        <v>0</v>
      </c>
      <c r="W39" s="264">
        <f t="shared" si="0"/>
        <v>869.58138833840678</v>
      </c>
      <c r="X39" s="264">
        <f t="shared" si="0"/>
        <v>0</v>
      </c>
      <c r="Y39" s="264">
        <f t="shared" si="0"/>
        <v>5608.18138455391</v>
      </c>
      <c r="Z39" s="264">
        <f t="shared" si="0"/>
        <v>0</v>
      </c>
      <c r="AA39" s="272">
        <f t="shared" si="0"/>
        <v>0</v>
      </c>
      <c r="AB39" s="275">
        <f t="shared" si="0"/>
        <v>325.88344519668101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7907.9537465572348</v>
      </c>
      <c r="AI39" s="275">
        <f t="shared" si="1"/>
        <v>15092.049321524304</v>
      </c>
      <c r="AJ39" s="275">
        <f t="shared" si="1"/>
        <v>30384.173970667525</v>
      </c>
      <c r="AK39" s="275">
        <f t="shared" si="1"/>
        <v>19183.258391412099</v>
      </c>
      <c r="AL39" s="275">
        <f t="shared" si="1"/>
        <v>51578.509687105827</v>
      </c>
      <c r="AM39" s="275">
        <f t="shared" si="1"/>
        <v>64167.90774548849</v>
      </c>
      <c r="AN39" s="275">
        <f t="shared" si="1"/>
        <v>19147.381420230868</v>
      </c>
      <c r="AO39" s="275">
        <f t="shared" si="1"/>
        <v>57494.475097656243</v>
      </c>
      <c r="AP39" s="275">
        <f t="shared" si="1"/>
        <v>10484.740364285311</v>
      </c>
      <c r="AQ39" s="275">
        <f t="shared" si="1"/>
        <v>22279.916568279266</v>
      </c>
    </row>
    <row r="40" spans="1:43" ht="15.75" thickBot="1" x14ac:dyDescent="0.3">
      <c r="A40" s="47" t="s">
        <v>174</v>
      </c>
      <c r="B40" s="32">
        <f>Projection!$AA$30</f>
        <v>0.80583665399999982</v>
      </c>
      <c r="C40" s="33">
        <f>Projection!$AA$28</f>
        <v>1.0959093599999998</v>
      </c>
      <c r="D40" s="33">
        <f>Projection!$AA$31</f>
        <v>2.1834120000000001</v>
      </c>
      <c r="E40" s="33">
        <f>Projection!$AA$26</f>
        <v>4.3368000000000002</v>
      </c>
      <c r="F40" s="33">
        <f>Projection!$AA$23</f>
        <v>5.8379999999999994E-2</v>
      </c>
      <c r="G40" s="33">
        <f>Projection!$AA$24</f>
        <v>5.5119999999999995E-2</v>
      </c>
      <c r="H40" s="34">
        <f>Projection!$AA$29</f>
        <v>3.4361216999999997</v>
      </c>
      <c r="I40" s="32">
        <f>Projection!$AA$30</f>
        <v>0.80583665399999982</v>
      </c>
      <c r="J40" s="33">
        <f>Projection!$AA$28</f>
        <v>1.0959093599999998</v>
      </c>
      <c r="K40" s="33">
        <f>Projection!$AA$26</f>
        <v>4.3368000000000002</v>
      </c>
      <c r="L40" s="33">
        <f>Projection!$AA$25</f>
        <v>0</v>
      </c>
      <c r="M40" s="33">
        <f>Projection!$AA$23</f>
        <v>5.8379999999999994E-2</v>
      </c>
      <c r="N40" s="34">
        <f>Projection!$AA$23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1.0959093599999998</v>
      </c>
      <c r="T40" s="38">
        <f>Projection!$AA$28</f>
        <v>1.0959093599999998</v>
      </c>
      <c r="U40" s="26">
        <f>Projection!$AA$27</f>
        <v>0.21934999999999999</v>
      </c>
      <c r="V40" s="27">
        <f>Projection!$AA$27</f>
        <v>0.21934999999999999</v>
      </c>
      <c r="W40" s="27">
        <f>Projection!$AA$22</f>
        <v>1.1625000000000001</v>
      </c>
      <c r="X40" s="27">
        <f>Projection!$AA$22</f>
        <v>1.1625000000000001</v>
      </c>
      <c r="Y40" s="27">
        <f>Projection!$AA$31</f>
        <v>2.1834120000000001</v>
      </c>
      <c r="Z40" s="27">
        <f>Projection!$AA$31</f>
        <v>2.1834120000000001</v>
      </c>
      <c r="AA40" s="28">
        <v>0</v>
      </c>
      <c r="AB40" s="41">
        <f>Projection!$AA$27</f>
        <v>0.21934999999999999</v>
      </c>
      <c r="AC40" s="41">
        <f>Projection!$AA$30</f>
        <v>0.80583665399999982</v>
      </c>
      <c r="AD40" s="279">
        <f>SUM(AD8:AD38)</f>
        <v>353.84240620136268</v>
      </c>
      <c r="AE40" s="279">
        <f>SUM(AE8:AE38)</f>
        <v>349.06984315992565</v>
      </c>
      <c r="AF40" s="279">
        <f>SUM(AF8:AF38)</f>
        <v>0</v>
      </c>
      <c r="AG40" s="279">
        <f>IF(SUM(AE40:AF40)&gt;0,AE40/(AE40+AF40),"")</f>
        <v>1</v>
      </c>
      <c r="AH40" s="315">
        <v>6.7000000000000004E-2</v>
      </c>
      <c r="AI40" s="315">
        <f t="shared" ref="AI40:AQ40" si="2">$AH$40</f>
        <v>6.7000000000000004E-2</v>
      </c>
      <c r="AJ40" s="315">
        <f t="shared" si="2"/>
        <v>6.7000000000000004E-2</v>
      </c>
      <c r="AK40" s="315">
        <v>6.7000000000000004E-2</v>
      </c>
      <c r="AL40" s="315">
        <f t="shared" si="2"/>
        <v>6.7000000000000004E-2</v>
      </c>
      <c r="AM40" s="315">
        <f t="shared" si="2"/>
        <v>6.7000000000000004E-2</v>
      </c>
      <c r="AN40" s="315">
        <f t="shared" si="2"/>
        <v>6.7000000000000004E-2</v>
      </c>
      <c r="AO40" s="315">
        <f t="shared" si="2"/>
        <v>6.7000000000000004E-2</v>
      </c>
      <c r="AP40" s="315">
        <f t="shared" si="2"/>
        <v>6.7000000000000004E-2</v>
      </c>
      <c r="AQ40" s="315">
        <f t="shared" si="2"/>
        <v>6.7000000000000004E-2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6673.5199985009294</v>
      </c>
      <c r="J41" s="36">
        <f t="shared" si="3"/>
        <v>21023.954146358119</v>
      </c>
      <c r="K41" s="36">
        <f t="shared" si="3"/>
        <v>3406.7013131020085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2029.8042964552862</v>
      </c>
      <c r="V41" s="270">
        <f t="shared" si="3"/>
        <v>0</v>
      </c>
      <c r="W41" s="270">
        <f t="shared" si="3"/>
        <v>1010.888363943398</v>
      </c>
      <c r="X41" s="270">
        <f t="shared" si="3"/>
        <v>0</v>
      </c>
      <c r="Y41" s="270">
        <f t="shared" si="3"/>
        <v>12244.970533211623</v>
      </c>
      <c r="Z41" s="270">
        <f t="shared" si="3"/>
        <v>0</v>
      </c>
      <c r="AA41" s="274">
        <f t="shared" si="3"/>
        <v>0</v>
      </c>
      <c r="AB41" s="277">
        <f t="shared" si="3"/>
        <v>71.482533703891974</v>
      </c>
      <c r="AC41" s="277">
        <f t="shared" si="3"/>
        <v>0</v>
      </c>
      <c r="AH41" s="280">
        <f t="shared" ref="AH41:AQ41" si="4">AH40*AH39</f>
        <v>529.83290101933471</v>
      </c>
      <c r="AI41" s="280">
        <f t="shared" si="4"/>
        <v>1011.1673045421285</v>
      </c>
      <c r="AJ41" s="280">
        <f t="shared" si="4"/>
        <v>2035.7396560347242</v>
      </c>
      <c r="AK41" s="280">
        <f t="shared" si="4"/>
        <v>1285.2783122246108</v>
      </c>
      <c r="AL41" s="280">
        <f t="shared" si="4"/>
        <v>3455.7601490360908</v>
      </c>
      <c r="AM41" s="280">
        <f t="shared" si="4"/>
        <v>4299.2498189477292</v>
      </c>
      <c r="AN41" s="280">
        <f t="shared" si="4"/>
        <v>1282.8745551554682</v>
      </c>
      <c r="AO41" s="280">
        <f t="shared" si="4"/>
        <v>3852.1298315429685</v>
      </c>
      <c r="AP41" s="280">
        <f t="shared" si="4"/>
        <v>702.4776044071159</v>
      </c>
      <c r="AQ41" s="280">
        <f t="shared" si="4"/>
        <v>1492.7544100747109</v>
      </c>
    </row>
    <row r="42" spans="1:43" ht="49.5" customHeight="1" thickTop="1" thickBot="1" x14ac:dyDescent="0.3">
      <c r="A42" s="564" t="s">
        <v>231</v>
      </c>
      <c r="B42" s="565"/>
      <c r="C42" s="565"/>
      <c r="D42" s="565"/>
      <c r="E42" s="565"/>
      <c r="F42" s="565"/>
      <c r="G42" s="565"/>
      <c r="H42" s="565"/>
      <c r="I42" s="565"/>
      <c r="J42" s="565"/>
      <c r="K42" s="54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1347.16</v>
      </c>
      <c r="AI42" s="280" t="s">
        <v>199</v>
      </c>
      <c r="AJ42" s="280">
        <v>3738.99</v>
      </c>
      <c r="AK42" s="280">
        <v>1209.6099999999999</v>
      </c>
      <c r="AL42" s="280">
        <v>2230.54</v>
      </c>
      <c r="AM42" s="280">
        <v>9327.06</v>
      </c>
      <c r="AN42" s="280">
        <v>2352.09</v>
      </c>
      <c r="AO42" s="280" t="s">
        <v>199</v>
      </c>
      <c r="AP42" s="280">
        <v>435.78</v>
      </c>
      <c r="AQ42" s="280">
        <v>795.79</v>
      </c>
    </row>
    <row r="43" spans="1:43" ht="38.25" customHeight="1" thickTop="1" thickBot="1" x14ac:dyDescent="0.3">
      <c r="A43" s="552" t="s">
        <v>49</v>
      </c>
      <c r="B43" s="548"/>
      <c r="C43" s="291"/>
      <c r="D43" s="548" t="s">
        <v>47</v>
      </c>
      <c r="E43" s="548"/>
      <c r="F43" s="291"/>
      <c r="G43" s="548" t="s">
        <v>48</v>
      </c>
      <c r="H43" s="548"/>
      <c r="I43" s="292"/>
      <c r="J43" s="548" t="s">
        <v>50</v>
      </c>
      <c r="K43" s="549"/>
      <c r="L43" s="44"/>
      <c r="M43" s="44"/>
      <c r="N43" s="44"/>
      <c r="O43" s="45"/>
      <c r="P43" s="45"/>
      <c r="Q43" s="45"/>
      <c r="R43" s="558" t="s">
        <v>168</v>
      </c>
      <c r="S43" s="559"/>
      <c r="T43" s="559"/>
      <c r="U43" s="560"/>
      <c r="AC43" s="45"/>
    </row>
    <row r="44" spans="1:43" ht="24.75" thickTop="1" thickBot="1" x14ac:dyDescent="0.3">
      <c r="A44" s="284" t="s">
        <v>135</v>
      </c>
      <c r="B44" s="285">
        <f>SUM(B41:AC41)</f>
        <v>46461.321185275257</v>
      </c>
      <c r="C44" s="12"/>
      <c r="D44" s="284" t="s">
        <v>135</v>
      </c>
      <c r="E44" s="285">
        <f>SUM(B41:H41)+P41+R41+T41+V41+X41+Z41</f>
        <v>0</v>
      </c>
      <c r="F44" s="12"/>
      <c r="G44" s="284" t="s">
        <v>135</v>
      </c>
      <c r="H44" s="285">
        <f>SUM(I41:N41)+O41+Q41+S41+U41+W41+Y41</f>
        <v>46389.838651571365</v>
      </c>
      <c r="I44" s="12"/>
      <c r="J44" s="284" t="s">
        <v>200</v>
      </c>
      <c r="K44" s="285">
        <v>84354.8</v>
      </c>
      <c r="L44" s="12"/>
      <c r="M44" s="12"/>
      <c r="N44" s="12"/>
      <c r="O44" s="12"/>
      <c r="P44" s="12"/>
      <c r="Q44" s="12"/>
      <c r="R44" s="309" t="s">
        <v>135</v>
      </c>
      <c r="S44" s="310"/>
      <c r="T44" s="307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19947.264542984882</v>
      </c>
      <c r="C45" s="12"/>
      <c r="D45" s="286" t="s">
        <v>185</v>
      </c>
      <c r="E45" s="287">
        <f>AH41*(1-$AG$40)+AI41+AJ41*0.5+AL41+AM41*(1-$AG$40)+AN41*(1-$AG$40)+AO41*(1-$AG$40)+AP41*0.5+AQ41*0.5</f>
        <v>6582.4132888364948</v>
      </c>
      <c r="F45" s="24"/>
      <c r="G45" s="286" t="s">
        <v>185</v>
      </c>
      <c r="H45" s="287">
        <f>AH41*AG40+AJ41*0.5+AK41+AM41*AG40+AN41*AG40+AO41*AG40+AP41*0.5+AQ41*0.5</f>
        <v>13364.851254148387</v>
      </c>
      <c r="I45" s="12"/>
      <c r="J45" s="12"/>
      <c r="K45" s="290"/>
      <c r="L45" s="12"/>
      <c r="M45" s="12"/>
      <c r="N45" s="12"/>
      <c r="O45" s="12"/>
      <c r="P45" s="12"/>
      <c r="Q45" s="12"/>
      <c r="R45" s="311" t="s">
        <v>141</v>
      </c>
      <c r="S45" s="312"/>
      <c r="T45" s="256">
        <f>$W$39+$X$39</f>
        <v>869.58138833840678</v>
      </c>
      <c r="U45" s="258">
        <f>(T45*8.34*0.895)/27000</f>
        <v>0.24040060581386555</v>
      </c>
    </row>
    <row r="46" spans="1:43" ht="32.25" thickBot="1" x14ac:dyDescent="0.3">
      <c r="A46" s="288" t="s">
        <v>186</v>
      </c>
      <c r="B46" s="289">
        <f>SUM(AH42:AQ42)</f>
        <v>21437.02</v>
      </c>
      <c r="C46" s="12"/>
      <c r="D46" s="288" t="s">
        <v>186</v>
      </c>
      <c r="E46" s="289">
        <f>AH42*(1-$AG$40)+AJ42*0.5+AL42+AM42*(1-$AG$40)+AN42*(1-$AG$40)+AP42*0.5+AQ42*0.5</f>
        <v>4715.82</v>
      </c>
      <c r="F46" s="23"/>
      <c r="G46" s="288" t="s">
        <v>186</v>
      </c>
      <c r="H46" s="289">
        <f>AH42*AG40+AJ42*0.5+AK42+AM42*AG40+AN42*AG40+AP42*0.5+AQ42*0.5</f>
        <v>16721.199999999997</v>
      </c>
      <c r="I46" s="12"/>
      <c r="J46" s="550" t="s">
        <v>201</v>
      </c>
      <c r="K46" s="551"/>
      <c r="L46" s="12"/>
      <c r="M46" s="12"/>
      <c r="N46" s="12"/>
      <c r="O46" s="12"/>
      <c r="P46" s="12"/>
      <c r="Q46" s="12"/>
      <c r="R46" s="311" t="s">
        <v>145</v>
      </c>
      <c r="S46" s="312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84354.8</v>
      </c>
      <c r="C47" s="12"/>
      <c r="D47" s="288" t="s">
        <v>189</v>
      </c>
      <c r="E47" s="289">
        <f>K44*0.5</f>
        <v>42177.4</v>
      </c>
      <c r="F47" s="24"/>
      <c r="G47" s="288" t="s">
        <v>187</v>
      </c>
      <c r="H47" s="289">
        <f>K44*0.5</f>
        <v>42177.4</v>
      </c>
      <c r="I47" s="12"/>
      <c r="J47" s="284" t="s">
        <v>200</v>
      </c>
      <c r="K47" s="285">
        <v>47683.75</v>
      </c>
      <c r="L47" s="12"/>
      <c r="M47" s="12"/>
      <c r="N47" s="12"/>
      <c r="O47" s="12"/>
      <c r="P47" s="12"/>
      <c r="Q47" s="12"/>
      <c r="R47" s="311" t="s">
        <v>148</v>
      </c>
      <c r="S47" s="312"/>
      <c r="T47" s="256">
        <f>$G$39</f>
        <v>0</v>
      </c>
      <c r="U47" s="258">
        <f>T47/40000</f>
        <v>0</v>
      </c>
    </row>
    <row r="48" spans="1:43" ht="24" thickBot="1" x14ac:dyDescent="0.3">
      <c r="A48" s="288" t="s">
        <v>188</v>
      </c>
      <c r="B48" s="289">
        <f>K47</f>
        <v>47683.75</v>
      </c>
      <c r="C48" s="12"/>
      <c r="D48" s="288" t="s">
        <v>188</v>
      </c>
      <c r="E48" s="289">
        <f>K47*0.5</f>
        <v>23841.875</v>
      </c>
      <c r="F48" s="23"/>
      <c r="G48" s="288" t="s">
        <v>188</v>
      </c>
      <c r="H48" s="289">
        <f>K47*0.5</f>
        <v>23841.875</v>
      </c>
      <c r="I48" s="12"/>
      <c r="J48" s="12"/>
      <c r="K48" s="86"/>
      <c r="L48" s="12"/>
      <c r="M48" s="12"/>
      <c r="N48" s="12"/>
      <c r="O48" s="12"/>
      <c r="P48" s="12"/>
      <c r="Q48" s="12"/>
      <c r="R48" s="311" t="s">
        <v>150</v>
      </c>
      <c r="S48" s="312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353.84240620136268</v>
      </c>
      <c r="C49" s="12"/>
      <c r="D49" s="293" t="s">
        <v>197</v>
      </c>
      <c r="E49" s="294">
        <f>AF40</f>
        <v>0</v>
      </c>
      <c r="F49" s="23"/>
      <c r="G49" s="293" t="s">
        <v>198</v>
      </c>
      <c r="H49" s="294">
        <f>AE40</f>
        <v>349.06984315992565</v>
      </c>
      <c r="I49" s="12"/>
      <c r="J49" s="12"/>
      <c r="K49" s="86"/>
      <c r="L49" s="12"/>
      <c r="M49" s="12"/>
      <c r="N49" s="12"/>
      <c r="O49" s="12"/>
      <c r="P49" s="12"/>
      <c r="Q49" s="12"/>
      <c r="R49" s="311" t="s">
        <v>152</v>
      </c>
      <c r="S49" s="312"/>
      <c r="T49" s="256">
        <f>$E$39+$K$39</f>
        <v>785.53341475327625</v>
      </c>
      <c r="U49" s="258">
        <f>(T49*8.34*1.04)/45000</f>
        <v>0.15140894724897816</v>
      </c>
    </row>
    <row r="50" spans="1:25" ht="48" thickTop="1" thickBot="1" x14ac:dyDescent="0.3">
      <c r="A50" s="293" t="s">
        <v>192</v>
      </c>
      <c r="B50" s="295">
        <f>(SUM(B44:B48)/AD40)</f>
        <v>621.41832599660108</v>
      </c>
      <c r="C50" s="12"/>
      <c r="D50" s="293" t="s">
        <v>190</v>
      </c>
      <c r="E50" s="295" t="e">
        <f>SUM(E44:E48)/AF40</f>
        <v>#DIV/0!</v>
      </c>
      <c r="F50" s="23"/>
      <c r="G50" s="293" t="s">
        <v>191</v>
      </c>
      <c r="H50" s="295">
        <f>SUM(H44:H48)/AE40</f>
        <v>408.21390818466057</v>
      </c>
      <c r="I50" s="12"/>
      <c r="J50" s="12"/>
      <c r="K50" s="86"/>
      <c r="L50" s="12"/>
      <c r="M50" s="12"/>
      <c r="N50" s="12"/>
      <c r="O50" s="12"/>
      <c r="P50" s="12"/>
      <c r="Q50" s="12"/>
      <c r="R50" s="311" t="s">
        <v>153</v>
      </c>
      <c r="S50" s="312"/>
      <c r="T50" s="256">
        <f>$U$39+$V$39+$AB$39</f>
        <v>9579.6071582365093</v>
      </c>
      <c r="U50" s="258">
        <f>T50/2000/8</f>
        <v>0.59872544738978184</v>
      </c>
    </row>
    <row r="51" spans="1:25" ht="47.25" customHeight="1" thickTop="1" thickBot="1" x14ac:dyDescent="0.3">
      <c r="A51" s="283" t="s">
        <v>193</v>
      </c>
      <c r="B51" s="296">
        <f>B50/1000</f>
        <v>0.62141832599660107</v>
      </c>
      <c r="C51" s="12"/>
      <c r="D51" s="283" t="s">
        <v>194</v>
      </c>
      <c r="E51" s="296" t="e">
        <f>E50/1000</f>
        <v>#DIV/0!</v>
      </c>
      <c r="F51" s="12"/>
      <c r="G51" s="283" t="s">
        <v>195</v>
      </c>
      <c r="H51" s="296">
        <f>H50/1000</f>
        <v>0.40821390818466058</v>
      </c>
      <c r="I51" s="12"/>
      <c r="J51" s="12"/>
      <c r="K51" s="86"/>
      <c r="L51" s="12"/>
      <c r="M51" s="12"/>
      <c r="N51" s="12"/>
      <c r="O51" s="12"/>
      <c r="P51" s="12"/>
      <c r="Q51" s="12"/>
      <c r="R51" s="311" t="s">
        <v>154</v>
      </c>
      <c r="S51" s="312"/>
      <c r="T51" s="256">
        <f>$C$39+$J$39+$S$39+$T$39</f>
        <v>19184.026447550481</v>
      </c>
      <c r="U51" s="258">
        <f>(T51*8.34*1.4)/45000</f>
        <v>4.9776153955910978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11" t="s">
        <v>155</v>
      </c>
      <c r="S52" s="312"/>
      <c r="T52" s="256">
        <f>$H$39</f>
        <v>0</v>
      </c>
      <c r="U52" s="258">
        <f>(T52*8.34*1.135)/45000</f>
        <v>0</v>
      </c>
    </row>
    <row r="53" spans="1:25" ht="48" customHeight="1" thickTop="1" thickBot="1" x14ac:dyDescent="0.3">
      <c r="A53" s="561" t="s">
        <v>51</v>
      </c>
      <c r="B53" s="562"/>
      <c r="C53" s="562"/>
      <c r="D53" s="562"/>
      <c r="E53" s="56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1" t="s">
        <v>156</v>
      </c>
      <c r="S53" s="312"/>
      <c r="T53" s="256">
        <f>$B$39+$I$39+$AC$39</f>
        <v>8281.4798326373111</v>
      </c>
      <c r="U53" s="258">
        <f>(T53*8.34*1.029*0.03)/3300</f>
        <v>0.64609545924106204</v>
      </c>
    </row>
    <row r="54" spans="1:25" ht="42" customHeight="1" thickBot="1" x14ac:dyDescent="0.3">
      <c r="A54" s="545" t="s">
        <v>202</v>
      </c>
      <c r="B54" s="546"/>
      <c r="C54" s="546"/>
      <c r="D54" s="546"/>
      <c r="E54" s="54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5" t="s">
        <v>158</v>
      </c>
      <c r="S54" s="556"/>
      <c r="T54" s="260">
        <f>$D$39+$Y$39+$Z$39</f>
        <v>5608.18138455391</v>
      </c>
      <c r="U54" s="261">
        <f>(T54*1.54*8.34)/45000</f>
        <v>1.6006497429034798</v>
      </c>
    </row>
    <row r="55" spans="1:25" ht="24" thickTop="1" x14ac:dyDescent="0.25">
      <c r="A55" s="591"/>
      <c r="B55" s="59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3"/>
      <c r="B56" s="5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9"/>
      <c r="B57" s="59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90"/>
      <c r="B58" s="59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9"/>
      <c r="B59" s="59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90"/>
      <c r="B60" s="59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cc0YZFVwAl9tTz+oLJ95ELN+GMPiD/uQI3bWeWKIfaHOnxPt0VE6PofsX+5VvuB2ydHl8fHs/yJ8VRsgvYAPPg==" saltValue="a0i+we0O9WfZ1XbcshMcdg==" spinCount="100000" sheet="1" objects="1" scenarios="1" selectLockedCells="1" selectUnlockedCells="1"/>
  <mergeCells count="34">
    <mergeCell ref="A57:B58"/>
    <mergeCell ref="A59:B60"/>
    <mergeCell ref="A55:B55"/>
    <mergeCell ref="A56:B56"/>
    <mergeCell ref="AB4:AB5"/>
    <mergeCell ref="A53:E53"/>
    <mergeCell ref="A54:E54"/>
    <mergeCell ref="R54:S54"/>
    <mergeCell ref="U4:AA5"/>
    <mergeCell ref="AC4:AC5"/>
    <mergeCell ref="J43:K43"/>
    <mergeCell ref="J46:K46"/>
    <mergeCell ref="A42:K42"/>
    <mergeCell ref="AN4:AN5"/>
    <mergeCell ref="R43:U43"/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opLeftCell="AH1" zoomScale="60" zoomScaleNormal="60" workbookViewId="0">
      <selection activeCell="AH39" sqref="AH39:AQ39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8.71093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</row>
    <row r="6" spans="1:47" ht="15.75" customHeight="1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customHeight="1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41699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306.17395219802853</v>
      </c>
      <c r="J8" s="50">
        <v>688.74454456965304</v>
      </c>
      <c r="K8" s="50">
        <v>28.479464608430732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321.07</v>
      </c>
      <c r="V8" s="54">
        <v>0</v>
      </c>
      <c r="W8" s="54">
        <v>31.13</v>
      </c>
      <c r="X8" s="54">
        <v>0</v>
      </c>
      <c r="Y8" s="54">
        <v>194.73</v>
      </c>
      <c r="Z8" s="54">
        <v>0</v>
      </c>
      <c r="AA8" s="55">
        <v>0</v>
      </c>
      <c r="AB8" s="56">
        <v>33.821918071640809</v>
      </c>
      <c r="AC8" s="57">
        <v>0</v>
      </c>
      <c r="AD8" s="57">
        <v>12.370401583115267</v>
      </c>
      <c r="AE8" s="58">
        <v>12.23</v>
      </c>
      <c r="AF8" s="58">
        <v>0</v>
      </c>
      <c r="AG8" s="58">
        <v>1</v>
      </c>
      <c r="AH8" s="57">
        <v>282.41972345511113</v>
      </c>
      <c r="AI8" s="57">
        <v>537.60747577349343</v>
      </c>
      <c r="AJ8" s="57">
        <v>1044.7742280960083</v>
      </c>
      <c r="AK8" s="57">
        <v>656.48488664627064</v>
      </c>
      <c r="AL8" s="57">
        <v>1938.3769557317103</v>
      </c>
      <c r="AM8" s="57">
        <v>2192.8142789204912</v>
      </c>
      <c r="AN8" s="57">
        <v>690.8523854255676</v>
      </c>
      <c r="AO8" s="57">
        <v>1917.4617787679038</v>
      </c>
      <c r="AP8" s="57">
        <v>402.30965495109558</v>
      </c>
      <c r="AQ8" s="57">
        <v>797.18229827880873</v>
      </c>
    </row>
    <row r="9" spans="1:47" x14ac:dyDescent="0.25">
      <c r="A9" s="11">
        <v>41700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306.98755388259855</v>
      </c>
      <c r="J9" s="60">
        <v>691.05902703603181</v>
      </c>
      <c r="K9" s="60">
        <v>28.408534526824916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317.89</v>
      </c>
      <c r="V9" s="62">
        <v>0</v>
      </c>
      <c r="W9" s="62">
        <v>30.77</v>
      </c>
      <c r="X9" s="62">
        <v>0</v>
      </c>
      <c r="Y9" s="66">
        <v>204.73</v>
      </c>
      <c r="Z9" s="66">
        <v>0</v>
      </c>
      <c r="AA9" s="67">
        <v>0</v>
      </c>
      <c r="AB9" s="68">
        <v>33.816659228006458</v>
      </c>
      <c r="AC9" s="69">
        <v>0</v>
      </c>
      <c r="AD9" s="69">
        <v>12.440464635358913</v>
      </c>
      <c r="AE9" s="68">
        <v>12.3</v>
      </c>
      <c r="AF9" s="68">
        <v>0</v>
      </c>
      <c r="AG9" s="68">
        <v>1</v>
      </c>
      <c r="AH9" s="69">
        <v>303.48472658793133</v>
      </c>
      <c r="AI9" s="69">
        <v>577.61562619209292</v>
      </c>
      <c r="AJ9" s="69">
        <v>1089.6970975875856</v>
      </c>
      <c r="AK9" s="69">
        <v>686.08777182896938</v>
      </c>
      <c r="AL9" s="69">
        <v>1974.2955661137898</v>
      </c>
      <c r="AM9" s="69">
        <v>2293.4734597524011</v>
      </c>
      <c r="AN9" s="69">
        <v>749.7290949503581</v>
      </c>
      <c r="AO9" s="69">
        <v>1882.6854838053384</v>
      </c>
      <c r="AP9" s="69">
        <v>311.20034251213076</v>
      </c>
      <c r="AQ9" s="69">
        <v>806.35112044016535</v>
      </c>
    </row>
    <row r="10" spans="1:47" x14ac:dyDescent="0.25">
      <c r="A10" s="11">
        <v>41701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318.22886198361766</v>
      </c>
      <c r="J10" s="60">
        <v>698.29890057245871</v>
      </c>
      <c r="K10" s="60">
        <v>28.779667045672635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323.76</v>
      </c>
      <c r="V10" s="62">
        <v>0</v>
      </c>
      <c r="W10" s="62">
        <v>31.69</v>
      </c>
      <c r="X10" s="62">
        <v>0</v>
      </c>
      <c r="Y10" s="66">
        <v>213.08</v>
      </c>
      <c r="Z10" s="66">
        <v>0</v>
      </c>
      <c r="AA10" s="67">
        <v>0</v>
      </c>
      <c r="AB10" s="68">
        <v>33.823081787427299</v>
      </c>
      <c r="AC10" s="69">
        <v>0</v>
      </c>
      <c r="AD10" s="69">
        <v>13.114493242568422</v>
      </c>
      <c r="AE10" s="68">
        <v>13</v>
      </c>
      <c r="AF10" s="68">
        <v>0</v>
      </c>
      <c r="AG10" s="68">
        <v>1</v>
      </c>
      <c r="AH10" s="69">
        <v>263.20994546413419</v>
      </c>
      <c r="AI10" s="69">
        <v>508.12826415697731</v>
      </c>
      <c r="AJ10" s="69">
        <v>1092.9730456034342</v>
      </c>
      <c r="AK10" s="69">
        <v>661.62394908269243</v>
      </c>
      <c r="AL10" s="69">
        <v>1795.0315472284954</v>
      </c>
      <c r="AM10" s="69">
        <v>2257.4256156921388</v>
      </c>
      <c r="AN10" s="69">
        <v>640.9404354413349</v>
      </c>
      <c r="AO10" s="69">
        <v>2004.7809576670329</v>
      </c>
      <c r="AP10" s="69">
        <v>140.28952763080596</v>
      </c>
      <c r="AQ10" s="69">
        <v>794.82059806187942</v>
      </c>
    </row>
    <row r="11" spans="1:47" x14ac:dyDescent="0.25">
      <c r="A11" s="11">
        <v>41702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318.84881000518834</v>
      </c>
      <c r="J11" s="60">
        <v>697.99267155329301</v>
      </c>
      <c r="K11" s="60">
        <v>28.810481423139549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327.22000000000003</v>
      </c>
      <c r="V11" s="62">
        <v>0</v>
      </c>
      <c r="W11" s="62">
        <v>32.119999999999997</v>
      </c>
      <c r="X11" s="62">
        <v>0</v>
      </c>
      <c r="Y11" s="66">
        <v>200.56</v>
      </c>
      <c r="Z11" s="66">
        <v>0</v>
      </c>
      <c r="AA11" s="67">
        <v>0</v>
      </c>
      <c r="AB11" s="68">
        <v>33.77709677219363</v>
      </c>
      <c r="AC11" s="69">
        <v>0</v>
      </c>
      <c r="AD11" s="69">
        <v>13.114886436197482</v>
      </c>
      <c r="AE11" s="68">
        <v>13</v>
      </c>
      <c r="AF11" s="68">
        <v>0</v>
      </c>
      <c r="AG11" s="68">
        <v>1</v>
      </c>
      <c r="AH11" s="69">
        <v>248.88741620381671</v>
      </c>
      <c r="AI11" s="69">
        <v>484.16696859995523</v>
      </c>
      <c r="AJ11" s="69">
        <v>1057.2841310501096</v>
      </c>
      <c r="AK11" s="69">
        <v>666.57375367482484</v>
      </c>
      <c r="AL11" s="69">
        <v>1736.9116369883216</v>
      </c>
      <c r="AM11" s="69">
        <v>2080.4546738942468</v>
      </c>
      <c r="AN11" s="69">
        <v>597.89626668294272</v>
      </c>
      <c r="AO11" s="69">
        <v>2045.7394367218017</v>
      </c>
      <c r="AP11" s="69">
        <v>120.65939212640126</v>
      </c>
      <c r="AQ11" s="69">
        <v>830.88229990005493</v>
      </c>
    </row>
    <row r="12" spans="1:47" x14ac:dyDescent="0.25">
      <c r="A12" s="11">
        <v>41703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311.50119875272134</v>
      </c>
      <c r="J12" s="60">
        <v>681.48498252232991</v>
      </c>
      <c r="K12" s="60">
        <v>28.074342926343274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315.17</v>
      </c>
      <c r="V12" s="62">
        <v>0</v>
      </c>
      <c r="W12" s="62">
        <v>32.159999999999997</v>
      </c>
      <c r="X12" s="62">
        <v>0</v>
      </c>
      <c r="Y12" s="66">
        <v>195.16</v>
      </c>
      <c r="Z12" s="66">
        <v>0</v>
      </c>
      <c r="AA12" s="67">
        <v>0</v>
      </c>
      <c r="AB12" s="68">
        <v>33.825487142138982</v>
      </c>
      <c r="AC12" s="69">
        <v>0</v>
      </c>
      <c r="AD12" s="69">
        <v>12.812396828995821</v>
      </c>
      <c r="AE12" s="68">
        <v>12.69</v>
      </c>
      <c r="AF12" s="68">
        <v>0</v>
      </c>
      <c r="AG12" s="68">
        <v>1</v>
      </c>
      <c r="AH12" s="69">
        <v>252.45214661757151</v>
      </c>
      <c r="AI12" s="69">
        <v>485.15903256734214</v>
      </c>
      <c r="AJ12" s="69">
        <v>1061.7259328206378</v>
      </c>
      <c r="AK12" s="69">
        <v>678.53665596644089</v>
      </c>
      <c r="AL12" s="69">
        <v>1849.7958453496301</v>
      </c>
      <c r="AM12" s="69">
        <v>2102.4922002156572</v>
      </c>
      <c r="AN12" s="69">
        <v>607.26231104532883</v>
      </c>
      <c r="AO12" s="69">
        <v>1990.8959632873534</v>
      </c>
      <c r="AP12" s="69">
        <v>125.15285563468933</v>
      </c>
      <c r="AQ12" s="69">
        <v>810.57626806894939</v>
      </c>
    </row>
    <row r="13" spans="1:47" x14ac:dyDescent="0.25">
      <c r="A13" s="11">
        <v>41704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306.77648104031891</v>
      </c>
      <c r="J13" s="60">
        <v>671.56434427897238</v>
      </c>
      <c r="K13" s="60">
        <v>27.645763895908956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309.51</v>
      </c>
      <c r="V13" s="62">
        <v>0</v>
      </c>
      <c r="W13" s="62">
        <v>31.02</v>
      </c>
      <c r="X13" s="62">
        <v>0</v>
      </c>
      <c r="Y13" s="66">
        <v>194.37</v>
      </c>
      <c r="Z13" s="66">
        <v>0</v>
      </c>
      <c r="AA13" s="67">
        <v>0</v>
      </c>
      <c r="AB13" s="68">
        <v>33.774328512615355</v>
      </c>
      <c r="AC13" s="69">
        <v>0</v>
      </c>
      <c r="AD13" s="69">
        <v>12.617246575488</v>
      </c>
      <c r="AE13" s="68">
        <v>12.5</v>
      </c>
      <c r="AF13" s="68">
        <v>0</v>
      </c>
      <c r="AG13" s="68">
        <v>1</v>
      </c>
      <c r="AH13" s="69">
        <v>247.01418379147847</v>
      </c>
      <c r="AI13" s="69">
        <v>478.99676073392232</v>
      </c>
      <c r="AJ13" s="69">
        <v>1079.8554259618122</v>
      </c>
      <c r="AK13" s="69">
        <v>672.4488915125529</v>
      </c>
      <c r="AL13" s="69">
        <v>1814.0440345764162</v>
      </c>
      <c r="AM13" s="69">
        <v>2099.4272244771323</v>
      </c>
      <c r="AN13" s="69">
        <v>597.02441062927244</v>
      </c>
      <c r="AO13" s="69">
        <v>2001.1008103688557</v>
      </c>
      <c r="AP13" s="69">
        <v>107.79029668172203</v>
      </c>
      <c r="AQ13" s="69">
        <v>935.45850092569981</v>
      </c>
    </row>
    <row r="14" spans="1:47" x14ac:dyDescent="0.25">
      <c r="A14" s="11">
        <v>41705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315.30808809598267</v>
      </c>
      <c r="J14" s="60">
        <v>691.51468912760538</v>
      </c>
      <c r="K14" s="60">
        <v>28.465895396470987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309.36</v>
      </c>
      <c r="V14" s="62">
        <v>0</v>
      </c>
      <c r="W14" s="62">
        <v>30.73</v>
      </c>
      <c r="X14" s="62">
        <v>0</v>
      </c>
      <c r="Y14" s="66">
        <v>197.25</v>
      </c>
      <c r="Z14" s="66">
        <v>0</v>
      </c>
      <c r="AA14" s="67">
        <v>0</v>
      </c>
      <c r="AB14" s="68">
        <v>33.826959458986749</v>
      </c>
      <c r="AC14" s="69">
        <v>0</v>
      </c>
      <c r="AD14" s="69">
        <v>12.560526092184947</v>
      </c>
      <c r="AE14" s="68">
        <v>12.42</v>
      </c>
      <c r="AF14" s="68">
        <v>0</v>
      </c>
      <c r="AG14" s="68">
        <v>1</v>
      </c>
      <c r="AH14" s="69">
        <v>272.40270671049751</v>
      </c>
      <c r="AI14" s="69">
        <v>504.87960824966427</v>
      </c>
      <c r="AJ14" s="69">
        <v>1031.9007894515992</v>
      </c>
      <c r="AK14" s="69">
        <v>688.79320259094243</v>
      </c>
      <c r="AL14" s="69">
        <v>1838.7294460932412</v>
      </c>
      <c r="AM14" s="69">
        <v>2176.3686316172284</v>
      </c>
      <c r="AN14" s="69">
        <v>617.08125772476194</v>
      </c>
      <c r="AO14" s="69">
        <v>1989.8769145965575</v>
      </c>
      <c r="AP14" s="69">
        <v>133.20604178110756</v>
      </c>
      <c r="AQ14" s="69">
        <v>816.76044778823848</v>
      </c>
    </row>
    <row r="15" spans="1:47" x14ac:dyDescent="0.25">
      <c r="A15" s="11">
        <v>41706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287.37524050076809</v>
      </c>
      <c r="J15" s="60">
        <v>629.29968846639088</v>
      </c>
      <c r="K15" s="60">
        <v>26.445562332868572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272.02999999999997</v>
      </c>
      <c r="V15" s="62">
        <v>0</v>
      </c>
      <c r="W15" s="62">
        <v>27.42</v>
      </c>
      <c r="X15" s="62">
        <v>0</v>
      </c>
      <c r="Y15" s="66">
        <v>175.36</v>
      </c>
      <c r="Z15" s="66">
        <v>0</v>
      </c>
      <c r="AA15" s="67">
        <v>0</v>
      </c>
      <c r="AB15" s="68">
        <v>31.285297319623787</v>
      </c>
      <c r="AC15" s="69">
        <v>0</v>
      </c>
      <c r="AD15" s="69">
        <v>11.124036753177622</v>
      </c>
      <c r="AE15" s="68">
        <v>10.88</v>
      </c>
      <c r="AF15" s="68">
        <v>0</v>
      </c>
      <c r="AG15" s="68">
        <v>1</v>
      </c>
      <c r="AH15" s="69">
        <v>264.06117548147841</v>
      </c>
      <c r="AI15" s="69">
        <v>499.90190265973416</v>
      </c>
      <c r="AJ15" s="69">
        <v>1077.8190358479819</v>
      </c>
      <c r="AK15" s="69">
        <v>668.48995831807451</v>
      </c>
      <c r="AL15" s="69">
        <v>1795.9013046900432</v>
      </c>
      <c r="AM15" s="69">
        <v>2153.6827665964765</v>
      </c>
      <c r="AN15" s="69">
        <v>628.8516572316488</v>
      </c>
      <c r="AO15" s="69">
        <v>1945.5152776082357</v>
      </c>
      <c r="AP15" s="69">
        <v>133.70549159049989</v>
      </c>
      <c r="AQ15" s="69">
        <v>758.39193220138543</v>
      </c>
    </row>
    <row r="16" spans="1:47" x14ac:dyDescent="0.25">
      <c r="A16" s="11">
        <v>41707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285.96356423695846</v>
      </c>
      <c r="J16" s="60">
        <v>625.96395680109401</v>
      </c>
      <c r="K16" s="60">
        <v>26.387709196408675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288.54340754614901</v>
      </c>
      <c r="V16" s="62">
        <v>0</v>
      </c>
      <c r="W16" s="62">
        <v>28.274648837248449</v>
      </c>
      <c r="X16" s="62">
        <v>0</v>
      </c>
      <c r="Y16" s="66">
        <v>184.88147041797706</v>
      </c>
      <c r="Z16" s="66">
        <v>0</v>
      </c>
      <c r="AA16" s="67">
        <v>0</v>
      </c>
      <c r="AB16" s="68">
        <v>31.002797162532996</v>
      </c>
      <c r="AC16" s="69">
        <v>0</v>
      </c>
      <c r="AD16" s="69">
        <v>11.754964671532335</v>
      </c>
      <c r="AE16" s="68">
        <v>11.502270368781161</v>
      </c>
      <c r="AF16" s="68">
        <v>0</v>
      </c>
      <c r="AG16" s="68">
        <v>1</v>
      </c>
      <c r="AH16" s="69">
        <v>245.85067818164828</v>
      </c>
      <c r="AI16" s="69">
        <v>477.73468144734699</v>
      </c>
      <c r="AJ16" s="69">
        <v>1095.5192171096803</v>
      </c>
      <c r="AK16" s="69">
        <v>650.17370313008632</v>
      </c>
      <c r="AL16" s="69">
        <v>1787.5708010355629</v>
      </c>
      <c r="AM16" s="69">
        <v>2074.4107261657714</v>
      </c>
      <c r="AN16" s="69">
        <v>578.2186888376873</v>
      </c>
      <c r="AO16" s="69">
        <v>1919.3521151224775</v>
      </c>
      <c r="AP16" s="69">
        <v>103.30050819714864</v>
      </c>
      <c r="AQ16" s="69">
        <v>878.54424905776978</v>
      </c>
    </row>
    <row r="17" spans="1:43" x14ac:dyDescent="0.25">
      <c r="A17" s="11">
        <v>41708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282.62342499097178</v>
      </c>
      <c r="J17" s="50">
        <v>618.84723542531231</v>
      </c>
      <c r="K17" s="50">
        <v>25.920519767204976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285.4183309555072</v>
      </c>
      <c r="V17" s="66">
        <v>0</v>
      </c>
      <c r="W17" s="62">
        <v>28.008679393927252</v>
      </c>
      <c r="X17" s="62">
        <v>0</v>
      </c>
      <c r="Y17" s="66">
        <v>175.09130105972275</v>
      </c>
      <c r="Z17" s="66">
        <v>0</v>
      </c>
      <c r="AA17" s="67">
        <v>0</v>
      </c>
      <c r="AB17" s="68">
        <v>31.318178447087519</v>
      </c>
      <c r="AC17" s="69">
        <v>0</v>
      </c>
      <c r="AD17" s="69">
        <v>11.613161125779165</v>
      </c>
      <c r="AE17" s="68">
        <v>11.366398348146898</v>
      </c>
      <c r="AF17" s="68">
        <v>0</v>
      </c>
      <c r="AG17" s="68">
        <v>1</v>
      </c>
      <c r="AH17" s="69">
        <v>226.38023024400073</v>
      </c>
      <c r="AI17" s="69">
        <v>457.42853306134543</v>
      </c>
      <c r="AJ17" s="69">
        <v>1091.3490437825519</v>
      </c>
      <c r="AK17" s="69">
        <v>659.27861687342329</v>
      </c>
      <c r="AL17" s="69">
        <v>1797.0702573776246</v>
      </c>
      <c r="AM17" s="69">
        <v>2138.6563841501875</v>
      </c>
      <c r="AN17" s="69">
        <v>550.84376990000408</v>
      </c>
      <c r="AO17" s="69">
        <v>1961.8532496134439</v>
      </c>
      <c r="AP17" s="69">
        <v>82.671154888470966</v>
      </c>
      <c r="AQ17" s="69">
        <v>973.29625234603884</v>
      </c>
    </row>
    <row r="18" spans="1:43" x14ac:dyDescent="0.25">
      <c r="A18" s="11">
        <v>41709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273.29619663556406</v>
      </c>
      <c r="J18" s="60">
        <v>598.26983388264853</v>
      </c>
      <c r="K18" s="60">
        <v>24.468230930964189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273.72081031799343</v>
      </c>
      <c r="V18" s="62">
        <v>0</v>
      </c>
      <c r="W18" s="62">
        <v>28.234291859467788</v>
      </c>
      <c r="X18" s="62">
        <v>0</v>
      </c>
      <c r="Y18" s="66">
        <v>162.28610041936207</v>
      </c>
      <c r="Z18" s="66">
        <v>0</v>
      </c>
      <c r="AA18" s="67">
        <v>0</v>
      </c>
      <c r="AB18" s="68">
        <v>31.601328974299602</v>
      </c>
      <c r="AC18" s="69">
        <v>0</v>
      </c>
      <c r="AD18" s="69">
        <v>11.246251388390853</v>
      </c>
      <c r="AE18" s="68">
        <v>10.999171216877457</v>
      </c>
      <c r="AF18" s="68">
        <v>0</v>
      </c>
      <c r="AG18" s="68">
        <v>1</v>
      </c>
      <c r="AH18" s="69">
        <v>251.81498984495795</v>
      </c>
      <c r="AI18" s="69">
        <v>486.23771295547488</v>
      </c>
      <c r="AJ18" s="69">
        <v>1038.1194592158001</v>
      </c>
      <c r="AK18" s="69">
        <v>667.20280399322507</v>
      </c>
      <c r="AL18" s="69">
        <v>1852.7365805308023</v>
      </c>
      <c r="AM18" s="69">
        <v>2212.5121615091962</v>
      </c>
      <c r="AN18" s="69">
        <v>591.42200190226242</v>
      </c>
      <c r="AO18" s="69">
        <v>1984.0622781117756</v>
      </c>
      <c r="AP18" s="69">
        <v>133.20511968930563</v>
      </c>
      <c r="AQ18" s="69">
        <v>815.09366210301732</v>
      </c>
    </row>
    <row r="19" spans="1:43" x14ac:dyDescent="0.25">
      <c r="A19" s="11">
        <v>41710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273.74008835156746</v>
      </c>
      <c r="J19" s="60">
        <v>599.11267045338877</v>
      </c>
      <c r="K19" s="60">
        <v>24.805631132920634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284.25262393951516</v>
      </c>
      <c r="V19" s="62">
        <v>0</v>
      </c>
      <c r="W19" s="62">
        <v>27.192839229106898</v>
      </c>
      <c r="X19" s="62">
        <v>0</v>
      </c>
      <c r="Y19" s="66">
        <v>164.26384659608217</v>
      </c>
      <c r="Z19" s="66">
        <v>0</v>
      </c>
      <c r="AA19" s="67">
        <v>0</v>
      </c>
      <c r="AB19" s="68">
        <v>31.718348745504468</v>
      </c>
      <c r="AC19" s="69">
        <v>0</v>
      </c>
      <c r="AD19" s="69">
        <v>11.241349120934816</v>
      </c>
      <c r="AE19" s="68">
        <v>10.999193543972218</v>
      </c>
      <c r="AF19" s="68">
        <v>0</v>
      </c>
      <c r="AG19" s="68">
        <v>1</v>
      </c>
      <c r="AH19" s="69">
        <v>271.27467846075695</v>
      </c>
      <c r="AI19" s="69">
        <v>515.91693202654528</v>
      </c>
      <c r="AJ19" s="69">
        <v>1077.7882648468021</v>
      </c>
      <c r="AK19" s="69">
        <v>668.91537459691358</v>
      </c>
      <c r="AL19" s="69">
        <v>1905.8209704717001</v>
      </c>
      <c r="AM19" s="69">
        <v>2327.0578922271725</v>
      </c>
      <c r="AN19" s="69">
        <v>639.18841066360471</v>
      </c>
      <c r="AO19" s="69">
        <v>1970.3247194925943</v>
      </c>
      <c r="AP19" s="69">
        <v>224.69604907433197</v>
      </c>
      <c r="AQ19" s="69">
        <v>826.91266085306791</v>
      </c>
    </row>
    <row r="20" spans="1:43" x14ac:dyDescent="0.25">
      <c r="A20" s="11">
        <v>41711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280.59124619166045</v>
      </c>
      <c r="J20" s="60">
        <v>599.40610081354623</v>
      </c>
      <c r="K20" s="60">
        <v>24.796565274397608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274.32059775458123</v>
      </c>
      <c r="V20" s="62">
        <v>0</v>
      </c>
      <c r="W20" s="62">
        <v>27.481084406375889</v>
      </c>
      <c r="X20" s="62">
        <v>0</v>
      </c>
      <c r="Y20" s="66">
        <v>178.41272989114165</v>
      </c>
      <c r="Z20" s="66">
        <v>0</v>
      </c>
      <c r="AA20" s="67">
        <v>0</v>
      </c>
      <c r="AB20" s="68">
        <v>31.582665150695341</v>
      </c>
      <c r="AC20" s="69">
        <v>0</v>
      </c>
      <c r="AD20" s="69">
        <v>11.122712482677562</v>
      </c>
      <c r="AE20" s="68">
        <v>10.877847886196355</v>
      </c>
      <c r="AF20" s="68">
        <v>0</v>
      </c>
      <c r="AG20" s="68">
        <v>1</v>
      </c>
      <c r="AH20" s="69">
        <v>253.47902081807453</v>
      </c>
      <c r="AI20" s="69">
        <v>485.50326175689702</v>
      </c>
      <c r="AJ20" s="69">
        <v>1094.2653268178303</v>
      </c>
      <c r="AK20" s="69">
        <v>661.75849421819055</v>
      </c>
      <c r="AL20" s="69">
        <v>1809.5446533838906</v>
      </c>
      <c r="AM20" s="69">
        <v>2213.6212144215897</v>
      </c>
      <c r="AN20" s="69">
        <v>589.91282711029044</v>
      </c>
      <c r="AO20" s="69">
        <v>1990.997305170695</v>
      </c>
      <c r="AP20" s="69">
        <v>132.88895242611568</v>
      </c>
      <c r="AQ20" s="69">
        <v>821.21053584416723</v>
      </c>
    </row>
    <row r="21" spans="1:43" x14ac:dyDescent="0.25">
      <c r="A21" s="11">
        <v>41712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285.58148835500066</v>
      </c>
      <c r="J21" s="60">
        <v>609.28183673222793</v>
      </c>
      <c r="K21" s="60">
        <v>24.894025877118118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266.98</v>
      </c>
      <c r="V21" s="62">
        <v>0</v>
      </c>
      <c r="W21" s="62">
        <v>26.09</v>
      </c>
      <c r="X21" s="62">
        <v>0</v>
      </c>
      <c r="Y21" s="66">
        <v>175.98</v>
      </c>
      <c r="Z21" s="66">
        <v>0</v>
      </c>
      <c r="AA21" s="67">
        <v>0</v>
      </c>
      <c r="AB21" s="68">
        <v>31.861733290883336</v>
      </c>
      <c r="AC21" s="69">
        <v>0</v>
      </c>
      <c r="AD21" s="69">
        <v>10.889124321606433</v>
      </c>
      <c r="AE21" s="68">
        <v>10.73</v>
      </c>
      <c r="AF21" s="68">
        <v>0</v>
      </c>
      <c r="AG21" s="68">
        <v>1</v>
      </c>
      <c r="AH21" s="69">
        <v>241.05088930130003</v>
      </c>
      <c r="AI21" s="69">
        <v>473.7089241663615</v>
      </c>
      <c r="AJ21" s="69">
        <v>1081.5346753438312</v>
      </c>
      <c r="AK21" s="69">
        <v>663.28545815149926</v>
      </c>
      <c r="AL21" s="69">
        <v>1792.0316684087115</v>
      </c>
      <c r="AM21" s="69">
        <v>2242.7347845713293</v>
      </c>
      <c r="AN21" s="69">
        <v>573.40951140721643</v>
      </c>
      <c r="AO21" s="69">
        <v>1934.3359756469724</v>
      </c>
      <c r="AP21" s="69">
        <v>130.33661599556606</v>
      </c>
      <c r="AQ21" s="69">
        <v>804.36977637608857</v>
      </c>
    </row>
    <row r="22" spans="1:43" x14ac:dyDescent="0.25">
      <c r="A22" s="11">
        <v>41713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284.55133420626322</v>
      </c>
      <c r="J22" s="60">
        <v>607.22752612431793</v>
      </c>
      <c r="K22" s="60">
        <v>25.18297044932859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268.44</v>
      </c>
      <c r="V22" s="62">
        <v>0</v>
      </c>
      <c r="W22" s="62">
        <v>26.14</v>
      </c>
      <c r="X22" s="62">
        <v>0</v>
      </c>
      <c r="Y22" s="66">
        <v>176.95</v>
      </c>
      <c r="Z22" s="66">
        <v>0</v>
      </c>
      <c r="AA22" s="67">
        <v>0</v>
      </c>
      <c r="AB22" s="68">
        <v>31.863100470436137</v>
      </c>
      <c r="AC22" s="69">
        <v>0</v>
      </c>
      <c r="AD22" s="69">
        <v>10.983071140779399</v>
      </c>
      <c r="AE22" s="68">
        <v>10.85</v>
      </c>
      <c r="AF22" s="68">
        <v>0</v>
      </c>
      <c r="AG22" s="68">
        <v>1</v>
      </c>
      <c r="AH22" s="69">
        <v>254.65482084751127</v>
      </c>
      <c r="AI22" s="69">
        <v>486.93105435371393</v>
      </c>
      <c r="AJ22" s="69">
        <v>1056.0505051930745</v>
      </c>
      <c r="AK22" s="69">
        <v>673.1971435546875</v>
      </c>
      <c r="AL22" s="69">
        <v>1870.0774806976322</v>
      </c>
      <c r="AM22" s="69">
        <v>2217.489265441895</v>
      </c>
      <c r="AN22" s="69">
        <v>582.49803682963045</v>
      </c>
      <c r="AO22" s="69">
        <v>1915.4279623667401</v>
      </c>
      <c r="AP22" s="69">
        <v>160.55428950389228</v>
      </c>
      <c r="AQ22" s="69">
        <v>738.29816099802645</v>
      </c>
    </row>
    <row r="23" spans="1:43" x14ac:dyDescent="0.25">
      <c r="A23" s="11">
        <v>41714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277.98397668202699</v>
      </c>
      <c r="J23" s="60">
        <v>592.80154685974026</v>
      </c>
      <c r="K23" s="60">
        <v>24.741023639838033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263.31</v>
      </c>
      <c r="V23" s="62">
        <v>0</v>
      </c>
      <c r="W23" s="62">
        <v>26.41</v>
      </c>
      <c r="X23" s="62">
        <v>0</v>
      </c>
      <c r="Y23" s="66">
        <v>173.51</v>
      </c>
      <c r="Z23" s="66">
        <v>0</v>
      </c>
      <c r="AA23" s="67">
        <v>0</v>
      </c>
      <c r="AB23" s="68">
        <v>31.863096763027226</v>
      </c>
      <c r="AC23" s="69">
        <v>0</v>
      </c>
      <c r="AD23" s="69">
        <v>11.11903230150541</v>
      </c>
      <c r="AE23" s="68">
        <v>11</v>
      </c>
      <c r="AF23" s="68">
        <v>0</v>
      </c>
      <c r="AG23" s="68">
        <v>1</v>
      </c>
      <c r="AH23" s="69">
        <v>255.42599322001138</v>
      </c>
      <c r="AI23" s="69">
        <v>487.05680821736661</v>
      </c>
      <c r="AJ23" s="69">
        <v>1096.8841707865397</v>
      </c>
      <c r="AK23" s="69">
        <v>663.70997800827024</v>
      </c>
      <c r="AL23" s="69">
        <v>1835.9356260935465</v>
      </c>
      <c r="AM23" s="69">
        <v>2193.0768817901612</v>
      </c>
      <c r="AN23" s="69">
        <v>602.87208690643308</v>
      </c>
      <c r="AO23" s="69">
        <v>1968.7128822326661</v>
      </c>
      <c r="AP23" s="69">
        <v>144.2961948275566</v>
      </c>
      <c r="AQ23" s="69">
        <v>761.08383321762096</v>
      </c>
    </row>
    <row r="24" spans="1:43" x14ac:dyDescent="0.25">
      <c r="A24" s="11">
        <v>41715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337.671499737104</v>
      </c>
      <c r="J24" s="60">
        <v>592.91527938842614</v>
      </c>
      <c r="K24" s="60">
        <v>24.272248632709214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305.10000000000002</v>
      </c>
      <c r="V24" s="62">
        <v>0</v>
      </c>
      <c r="W24" s="62">
        <v>25.38</v>
      </c>
      <c r="X24" s="62">
        <v>0</v>
      </c>
      <c r="Y24" s="66">
        <v>173.25</v>
      </c>
      <c r="Z24" s="66">
        <v>0</v>
      </c>
      <c r="AA24" s="67">
        <v>0</v>
      </c>
      <c r="AB24" s="68">
        <v>31.864144463008582</v>
      </c>
      <c r="AC24" s="69">
        <v>0</v>
      </c>
      <c r="AD24" s="69">
        <v>11.116553729110297</v>
      </c>
      <c r="AE24" s="68">
        <v>11</v>
      </c>
      <c r="AF24" s="68">
        <v>0</v>
      </c>
      <c r="AG24" s="68">
        <v>1</v>
      </c>
      <c r="AH24" s="69">
        <v>233.40821132659914</v>
      </c>
      <c r="AI24" s="69">
        <v>456.38276669184376</v>
      </c>
      <c r="AJ24" s="69">
        <v>1088.1631391525268</v>
      </c>
      <c r="AK24" s="69">
        <v>658.85758186976125</v>
      </c>
      <c r="AL24" s="69">
        <v>1791.9441940307618</v>
      </c>
      <c r="AM24" s="69">
        <v>2229.3044957478842</v>
      </c>
      <c r="AN24" s="69">
        <v>559.94326022466032</v>
      </c>
      <c r="AO24" s="69">
        <v>1787.4041947682699</v>
      </c>
      <c r="AP24" s="69">
        <v>295.5685199817022</v>
      </c>
      <c r="AQ24" s="69">
        <v>862.95467004776015</v>
      </c>
    </row>
    <row r="25" spans="1:43" x14ac:dyDescent="0.25">
      <c r="A25" s="11">
        <v>41716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368.55803828239465</v>
      </c>
      <c r="J25" s="60">
        <v>592.90744590759289</v>
      </c>
      <c r="K25" s="60">
        <v>24.376859442393002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274.33999999999997</v>
      </c>
      <c r="V25" s="62">
        <v>0</v>
      </c>
      <c r="W25" s="62">
        <v>27.32</v>
      </c>
      <c r="X25" s="62">
        <v>0</v>
      </c>
      <c r="Y25" s="66">
        <v>188.37</v>
      </c>
      <c r="Z25" s="66">
        <v>0</v>
      </c>
      <c r="AA25" s="67">
        <v>0</v>
      </c>
      <c r="AB25" s="68">
        <v>31.861358005469985</v>
      </c>
      <c r="AC25" s="69">
        <v>0</v>
      </c>
      <c r="AD25" s="69">
        <v>11.120984388722313</v>
      </c>
      <c r="AE25" s="68">
        <v>11</v>
      </c>
      <c r="AF25" s="68">
        <v>0</v>
      </c>
      <c r="AG25" s="68">
        <v>1</v>
      </c>
      <c r="AH25" s="69">
        <v>268.30858197212223</v>
      </c>
      <c r="AI25" s="69">
        <v>489.99241766929623</v>
      </c>
      <c r="AJ25" s="69">
        <v>1062.1545581817627</v>
      </c>
      <c r="AK25" s="69">
        <v>676.24840917587278</v>
      </c>
      <c r="AL25" s="69">
        <v>1941.9727993647257</v>
      </c>
      <c r="AM25" s="69">
        <v>2295.4682886759442</v>
      </c>
      <c r="AN25" s="69">
        <v>605.78704150517785</v>
      </c>
      <c r="AO25" s="69">
        <v>1841.1382265726725</v>
      </c>
      <c r="AP25" s="69">
        <v>447.67931038538615</v>
      </c>
      <c r="AQ25" s="69">
        <v>790.20224332809448</v>
      </c>
    </row>
    <row r="26" spans="1:43" x14ac:dyDescent="0.25">
      <c r="A26" s="11">
        <v>41717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331.35263985395454</v>
      </c>
      <c r="J26" s="60">
        <v>572.13810612360612</v>
      </c>
      <c r="K26" s="60">
        <v>23.494815523425732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251.54</v>
      </c>
      <c r="V26" s="62">
        <v>0</v>
      </c>
      <c r="W26" s="62">
        <v>25.42</v>
      </c>
      <c r="X26" s="62">
        <v>0</v>
      </c>
      <c r="Y26" s="66">
        <v>176.41</v>
      </c>
      <c r="Z26" s="66">
        <v>0</v>
      </c>
      <c r="AA26" s="67">
        <v>0</v>
      </c>
      <c r="AB26" s="68">
        <v>31.861551234456449</v>
      </c>
      <c r="AC26" s="69">
        <v>0</v>
      </c>
      <c r="AD26" s="69">
        <v>10.72855026589502</v>
      </c>
      <c r="AE26" s="68">
        <v>10.62</v>
      </c>
      <c r="AF26" s="68">
        <v>0</v>
      </c>
      <c r="AG26" s="68">
        <v>1</v>
      </c>
      <c r="AH26" s="69">
        <v>262.15451346238461</v>
      </c>
      <c r="AI26" s="69">
        <v>537.87432158788044</v>
      </c>
      <c r="AJ26" s="69">
        <v>1099.6138639450071</v>
      </c>
      <c r="AK26" s="69">
        <v>663.24995416005447</v>
      </c>
      <c r="AL26" s="69">
        <v>1887.8911665598553</v>
      </c>
      <c r="AM26" s="69">
        <v>2353.5128828684483</v>
      </c>
      <c r="AN26" s="69">
        <v>621.15167446136479</v>
      </c>
      <c r="AO26" s="69">
        <v>1842.2297701517739</v>
      </c>
      <c r="AP26" s="69">
        <v>392.90642401377369</v>
      </c>
      <c r="AQ26" s="69">
        <v>843.06641934712729</v>
      </c>
    </row>
    <row r="27" spans="1:43" x14ac:dyDescent="0.25">
      <c r="A27" s="11">
        <v>41718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278.16063324610349</v>
      </c>
      <c r="J27" s="60">
        <v>591.42749500274613</v>
      </c>
      <c r="K27" s="60">
        <v>23.491298329830208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249.96</v>
      </c>
      <c r="V27" s="62">
        <v>0</v>
      </c>
      <c r="W27" s="62">
        <v>24.11</v>
      </c>
      <c r="X27" s="62">
        <v>0</v>
      </c>
      <c r="Y27" s="62">
        <v>163.51</v>
      </c>
      <c r="Z27" s="62">
        <v>0</v>
      </c>
      <c r="AA27" s="72">
        <v>0</v>
      </c>
      <c r="AB27" s="69">
        <v>31.86330489847337</v>
      </c>
      <c r="AC27" s="69">
        <v>0</v>
      </c>
      <c r="AD27" s="69">
        <v>10.324489350120251</v>
      </c>
      <c r="AE27" s="69">
        <v>10.199999999999999</v>
      </c>
      <c r="AF27" s="69">
        <v>0</v>
      </c>
      <c r="AG27" s="69">
        <v>1</v>
      </c>
      <c r="AH27" s="69">
        <v>239.43931761582692</v>
      </c>
      <c r="AI27" s="69">
        <v>445.20456682840995</v>
      </c>
      <c r="AJ27" s="69">
        <v>1094.2107653299965</v>
      </c>
      <c r="AK27" s="69">
        <v>652.0447432835897</v>
      </c>
      <c r="AL27" s="69">
        <v>1801.1305164337157</v>
      </c>
      <c r="AM27" s="69">
        <v>2253.1177917480463</v>
      </c>
      <c r="AN27" s="69">
        <v>584.10260327657068</v>
      </c>
      <c r="AO27" s="69">
        <v>2094.7110983530683</v>
      </c>
      <c r="AP27" s="69">
        <v>353.01330798466995</v>
      </c>
      <c r="AQ27" s="69">
        <v>888.11229715347292</v>
      </c>
    </row>
    <row r="28" spans="1:43" x14ac:dyDescent="0.25">
      <c r="A28" s="11">
        <v>41719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274.65787754058823</v>
      </c>
      <c r="J28" s="60">
        <v>609.50532439549681</v>
      </c>
      <c r="K28" s="60">
        <v>22.707854519287718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281.32</v>
      </c>
      <c r="V28" s="62">
        <v>0</v>
      </c>
      <c r="W28" s="62">
        <v>22.74</v>
      </c>
      <c r="X28" s="62">
        <v>0</v>
      </c>
      <c r="Y28" s="66">
        <v>166.17</v>
      </c>
      <c r="Z28" s="66">
        <v>0</v>
      </c>
      <c r="AA28" s="67">
        <v>0</v>
      </c>
      <c r="AB28" s="68">
        <v>31.865667808055271</v>
      </c>
      <c r="AC28" s="69">
        <v>0</v>
      </c>
      <c r="AD28" s="69">
        <v>9.852489183015301</v>
      </c>
      <c r="AE28" s="68">
        <v>9.7200000000000006</v>
      </c>
      <c r="AF28" s="68">
        <v>0</v>
      </c>
      <c r="AG28" s="68">
        <v>1</v>
      </c>
      <c r="AH28" s="69">
        <v>243.83373614947001</v>
      </c>
      <c r="AI28" s="69">
        <v>451.0855768362681</v>
      </c>
      <c r="AJ28" s="69">
        <v>1058.6113339742024</v>
      </c>
      <c r="AK28" s="69">
        <v>660.41845375696835</v>
      </c>
      <c r="AL28" s="69">
        <v>1804.9431671142574</v>
      </c>
      <c r="AM28" s="69">
        <v>2304.948444493612</v>
      </c>
      <c r="AN28" s="69">
        <v>596.60671507517509</v>
      </c>
      <c r="AO28" s="69">
        <v>1731.4962387084961</v>
      </c>
      <c r="AP28" s="69">
        <v>351.16692824363713</v>
      </c>
      <c r="AQ28" s="69">
        <v>776.45765800476079</v>
      </c>
    </row>
    <row r="29" spans="1:43" x14ac:dyDescent="0.25">
      <c r="A29" s="11">
        <v>41720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265.65010398228935</v>
      </c>
      <c r="J29" s="60">
        <v>593.38643735249752</v>
      </c>
      <c r="K29" s="60">
        <v>21.829921618103967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258.77999999999997</v>
      </c>
      <c r="V29" s="62">
        <v>0</v>
      </c>
      <c r="W29" s="62">
        <v>23.55</v>
      </c>
      <c r="X29" s="62">
        <v>0</v>
      </c>
      <c r="Y29" s="66">
        <v>172.19</v>
      </c>
      <c r="Z29" s="66">
        <v>0</v>
      </c>
      <c r="AA29" s="67">
        <v>0</v>
      </c>
      <c r="AB29" s="68">
        <v>31.863717242081258</v>
      </c>
      <c r="AC29" s="69">
        <v>0</v>
      </c>
      <c r="AD29" s="69">
        <v>10.112197719348798</v>
      </c>
      <c r="AE29" s="68">
        <v>10</v>
      </c>
      <c r="AF29" s="68">
        <v>0</v>
      </c>
      <c r="AG29" s="68">
        <v>1</v>
      </c>
      <c r="AH29" s="69">
        <v>266.76049687067666</v>
      </c>
      <c r="AI29" s="69">
        <v>474.53553752899182</v>
      </c>
      <c r="AJ29" s="69">
        <v>1055.7225306828816</v>
      </c>
      <c r="AK29" s="69">
        <v>676.87949523925772</v>
      </c>
      <c r="AL29" s="69">
        <v>1922.5468955357871</v>
      </c>
      <c r="AM29" s="69">
        <v>2331.6303738911947</v>
      </c>
      <c r="AN29" s="69">
        <v>631.86070928573599</v>
      </c>
      <c r="AO29" s="69">
        <v>1855.7464726765952</v>
      </c>
      <c r="AP29" s="69">
        <v>385.52580067316694</v>
      </c>
      <c r="AQ29" s="69">
        <v>730.98453823725379</v>
      </c>
    </row>
    <row r="30" spans="1:43" x14ac:dyDescent="0.25">
      <c r="A30" s="11">
        <v>41721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262.81900712648991</v>
      </c>
      <c r="J30" s="60">
        <v>593.32890647252452</v>
      </c>
      <c r="K30" s="60">
        <v>21.789336842298454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263.68</v>
      </c>
      <c r="V30" s="62">
        <v>0</v>
      </c>
      <c r="W30" s="62">
        <v>23.18</v>
      </c>
      <c r="X30" s="62">
        <v>0</v>
      </c>
      <c r="Y30" s="66">
        <v>172.54</v>
      </c>
      <c r="Z30" s="66">
        <v>0</v>
      </c>
      <c r="AA30" s="67">
        <v>0</v>
      </c>
      <c r="AB30" s="68">
        <v>31.862888691159569</v>
      </c>
      <c r="AC30" s="69">
        <v>0</v>
      </c>
      <c r="AD30" s="69">
        <v>10.122614624765189</v>
      </c>
      <c r="AE30" s="68">
        <v>10</v>
      </c>
      <c r="AF30" s="68">
        <v>0</v>
      </c>
      <c r="AG30" s="68">
        <v>1</v>
      </c>
      <c r="AH30" s="69">
        <v>263.76837097009025</v>
      </c>
      <c r="AI30" s="69">
        <v>480.22039470672615</v>
      </c>
      <c r="AJ30" s="69">
        <v>1093.929282824198</v>
      </c>
      <c r="AK30" s="69">
        <v>663.43795995712287</v>
      </c>
      <c r="AL30" s="69">
        <v>1869.4871111551922</v>
      </c>
      <c r="AM30" s="69">
        <v>2289.3886838277185</v>
      </c>
      <c r="AN30" s="69">
        <v>625.52397082646678</v>
      </c>
      <c r="AO30" s="69">
        <v>2029.3683751424155</v>
      </c>
      <c r="AP30" s="69">
        <v>377.79257257779443</v>
      </c>
      <c r="AQ30" s="69">
        <v>716.49877487818401</v>
      </c>
    </row>
    <row r="31" spans="1:43" x14ac:dyDescent="0.25">
      <c r="A31" s="11">
        <v>41722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271.33944293657919</v>
      </c>
      <c r="J31" s="60">
        <v>593.04198246002079</v>
      </c>
      <c r="K31" s="60">
        <v>21.815728072325346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267.81</v>
      </c>
      <c r="V31" s="62">
        <v>0</v>
      </c>
      <c r="W31" s="62">
        <v>23.62</v>
      </c>
      <c r="X31" s="62">
        <v>0</v>
      </c>
      <c r="Y31" s="66">
        <v>172.32</v>
      </c>
      <c r="Z31" s="66">
        <v>0</v>
      </c>
      <c r="AA31" s="67">
        <v>0</v>
      </c>
      <c r="AB31" s="68">
        <v>31.861673835912519</v>
      </c>
      <c r="AC31" s="69">
        <v>0</v>
      </c>
      <c r="AD31" s="69">
        <v>10.111091697216034</v>
      </c>
      <c r="AE31" s="68">
        <v>10</v>
      </c>
      <c r="AF31" s="68">
        <v>0</v>
      </c>
      <c r="AG31" s="68">
        <v>1</v>
      </c>
      <c r="AH31" s="69">
        <v>260.38498494625088</v>
      </c>
      <c r="AI31" s="69">
        <v>465.88362960815431</v>
      </c>
      <c r="AJ31" s="69">
        <v>1029.531471125285</v>
      </c>
      <c r="AK31" s="69">
        <v>663.0513659477233</v>
      </c>
      <c r="AL31" s="69">
        <v>1845.0455069859825</v>
      </c>
      <c r="AM31" s="69">
        <v>2377.0055249532061</v>
      </c>
      <c r="AN31" s="69">
        <v>609.63948485056562</v>
      </c>
      <c r="AO31" s="69">
        <v>1868.1079808553059</v>
      </c>
      <c r="AP31" s="69">
        <v>387.70089254379269</v>
      </c>
      <c r="AQ31" s="69">
        <v>805.86256930033369</v>
      </c>
    </row>
    <row r="32" spans="1:43" x14ac:dyDescent="0.25">
      <c r="A32" s="11">
        <v>41723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281.99097924232473</v>
      </c>
      <c r="J32" s="60">
        <v>593.2563097635898</v>
      </c>
      <c r="K32" s="60">
        <v>21.802187335491162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263.12</v>
      </c>
      <c r="V32" s="62">
        <v>0</v>
      </c>
      <c r="W32" s="62">
        <v>22.94</v>
      </c>
      <c r="X32" s="62">
        <v>0</v>
      </c>
      <c r="Y32" s="66">
        <v>167.67</v>
      </c>
      <c r="Z32" s="66">
        <v>0</v>
      </c>
      <c r="AA32" s="67">
        <v>0</v>
      </c>
      <c r="AB32" s="68">
        <v>31.861566166082167</v>
      </c>
      <c r="AC32" s="69">
        <v>0</v>
      </c>
      <c r="AD32" s="69">
        <v>9.8538412541150677</v>
      </c>
      <c r="AE32" s="68">
        <v>9.73</v>
      </c>
      <c r="AF32" s="68">
        <v>0</v>
      </c>
      <c r="AG32" s="68">
        <v>1</v>
      </c>
      <c r="AH32" s="69">
        <v>250.80319148699439</v>
      </c>
      <c r="AI32" s="69">
        <v>456.15410091082248</v>
      </c>
      <c r="AJ32" s="69">
        <v>1104.5989455540973</v>
      </c>
      <c r="AK32" s="69">
        <v>658.9222983360288</v>
      </c>
      <c r="AL32" s="69">
        <v>1675.1663607915241</v>
      </c>
      <c r="AM32" s="69">
        <v>2354.7107017517083</v>
      </c>
      <c r="AN32" s="69">
        <v>595.2749287287395</v>
      </c>
      <c r="AO32" s="69">
        <v>1785.6599674224851</v>
      </c>
      <c r="AP32" s="69">
        <v>373.52007671991981</v>
      </c>
      <c r="AQ32" s="69">
        <v>880.63292748133347</v>
      </c>
    </row>
    <row r="33" spans="1:43" x14ac:dyDescent="0.25">
      <c r="A33" s="11">
        <v>41724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294.74335800806648</v>
      </c>
      <c r="J33" s="60">
        <v>611.92673298517798</v>
      </c>
      <c r="K33" s="60">
        <v>22.829059600830085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270.05</v>
      </c>
      <c r="V33" s="62">
        <v>0</v>
      </c>
      <c r="W33" s="62">
        <v>22.64</v>
      </c>
      <c r="X33" s="62">
        <v>0</v>
      </c>
      <c r="Y33" s="66">
        <v>166.35</v>
      </c>
      <c r="Z33" s="66">
        <v>0</v>
      </c>
      <c r="AA33" s="67">
        <v>0</v>
      </c>
      <c r="AB33" s="68">
        <v>31.865103092458035</v>
      </c>
      <c r="AC33" s="69">
        <v>0</v>
      </c>
      <c r="AD33" s="69">
        <v>9.7782129304276513</v>
      </c>
      <c r="AE33" s="68">
        <v>9.64</v>
      </c>
      <c r="AF33" s="68">
        <v>0</v>
      </c>
      <c r="AG33" s="68">
        <v>1</v>
      </c>
      <c r="AH33" s="69">
        <v>231.99327626228333</v>
      </c>
      <c r="AI33" s="69">
        <v>437.15957398414605</v>
      </c>
      <c r="AJ33" s="69">
        <v>1076.0371997833251</v>
      </c>
      <c r="AK33" s="69">
        <v>651.8599661509196</v>
      </c>
      <c r="AL33" s="69">
        <v>1627.363726679484</v>
      </c>
      <c r="AM33" s="69">
        <v>2267.279858907064</v>
      </c>
      <c r="AN33" s="69">
        <v>567.31800009409596</v>
      </c>
      <c r="AO33" s="69">
        <v>1796.175637690226</v>
      </c>
      <c r="AP33" s="69">
        <v>338.3796995957693</v>
      </c>
      <c r="AQ33" s="69">
        <v>913.81292107899992</v>
      </c>
    </row>
    <row r="34" spans="1:43" x14ac:dyDescent="0.25">
      <c r="A34" s="11">
        <v>41725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288.82180250485732</v>
      </c>
      <c r="J34" s="60">
        <v>599.55253648757912</v>
      </c>
      <c r="K34" s="60">
        <v>22.340772312879597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262.99</v>
      </c>
      <c r="V34" s="62">
        <v>0</v>
      </c>
      <c r="W34" s="62">
        <v>22.41</v>
      </c>
      <c r="X34" s="62">
        <v>0</v>
      </c>
      <c r="Y34" s="66">
        <v>164.87</v>
      </c>
      <c r="Z34" s="66">
        <v>0</v>
      </c>
      <c r="AA34" s="67">
        <v>0</v>
      </c>
      <c r="AB34" s="68">
        <v>31.8676408926645</v>
      </c>
      <c r="AC34" s="69">
        <v>0</v>
      </c>
      <c r="AD34" s="69">
        <v>9.6775351521041717</v>
      </c>
      <c r="AE34" s="68">
        <v>9.4499999999999993</v>
      </c>
      <c r="AF34" s="68">
        <v>0</v>
      </c>
      <c r="AG34" s="68">
        <v>1</v>
      </c>
      <c r="AH34" s="69">
        <v>239.32406493822734</v>
      </c>
      <c r="AI34" s="69">
        <v>445.40807806650798</v>
      </c>
      <c r="AJ34" s="69">
        <v>1062.1629438400271</v>
      </c>
      <c r="AK34" s="69">
        <v>658.25380207697572</v>
      </c>
      <c r="AL34" s="69">
        <v>1690.8755302429199</v>
      </c>
      <c r="AM34" s="69">
        <v>2258.6114348093665</v>
      </c>
      <c r="AN34" s="69">
        <v>601.36943143208816</v>
      </c>
      <c r="AO34" s="69">
        <v>1928.8219832102457</v>
      </c>
      <c r="AP34" s="69">
        <v>340.68885033925369</v>
      </c>
      <c r="AQ34" s="69">
        <v>793.09988466898596</v>
      </c>
    </row>
    <row r="35" spans="1:43" x14ac:dyDescent="0.25">
      <c r="A35" s="11">
        <v>41726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284.01211468378705</v>
      </c>
      <c r="J35" s="60">
        <v>600.1923051834093</v>
      </c>
      <c r="K35" s="60">
        <v>22.316046934326526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281.93777542114327</v>
      </c>
      <c r="V35" s="62">
        <v>0</v>
      </c>
      <c r="W35" s="62">
        <v>23.556261702378585</v>
      </c>
      <c r="X35" s="62">
        <v>0</v>
      </c>
      <c r="Y35" s="66">
        <v>174.38721152146636</v>
      </c>
      <c r="Z35" s="66">
        <v>0</v>
      </c>
      <c r="AA35" s="67">
        <v>0</v>
      </c>
      <c r="AB35" s="68">
        <v>31.865894496440433</v>
      </c>
      <c r="AC35" s="69">
        <v>0</v>
      </c>
      <c r="AD35" s="69">
        <v>10.233894112375021</v>
      </c>
      <c r="AE35" s="68">
        <v>9.9996489697096074</v>
      </c>
      <c r="AF35" s="68">
        <v>0</v>
      </c>
      <c r="AG35" s="68">
        <v>1</v>
      </c>
      <c r="AH35" s="69">
        <v>249.89625246524812</v>
      </c>
      <c r="AI35" s="69">
        <v>457.59043889045711</v>
      </c>
      <c r="AJ35" s="69">
        <v>1092.0066205342612</v>
      </c>
      <c r="AK35" s="69">
        <v>662.24812618891406</v>
      </c>
      <c r="AL35" s="69">
        <v>1798.3156478246051</v>
      </c>
      <c r="AM35" s="69">
        <v>2270.4461091359458</v>
      </c>
      <c r="AN35" s="69">
        <v>618.86482197443638</v>
      </c>
      <c r="AO35" s="69">
        <v>1819.5161404927574</v>
      </c>
      <c r="AP35" s="69">
        <v>352.61502245267229</v>
      </c>
      <c r="AQ35" s="69">
        <v>754.10645217895512</v>
      </c>
    </row>
    <row r="36" spans="1:43" x14ac:dyDescent="0.25">
      <c r="A36" s="11">
        <v>41727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280.94186355272916</v>
      </c>
      <c r="J36" s="60">
        <v>613.90938809712657</v>
      </c>
      <c r="K36" s="60">
        <v>22.800128596027715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285.28436667124407</v>
      </c>
      <c r="V36" s="62">
        <v>0</v>
      </c>
      <c r="W36" s="62">
        <v>25.167723786830926</v>
      </c>
      <c r="X36" s="62">
        <v>0</v>
      </c>
      <c r="Y36" s="66">
        <v>178.45536893208808</v>
      </c>
      <c r="Z36" s="66">
        <v>0</v>
      </c>
      <c r="AA36" s="67">
        <v>0</v>
      </c>
      <c r="AB36" s="68">
        <v>31.86680110692944</v>
      </c>
      <c r="AC36" s="69">
        <v>0</v>
      </c>
      <c r="AD36" s="69">
        <v>10.47216469314364</v>
      </c>
      <c r="AE36" s="68">
        <v>10.232104023711434</v>
      </c>
      <c r="AF36" s="68">
        <v>0</v>
      </c>
      <c r="AG36" s="68">
        <v>1</v>
      </c>
      <c r="AH36" s="69">
        <v>238.0462113142014</v>
      </c>
      <c r="AI36" s="69">
        <v>444.99750889142359</v>
      </c>
      <c r="AJ36" s="69">
        <v>1087.0143533706666</v>
      </c>
      <c r="AK36" s="69">
        <v>655.18414071400957</v>
      </c>
      <c r="AL36" s="69">
        <v>1741.1282041549684</v>
      </c>
      <c r="AM36" s="69">
        <v>2193.4671686808265</v>
      </c>
      <c r="AN36" s="69">
        <v>578.10805559158314</v>
      </c>
      <c r="AO36" s="69">
        <v>1791.6347316741942</v>
      </c>
      <c r="AP36" s="69">
        <v>348.17739229202272</v>
      </c>
      <c r="AQ36" s="69">
        <v>824.74631296793621</v>
      </c>
    </row>
    <row r="37" spans="1:43" x14ac:dyDescent="0.25">
      <c r="A37" s="11">
        <v>41728</v>
      </c>
      <c r="B37" s="365"/>
      <c r="C37" s="80">
        <v>0</v>
      </c>
      <c r="D37" s="80">
        <v>0</v>
      </c>
      <c r="E37" s="80">
        <v>0</v>
      </c>
      <c r="F37" s="80">
        <v>0</v>
      </c>
      <c r="G37" s="80">
        <v>0</v>
      </c>
      <c r="H37" s="82">
        <v>0</v>
      </c>
      <c r="I37" s="79">
        <v>278.62464396158862</v>
      </c>
      <c r="J37" s="80">
        <v>629.67033809026123</v>
      </c>
      <c r="K37" s="80">
        <v>23.556724535425513</v>
      </c>
      <c r="L37" s="80">
        <v>0</v>
      </c>
      <c r="M37" s="80">
        <v>0</v>
      </c>
      <c r="N37" s="82">
        <v>0</v>
      </c>
      <c r="O37" s="79">
        <v>0</v>
      </c>
      <c r="P37" s="80">
        <v>0</v>
      </c>
      <c r="Q37" s="80">
        <v>0</v>
      </c>
      <c r="R37" s="367">
        <v>0</v>
      </c>
      <c r="S37" s="80">
        <v>0</v>
      </c>
      <c r="T37" s="368">
        <v>0</v>
      </c>
      <c r="U37" s="79">
        <v>299.80656500922532</v>
      </c>
      <c r="V37" s="80">
        <v>0</v>
      </c>
      <c r="W37" s="81">
        <v>26.442519581317931</v>
      </c>
      <c r="X37" s="81">
        <v>0</v>
      </c>
      <c r="Y37" s="80">
        <v>182.52948444684355</v>
      </c>
      <c r="Z37" s="80">
        <v>0</v>
      </c>
      <c r="AA37" s="82">
        <v>0</v>
      </c>
      <c r="AB37" s="371">
        <v>31.869432357947083</v>
      </c>
      <c r="AC37" s="85">
        <v>0</v>
      </c>
      <c r="AD37" s="85">
        <v>10.740504842996609</v>
      </c>
      <c r="AE37" s="371">
        <v>10.498347881909126</v>
      </c>
      <c r="AF37" s="371">
        <v>0</v>
      </c>
      <c r="AG37" s="371">
        <v>1</v>
      </c>
      <c r="AH37" s="85">
        <v>223.23741190433506</v>
      </c>
      <c r="AI37" s="85">
        <v>428.94167904853828</v>
      </c>
      <c r="AJ37" s="85">
        <v>1072.6468711853026</v>
      </c>
      <c r="AK37" s="85">
        <v>654.35053135554006</v>
      </c>
      <c r="AL37" s="85">
        <v>1597.3954278310141</v>
      </c>
      <c r="AM37" s="85">
        <v>2107.4199845631915</v>
      </c>
      <c r="AN37" s="85">
        <v>557.65760402679427</v>
      </c>
      <c r="AO37" s="85">
        <v>1736.2547209421796</v>
      </c>
      <c r="AP37" s="85">
        <v>321.94435046513877</v>
      </c>
      <c r="AQ37" s="85">
        <v>865.83942861557</v>
      </c>
    </row>
    <row r="38" spans="1:43" ht="15.75" thickBot="1" x14ac:dyDescent="0.3">
      <c r="A38" s="370">
        <v>41729</v>
      </c>
      <c r="B38" s="369"/>
      <c r="C38" s="80">
        <v>0</v>
      </c>
      <c r="D38" s="80">
        <v>0</v>
      </c>
      <c r="E38" s="80">
        <v>0</v>
      </c>
      <c r="F38" s="80">
        <v>0</v>
      </c>
      <c r="G38" s="80">
        <v>0</v>
      </c>
      <c r="H38" s="82">
        <v>0</v>
      </c>
      <c r="I38" s="79">
        <v>274.20285695393869</v>
      </c>
      <c r="J38" s="80">
        <v>643.4158855756134</v>
      </c>
      <c r="K38" s="80">
        <v>24.073138143618984</v>
      </c>
      <c r="L38" s="80">
        <v>0</v>
      </c>
      <c r="M38" s="80">
        <v>0</v>
      </c>
      <c r="N38" s="82">
        <v>0</v>
      </c>
      <c r="O38" s="79">
        <v>0</v>
      </c>
      <c r="P38" s="80">
        <v>0</v>
      </c>
      <c r="Q38" s="80">
        <v>0</v>
      </c>
      <c r="R38" s="367">
        <v>0</v>
      </c>
      <c r="S38" s="80">
        <v>0</v>
      </c>
      <c r="T38" s="82">
        <v>0</v>
      </c>
      <c r="U38" s="76">
        <v>284.29802135891282</v>
      </c>
      <c r="V38" s="74">
        <v>0</v>
      </c>
      <c r="W38" s="366">
        <v>27.45094369252525</v>
      </c>
      <c r="X38" s="366">
        <v>0</v>
      </c>
      <c r="Y38" s="74">
        <v>184.20357852776854</v>
      </c>
      <c r="Z38" s="74">
        <v>0</v>
      </c>
      <c r="AA38" s="75">
        <v>0</v>
      </c>
      <c r="AB38" s="83">
        <v>31.86817621787382</v>
      </c>
      <c r="AC38" s="372">
        <v>0</v>
      </c>
      <c r="AD38" s="372">
        <v>10.977287624941935</v>
      </c>
      <c r="AE38" s="83">
        <v>10.728870489202407</v>
      </c>
      <c r="AF38" s="83">
        <v>0</v>
      </c>
      <c r="AG38" s="83">
        <v>1</v>
      </c>
      <c r="AH38" s="372">
        <v>245.24103170235949</v>
      </c>
      <c r="AI38" s="372">
        <v>452.83562393188475</v>
      </c>
      <c r="AJ38" s="372">
        <v>1068.444389152527</v>
      </c>
      <c r="AK38" s="372">
        <v>661.91026620864875</v>
      </c>
      <c r="AL38" s="372">
        <v>1663.979359181722</v>
      </c>
      <c r="AM38" s="372">
        <v>2190.1183704376222</v>
      </c>
      <c r="AN38" s="372">
        <v>601.41766192118337</v>
      </c>
      <c r="AO38" s="372">
        <v>1837.7179944356283</v>
      </c>
      <c r="AP38" s="372">
        <v>336.72971337636307</v>
      </c>
      <c r="AQ38" s="372">
        <v>766.1203830718996</v>
      </c>
    </row>
    <row r="39" spans="1:43" ht="15.75" thickTop="1" x14ac:dyDescent="0.25">
      <c r="A39" s="46" t="s">
        <v>173</v>
      </c>
      <c r="B39" s="29">
        <f t="shared" ref="B39:AC39" si="0">SUM(B8:B37)</f>
        <v>0</v>
      </c>
      <c r="C39" s="30">
        <f t="shared" si="0"/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8814.8755107680918</v>
      </c>
      <c r="J39" s="30">
        <f t="shared" si="0"/>
        <v>18688.02814292907</v>
      </c>
      <c r="K39" s="30">
        <f t="shared" si="0"/>
        <v>745.72937071919443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8516.7144776153582</v>
      </c>
      <c r="V39" s="264">
        <f t="shared" si="0"/>
        <v>0</v>
      </c>
      <c r="W39" s="264">
        <f t="shared" si="0"/>
        <v>803.34804879665364</v>
      </c>
      <c r="X39" s="264">
        <f t="shared" si="0"/>
        <v>0</v>
      </c>
      <c r="Y39" s="264">
        <f t="shared" si="0"/>
        <v>5385.6375132846842</v>
      </c>
      <c r="Z39" s="264">
        <f t="shared" si="0"/>
        <v>0</v>
      </c>
      <c r="AA39" s="272">
        <f t="shared" si="0"/>
        <v>0</v>
      </c>
      <c r="AB39" s="275">
        <f t="shared" si="0"/>
        <v>966.86282158823838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>SUM(AH8:AH38)</f>
        <v>7850.46297861735</v>
      </c>
      <c r="AI39" s="275">
        <f>SUM(AI8:AI38)</f>
        <v>14871.239762099585</v>
      </c>
      <c r="AJ39" s="275">
        <f>SUM(AJ8:AJ38)</f>
        <v>33312.388618151352</v>
      </c>
      <c r="AK39" s="275">
        <f>SUM(AK8:AK38)</f>
        <v>20603.477736568446</v>
      </c>
      <c r="AL39" s="275">
        <f>SUM(AL8:AL38)</f>
        <v>56053.059988657638</v>
      </c>
      <c r="AM39" s="275">
        <f>SUM(AM8:AM38)</f>
        <v>69052.128275934869</v>
      </c>
      <c r="AN39" s="275">
        <f>SUM(AN8:AN38)</f>
        <v>18792.629115962984</v>
      </c>
      <c r="AO39" s="275">
        <f>SUM(AO8:AO38)</f>
        <v>59169.106643676758</v>
      </c>
      <c r="AP39" s="275">
        <f>SUM(AP8:AP38)</f>
        <v>7989.671349155904</v>
      </c>
      <c r="AQ39" s="275">
        <f>SUM(AQ8:AQ38)</f>
        <v>25381.730076821648</v>
      </c>
    </row>
    <row r="40" spans="1:43" ht="15.75" thickBot="1" x14ac:dyDescent="0.3">
      <c r="A40" s="47" t="s">
        <v>174</v>
      </c>
      <c r="B40" s="32">
        <f>Projection!$AA$30</f>
        <v>0.80583665399999982</v>
      </c>
      <c r="C40" s="33">
        <f>Projection!$AA$28</f>
        <v>1.0959093599999998</v>
      </c>
      <c r="D40" s="33">
        <f>Projection!$AA$31</f>
        <v>2.1834120000000001</v>
      </c>
      <c r="E40" s="33">
        <f>Projection!$AA$26</f>
        <v>4.3368000000000002</v>
      </c>
      <c r="F40" s="33">
        <f>Projection!$AA$23</f>
        <v>5.8379999999999994E-2</v>
      </c>
      <c r="G40" s="33">
        <f>Projection!$AA$24</f>
        <v>5.5119999999999995E-2</v>
      </c>
      <c r="H40" s="34">
        <f>Projection!$AA$29</f>
        <v>3.4361216999999997</v>
      </c>
      <c r="I40" s="32">
        <f>Projection!$AA$30</f>
        <v>0.80583665399999982</v>
      </c>
      <c r="J40" s="33">
        <f>Projection!$AA$28</f>
        <v>1.0959093599999998</v>
      </c>
      <c r="K40" s="33">
        <f>Projection!$AA$26</f>
        <v>4.3368000000000002</v>
      </c>
      <c r="L40" s="33">
        <f>Projection!$AA$25</f>
        <v>0</v>
      </c>
      <c r="M40" s="33">
        <f>Projection!$AA$23</f>
        <v>5.8379999999999994E-2</v>
      </c>
      <c r="N40" s="34">
        <f>Projection!$AA$23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67">
        <f>Projection!$AA$28</f>
        <v>1.0959093599999998</v>
      </c>
      <c r="T40" s="268">
        <f>Projection!$AA$28</f>
        <v>1.0959093599999998</v>
      </c>
      <c r="U40" s="266">
        <f>Projection!$AA$27</f>
        <v>0.21934999999999999</v>
      </c>
      <c r="V40" s="267">
        <f>Projection!$AA$27</f>
        <v>0.21934999999999999</v>
      </c>
      <c r="W40" s="267">
        <f>Projection!$AA$22</f>
        <v>1.1625000000000001</v>
      </c>
      <c r="X40" s="267">
        <f>Projection!$AA$22</f>
        <v>1.1625000000000001</v>
      </c>
      <c r="Y40" s="267">
        <f>Projection!$AA$31</f>
        <v>2.1834120000000001</v>
      </c>
      <c r="Z40" s="267">
        <f>Projection!$AA$31</f>
        <v>2.1834120000000001</v>
      </c>
      <c r="AA40" s="273">
        <v>0</v>
      </c>
      <c r="AB40" s="276">
        <f>Projection!$AA$27</f>
        <v>0.21934999999999999</v>
      </c>
      <c r="AC40" s="276">
        <f>Projection!$AA$30</f>
        <v>0.80583665399999982</v>
      </c>
      <c r="AD40" s="279">
        <f>SUM(AD8:AD37)</f>
        <v>334.36924264364774</v>
      </c>
      <c r="AE40" s="279">
        <f>SUM(AE8:AE37)</f>
        <v>329.43498223930419</v>
      </c>
      <c r="AF40" s="279">
        <f>SUM(AF8:AF37)</f>
        <v>0</v>
      </c>
      <c r="AG40" s="279">
        <f>IF(SUM(AE40:AF40)&gt;0,AE40/(AE40+AF40),"")</f>
        <v>1</v>
      </c>
      <c r="AH40" s="315">
        <v>6.9000000000000006E-2</v>
      </c>
      <c r="AI40" s="315">
        <f t="shared" ref="AI40:AQ40" si="1">$AH$40</f>
        <v>6.9000000000000006E-2</v>
      </c>
      <c r="AJ40" s="315">
        <f t="shared" si="1"/>
        <v>6.9000000000000006E-2</v>
      </c>
      <c r="AK40" s="315">
        <f t="shared" si="1"/>
        <v>6.9000000000000006E-2</v>
      </c>
      <c r="AL40" s="315">
        <f t="shared" si="1"/>
        <v>6.9000000000000006E-2</v>
      </c>
      <c r="AM40" s="315">
        <f t="shared" si="1"/>
        <v>6.9000000000000006E-2</v>
      </c>
      <c r="AN40" s="315">
        <f t="shared" si="1"/>
        <v>6.9000000000000006E-2</v>
      </c>
      <c r="AO40" s="315">
        <f t="shared" si="1"/>
        <v>6.9000000000000006E-2</v>
      </c>
      <c r="AP40" s="315">
        <f t="shared" si="1"/>
        <v>6.9000000000000006E-2</v>
      </c>
      <c r="AQ40" s="315">
        <f t="shared" si="1"/>
        <v>6.9000000000000006E-2</v>
      </c>
    </row>
    <row r="41" spans="1:43" ht="16.5" thickTop="1" thickBot="1" x14ac:dyDescent="0.3">
      <c r="A41" s="48" t="s">
        <v>26</v>
      </c>
      <c r="B41" s="35">
        <f t="shared" ref="B41:AC41" si="2">B40*B39</f>
        <v>0</v>
      </c>
      <c r="C41" s="36">
        <f t="shared" si="2"/>
        <v>0</v>
      </c>
      <c r="D41" s="36">
        <f t="shared" si="2"/>
        <v>0</v>
      </c>
      <c r="E41" s="36">
        <f t="shared" si="2"/>
        <v>0</v>
      </c>
      <c r="F41" s="36">
        <f t="shared" si="2"/>
        <v>0</v>
      </c>
      <c r="G41" s="36">
        <f t="shared" si="2"/>
        <v>0</v>
      </c>
      <c r="H41" s="37">
        <f t="shared" si="2"/>
        <v>0</v>
      </c>
      <c r="I41" s="35">
        <f t="shared" si="2"/>
        <v>7103.3497870238989</v>
      </c>
      <c r="J41" s="36">
        <f t="shared" si="2"/>
        <v>20480.384961779382</v>
      </c>
      <c r="K41" s="36">
        <f t="shared" si="2"/>
        <v>3234.0791349350025</v>
      </c>
      <c r="L41" s="36">
        <f t="shared" si="2"/>
        <v>0</v>
      </c>
      <c r="M41" s="36">
        <f t="shared" si="2"/>
        <v>0</v>
      </c>
      <c r="N41" s="37">
        <f t="shared" si="2"/>
        <v>0</v>
      </c>
      <c r="O41" s="269">
        <f t="shared" si="2"/>
        <v>0</v>
      </c>
      <c r="P41" s="270">
        <f t="shared" si="2"/>
        <v>0</v>
      </c>
      <c r="Q41" s="270">
        <f t="shared" si="2"/>
        <v>0</v>
      </c>
      <c r="R41" s="270">
        <f t="shared" si="2"/>
        <v>0</v>
      </c>
      <c r="S41" s="270">
        <f t="shared" si="2"/>
        <v>0</v>
      </c>
      <c r="T41" s="271">
        <f t="shared" si="2"/>
        <v>0</v>
      </c>
      <c r="U41" s="269">
        <f t="shared" si="2"/>
        <v>1868.1413206649288</v>
      </c>
      <c r="V41" s="270">
        <f t="shared" si="2"/>
        <v>0</v>
      </c>
      <c r="W41" s="270">
        <f t="shared" si="2"/>
        <v>933.89210672610989</v>
      </c>
      <c r="X41" s="270">
        <f t="shared" si="2"/>
        <v>0</v>
      </c>
      <c r="Y41" s="270">
        <f t="shared" si="2"/>
        <v>11759.06557415594</v>
      </c>
      <c r="Z41" s="270">
        <f t="shared" si="2"/>
        <v>0</v>
      </c>
      <c r="AA41" s="274">
        <f t="shared" si="2"/>
        <v>0</v>
      </c>
      <c r="AB41" s="277">
        <f t="shared" si="2"/>
        <v>212.08135991538009</v>
      </c>
      <c r="AC41" s="277">
        <f t="shared" si="2"/>
        <v>0</v>
      </c>
      <c r="AH41" s="280">
        <f t="shared" ref="AH41:AQ41" si="3">AH40*AH39</f>
        <v>541.68194552459715</v>
      </c>
      <c r="AI41" s="280">
        <f t="shared" si="3"/>
        <v>1026.1155435848714</v>
      </c>
      <c r="AJ41" s="280">
        <f t="shared" si="3"/>
        <v>2298.5548146524434</v>
      </c>
      <c r="AK41" s="280">
        <f t="shared" si="3"/>
        <v>1421.6399638232228</v>
      </c>
      <c r="AL41" s="280">
        <f t="shared" si="3"/>
        <v>3867.6611392173772</v>
      </c>
      <c r="AM41" s="280">
        <f t="shared" si="3"/>
        <v>4764.596851039506</v>
      </c>
      <c r="AN41" s="280">
        <f t="shared" si="3"/>
        <v>1296.6914090014459</v>
      </c>
      <c r="AO41" s="280">
        <f t="shared" si="3"/>
        <v>4082.6683584136968</v>
      </c>
      <c r="AP41" s="280">
        <f t="shared" si="3"/>
        <v>551.28732309175746</v>
      </c>
      <c r="AQ41" s="280">
        <f t="shared" si="3"/>
        <v>1751.339375300694</v>
      </c>
    </row>
    <row r="42" spans="1:43" ht="49.5" customHeight="1" thickTop="1" thickBot="1" x14ac:dyDescent="0.3">
      <c r="A42" s="564" t="s">
        <v>232</v>
      </c>
      <c r="B42" s="565"/>
      <c r="C42" s="565"/>
      <c r="D42" s="565"/>
      <c r="E42" s="565"/>
      <c r="F42" s="565"/>
      <c r="G42" s="565"/>
      <c r="H42" s="565"/>
      <c r="I42" s="565"/>
      <c r="J42" s="565"/>
      <c r="K42" s="54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997.77</v>
      </c>
      <c r="AI42" s="280" t="s">
        <v>199</v>
      </c>
      <c r="AJ42" s="280">
        <v>2975.13</v>
      </c>
      <c r="AK42" s="280">
        <v>987.09</v>
      </c>
      <c r="AL42" s="280">
        <v>1573.6</v>
      </c>
      <c r="AM42" s="280">
        <v>7363.8</v>
      </c>
      <c r="AN42" s="280">
        <v>1789.47</v>
      </c>
      <c r="AO42" s="280" t="s">
        <v>199</v>
      </c>
      <c r="AP42" s="280">
        <v>312.89999999999998</v>
      </c>
      <c r="AQ42" s="280">
        <v>611.79999999999995</v>
      </c>
    </row>
    <row r="43" spans="1:43" ht="38.25" customHeight="1" thickTop="1" thickBot="1" x14ac:dyDescent="0.3">
      <c r="A43" s="552" t="s">
        <v>49</v>
      </c>
      <c r="B43" s="548"/>
      <c r="C43" s="291"/>
      <c r="D43" s="548" t="s">
        <v>47</v>
      </c>
      <c r="E43" s="548"/>
      <c r="F43" s="291"/>
      <c r="G43" s="548" t="s">
        <v>48</v>
      </c>
      <c r="H43" s="548"/>
      <c r="I43" s="292"/>
      <c r="J43" s="548" t="s">
        <v>50</v>
      </c>
      <c r="K43" s="549"/>
      <c r="L43" s="44"/>
      <c r="M43" s="44"/>
      <c r="N43" s="44"/>
      <c r="O43" s="45"/>
      <c r="P43" s="45"/>
      <c r="Q43" s="45"/>
      <c r="R43" s="558" t="s">
        <v>168</v>
      </c>
      <c r="S43" s="559"/>
      <c r="T43" s="559"/>
      <c r="U43" s="560"/>
      <c r="AC43" s="45"/>
    </row>
    <row r="44" spans="1:43" ht="24.75" thickTop="1" thickBot="1" x14ac:dyDescent="0.3">
      <c r="A44" s="284" t="s">
        <v>135</v>
      </c>
      <c r="B44" s="285">
        <f>SUM(B41:AC41)</f>
        <v>45590.994245200643</v>
      </c>
      <c r="C44" s="12"/>
      <c r="D44" s="284" t="s">
        <v>135</v>
      </c>
      <c r="E44" s="285">
        <f>SUM(B41:H41)+P41+R41+T41+V41+X41+Z41</f>
        <v>0</v>
      </c>
      <c r="F44" s="12"/>
      <c r="G44" s="284" t="s">
        <v>135</v>
      </c>
      <c r="H44" s="285">
        <f>SUM(I41:N41)+O41+Q41+S41+U41+W41+Y41</f>
        <v>45378.912885285266</v>
      </c>
      <c r="I44" s="12"/>
      <c r="J44" s="284" t="s">
        <v>200</v>
      </c>
      <c r="K44" s="285">
        <v>84619.13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21602.23672364961</v>
      </c>
      <c r="C45" s="12"/>
      <c r="D45" s="286" t="s">
        <v>185</v>
      </c>
      <c r="E45" s="287">
        <f>AH41*(1-$AG$40)+AI41+AJ41*0.5+AL41+AM41*(1-$AG$40)+AN41*(1-$AG$40)+AO41*(1-$AG$40)+AP41*0.5+AQ41*0.5</f>
        <v>7194.3674393246965</v>
      </c>
      <c r="F45" s="24"/>
      <c r="G45" s="286" t="s">
        <v>185</v>
      </c>
      <c r="H45" s="287">
        <f>AH41*AG40+AJ41*0.5+AK41+AM41*AG40+AN41*AG40+AO41*AG40+AP41*0.5+AQ41*0.5</f>
        <v>14407.869284324915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803.34804879665364</v>
      </c>
      <c r="U45" s="258">
        <f>(T45*8.34*0.895)/27000</f>
        <v>0.22209003113455045</v>
      </c>
    </row>
    <row r="46" spans="1:43" ht="32.25" thickBot="1" x14ac:dyDescent="0.3">
      <c r="A46" s="288" t="s">
        <v>186</v>
      </c>
      <c r="B46" s="289">
        <f>SUM(AH42:AQ42)</f>
        <v>16611.559999999998</v>
      </c>
      <c r="C46" s="12"/>
      <c r="D46" s="288" t="s">
        <v>186</v>
      </c>
      <c r="E46" s="289">
        <f>AH42*(1-$AG$40)+AJ42*0.5+AL42+AM42*(1-$AG$40)+AN42*(1-$AG$40)+AP42*0.5+AQ42*0.5</f>
        <v>3523.5149999999999</v>
      </c>
      <c r="F46" s="23"/>
      <c r="G46" s="288" t="s">
        <v>186</v>
      </c>
      <c r="H46" s="289">
        <f>AH42*AG40+AJ42*0.5+AK42+AM42*AG40+AN42*AG40+AP42*0.5+AQ42*0.5</f>
        <v>13088.045</v>
      </c>
      <c r="I46" s="12"/>
      <c r="J46" s="550" t="s">
        <v>201</v>
      </c>
      <c r="K46" s="551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84619.13</v>
      </c>
      <c r="C47" s="12"/>
      <c r="D47" s="288" t="s">
        <v>189</v>
      </c>
      <c r="E47" s="289">
        <f>K44*0.5</f>
        <v>42309.565000000002</v>
      </c>
      <c r="F47" s="24"/>
      <c r="G47" s="288" t="s">
        <v>187</v>
      </c>
      <c r="H47" s="289">
        <f>K44*0.5</f>
        <v>42309.565000000002</v>
      </c>
      <c r="I47" s="12"/>
      <c r="J47" s="284" t="s">
        <v>200</v>
      </c>
      <c r="K47" s="285">
        <v>101936.49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0</v>
      </c>
      <c r="U47" s="258">
        <f>T47/40000</f>
        <v>0</v>
      </c>
    </row>
    <row r="48" spans="1:43" ht="24" thickBot="1" x14ac:dyDescent="0.3">
      <c r="A48" s="288" t="s">
        <v>188</v>
      </c>
      <c r="B48" s="289">
        <f>K47</f>
        <v>101936.49</v>
      </c>
      <c r="C48" s="12"/>
      <c r="D48" s="288" t="s">
        <v>188</v>
      </c>
      <c r="E48" s="289">
        <f>K47*0.5</f>
        <v>50968.245000000003</v>
      </c>
      <c r="F48" s="23"/>
      <c r="G48" s="288" t="s">
        <v>188</v>
      </c>
      <c r="H48" s="289">
        <f>K47*0.5</f>
        <v>50968.245000000003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334.36924264364774</v>
      </c>
      <c r="C49" s="12"/>
      <c r="D49" s="293" t="s">
        <v>197</v>
      </c>
      <c r="E49" s="294">
        <f>AF40</f>
        <v>0</v>
      </c>
      <c r="F49" s="23"/>
      <c r="G49" s="293" t="s">
        <v>198</v>
      </c>
      <c r="H49" s="294">
        <f>AE40</f>
        <v>329.43498223930419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745.72937071919443</v>
      </c>
      <c r="U49" s="258">
        <f>(T49*8.34*1.04)/45000</f>
        <v>0.14373685044155565</v>
      </c>
    </row>
    <row r="50" spans="1:25" ht="48" thickTop="1" thickBot="1" x14ac:dyDescent="0.3">
      <c r="A50" s="293" t="s">
        <v>192</v>
      </c>
      <c r="B50" s="295">
        <f>(SUM(B44:B48)/AD40)</f>
        <v>808.56842223668707</v>
      </c>
      <c r="C50" s="12"/>
      <c r="D50" s="293" t="s">
        <v>190</v>
      </c>
      <c r="E50" s="295" t="e">
        <f>SUM(E44:E48)/AF40</f>
        <v>#DIV/0!</v>
      </c>
      <c r="F50" s="23"/>
      <c r="G50" s="293" t="s">
        <v>191</v>
      </c>
      <c r="H50" s="295">
        <f>SUM(H44:H48)/AE40</f>
        <v>504.35638632000405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9483.5772992035963</v>
      </c>
      <c r="U50" s="258">
        <f>T50/2000/8</f>
        <v>0.59272358120022473</v>
      </c>
    </row>
    <row r="51" spans="1:25" ht="47.25" customHeight="1" thickTop="1" thickBot="1" x14ac:dyDescent="0.3">
      <c r="A51" s="283" t="s">
        <v>193</v>
      </c>
      <c r="B51" s="296">
        <f>B50/1000</f>
        <v>0.80856842223668712</v>
      </c>
      <c r="C51" s="12"/>
      <c r="D51" s="283" t="s">
        <v>194</v>
      </c>
      <c r="E51" s="296" t="e">
        <f>E50/1000</f>
        <v>#DIV/0!</v>
      </c>
      <c r="F51" s="12"/>
      <c r="G51" s="283" t="s">
        <v>195</v>
      </c>
      <c r="H51" s="296">
        <f>H50/1000</f>
        <v>0.50435638632000401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18688.02814292907</v>
      </c>
      <c r="U51" s="258">
        <f>(T51*8.34*1.4)/45000</f>
        <v>4.8489203688186624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0</v>
      </c>
      <c r="U52" s="258">
        <f>(T52*8.34*1.135)/45000</f>
        <v>0</v>
      </c>
    </row>
    <row r="53" spans="1:25" ht="48" customHeight="1" thickTop="1" thickBot="1" x14ac:dyDescent="0.3">
      <c r="A53" s="561" t="s">
        <v>51</v>
      </c>
      <c r="B53" s="562"/>
      <c r="C53" s="562"/>
      <c r="D53" s="562"/>
      <c r="E53" s="56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8814.8755107680918</v>
      </c>
      <c r="U53" s="258">
        <f>(T53*8.34*1.029*0.03)/3300</f>
        <v>0.68770934137127504</v>
      </c>
    </row>
    <row r="54" spans="1:25" ht="45.75" customHeight="1" thickBot="1" x14ac:dyDescent="0.3">
      <c r="A54" s="545" t="s">
        <v>202</v>
      </c>
      <c r="B54" s="546"/>
      <c r="C54" s="546"/>
      <c r="D54" s="546"/>
      <c r="E54" s="54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5" t="s">
        <v>158</v>
      </c>
      <c r="S54" s="556"/>
      <c r="T54" s="260">
        <f>$D$39+$Y$39+$Z$39</f>
        <v>5385.6375132846842</v>
      </c>
      <c r="U54" s="261">
        <f>(T54*1.54*8.34)/45000</f>
        <v>1.537132754791626</v>
      </c>
    </row>
    <row r="55" spans="1:25" ht="24" thickTop="1" x14ac:dyDescent="0.25">
      <c r="A55" s="591"/>
      <c r="B55" s="59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5.75" customHeight="1" x14ac:dyDescent="0.25">
      <c r="A56" s="593"/>
      <c r="B56" s="59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9"/>
      <c r="B57" s="59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90"/>
      <c r="B58" s="59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9"/>
      <c r="B59" s="59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90"/>
      <c r="B60" s="59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kNzkyRP3uAo+mt7b/gfxrihQpXuOZCGYvdh/MqssLMSKvnsnHx36OO4eoc3WtAuJ02gufJOUjLjV+c/s5EPQvw==" saltValue="B1N783k8+dAbWsOOM2oj+g==" spinCount="100000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3"/>
  <sheetViews>
    <sheetView topLeftCell="AH1" zoomScale="60" zoomScaleNormal="60" workbookViewId="0">
      <selection activeCell="AH39" sqref="AH39:AQ39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8.710937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425781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41730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274.72122788429277</v>
      </c>
      <c r="J8" s="50">
        <v>686.92647800445343</v>
      </c>
      <c r="K8" s="50">
        <v>25.679695502916978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276.49</v>
      </c>
      <c r="V8" s="54">
        <v>0</v>
      </c>
      <c r="W8" s="54">
        <v>26.29</v>
      </c>
      <c r="X8" s="54">
        <v>0</v>
      </c>
      <c r="Y8" s="54">
        <v>183.51</v>
      </c>
      <c r="Z8" s="54">
        <v>0</v>
      </c>
      <c r="AA8" s="55">
        <v>0</v>
      </c>
      <c r="AB8" s="56">
        <v>31.868098040421767</v>
      </c>
      <c r="AC8" s="57">
        <v>0</v>
      </c>
      <c r="AD8" s="57">
        <v>11.010021226604763</v>
      </c>
      <c r="AE8" s="58">
        <v>10.77</v>
      </c>
      <c r="AF8" s="58">
        <v>0</v>
      </c>
      <c r="AG8" s="58">
        <v>1</v>
      </c>
      <c r="AH8" s="57">
        <v>244.81924124558768</v>
      </c>
      <c r="AI8" s="57">
        <v>441.32703069051104</v>
      </c>
      <c r="AJ8" s="57">
        <v>1087.1066455841062</v>
      </c>
      <c r="AK8" s="57">
        <v>663.27926038106273</v>
      </c>
      <c r="AL8" s="57">
        <v>1717.223821894328</v>
      </c>
      <c r="AM8" s="57">
        <v>2290.7173042297363</v>
      </c>
      <c r="AN8" s="57">
        <v>620.13936058680213</v>
      </c>
      <c r="AO8" s="57">
        <v>1917.3633150736491</v>
      </c>
      <c r="AP8" s="57">
        <v>357.58929006258643</v>
      </c>
      <c r="AQ8" s="57">
        <v>770.36207065582266</v>
      </c>
    </row>
    <row r="9" spans="1:47" x14ac:dyDescent="0.25">
      <c r="A9" s="11">
        <v>41731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286.31662357648219</v>
      </c>
      <c r="J9" s="60">
        <v>719.07689040501873</v>
      </c>
      <c r="K9" s="60">
        <v>26.809612403313398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298.39</v>
      </c>
      <c r="V9" s="62">
        <v>0</v>
      </c>
      <c r="W9" s="62">
        <v>29.11</v>
      </c>
      <c r="X9" s="62">
        <v>0</v>
      </c>
      <c r="Y9" s="66">
        <v>197.13</v>
      </c>
      <c r="Z9" s="66">
        <v>0</v>
      </c>
      <c r="AA9" s="67">
        <v>0</v>
      </c>
      <c r="AB9" s="68">
        <v>31.865675302345856</v>
      </c>
      <c r="AC9" s="69">
        <v>0</v>
      </c>
      <c r="AD9" s="69">
        <v>11.835596639580187</v>
      </c>
      <c r="AE9" s="68">
        <v>11.7</v>
      </c>
      <c r="AF9" s="68">
        <v>0</v>
      </c>
      <c r="AG9" s="68">
        <v>1</v>
      </c>
      <c r="AH9" s="69">
        <v>249.80137612024944</v>
      </c>
      <c r="AI9" s="69">
        <v>442.09791982968648</v>
      </c>
      <c r="AJ9" s="69">
        <v>1038.1050593058269</v>
      </c>
      <c r="AK9" s="69">
        <v>669.00719219843552</v>
      </c>
      <c r="AL9" s="69">
        <v>1784.4230979919435</v>
      </c>
      <c r="AM9" s="69">
        <v>2349.7892656962081</v>
      </c>
      <c r="AN9" s="69">
        <v>610.22737503051758</v>
      </c>
      <c r="AO9" s="69">
        <v>2006.8355478922524</v>
      </c>
      <c r="AP9" s="69">
        <v>364.07791175842283</v>
      </c>
      <c r="AQ9" s="69">
        <v>756.25683091481517</v>
      </c>
    </row>
    <row r="10" spans="1:47" x14ac:dyDescent="0.25">
      <c r="A10" s="11">
        <v>41732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306.12567210197449</v>
      </c>
      <c r="J10" s="60">
        <v>758.91603043873965</v>
      </c>
      <c r="K10" s="60">
        <v>27.934703133503543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312.22000000000003</v>
      </c>
      <c r="V10" s="62">
        <v>0</v>
      </c>
      <c r="W10" s="62">
        <v>30.33</v>
      </c>
      <c r="X10" s="62">
        <v>0</v>
      </c>
      <c r="Y10" s="66">
        <v>206.97</v>
      </c>
      <c r="Z10" s="66">
        <v>0</v>
      </c>
      <c r="AA10" s="67">
        <v>0</v>
      </c>
      <c r="AB10" s="68">
        <v>31.864538342422168</v>
      </c>
      <c r="AC10" s="69">
        <v>0</v>
      </c>
      <c r="AD10" s="69">
        <v>12.379538361893772</v>
      </c>
      <c r="AE10" s="68">
        <v>12.23</v>
      </c>
      <c r="AF10" s="68">
        <v>0</v>
      </c>
      <c r="AG10" s="68">
        <v>1</v>
      </c>
      <c r="AH10" s="69">
        <v>260.81909106572465</v>
      </c>
      <c r="AI10" s="69">
        <v>455.66253968874622</v>
      </c>
      <c r="AJ10" s="69">
        <v>1055.9622221628829</v>
      </c>
      <c r="AK10" s="69">
        <v>683.87305816014612</v>
      </c>
      <c r="AL10" s="69">
        <v>1847.3697705586751</v>
      </c>
      <c r="AM10" s="69">
        <v>2375.8246864318844</v>
      </c>
      <c r="AN10" s="69">
        <v>620.26125170389821</v>
      </c>
      <c r="AO10" s="69">
        <v>2079.6085784912107</v>
      </c>
      <c r="AP10" s="69">
        <v>382.28516063690176</v>
      </c>
      <c r="AQ10" s="69">
        <v>773.70829130808488</v>
      </c>
    </row>
    <row r="11" spans="1:47" x14ac:dyDescent="0.25">
      <c r="A11" s="11">
        <v>41733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302.81698964436856</v>
      </c>
      <c r="J11" s="60">
        <v>739.34772367477342</v>
      </c>
      <c r="K11" s="60">
        <v>27.546619683504076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311.37</v>
      </c>
      <c r="V11" s="62">
        <v>0</v>
      </c>
      <c r="W11" s="62">
        <v>30.22</v>
      </c>
      <c r="X11" s="62">
        <v>0</v>
      </c>
      <c r="Y11" s="66">
        <v>210.73</v>
      </c>
      <c r="Z11" s="66">
        <v>0</v>
      </c>
      <c r="AA11" s="67">
        <v>0</v>
      </c>
      <c r="AB11" s="68">
        <v>31.863832377062103</v>
      </c>
      <c r="AC11" s="69">
        <v>0</v>
      </c>
      <c r="AD11" s="69">
        <v>12.628173566526844</v>
      </c>
      <c r="AE11" s="68">
        <v>12.5</v>
      </c>
      <c r="AF11" s="68">
        <v>0</v>
      </c>
      <c r="AG11" s="68">
        <v>1</v>
      </c>
      <c r="AH11" s="69">
        <v>251.65435496171315</v>
      </c>
      <c r="AI11" s="69">
        <v>446.00970800717664</v>
      </c>
      <c r="AJ11" s="69">
        <v>1073.6715824762982</v>
      </c>
      <c r="AK11" s="69">
        <v>677.88454949061077</v>
      </c>
      <c r="AL11" s="69">
        <v>1758.568459510803</v>
      </c>
      <c r="AM11" s="69">
        <v>2340.1847702026371</v>
      </c>
      <c r="AN11" s="69">
        <v>614.43781296412169</v>
      </c>
      <c r="AO11" s="69">
        <v>2107.3065246582028</v>
      </c>
      <c r="AP11" s="69">
        <v>352.44720454216008</v>
      </c>
      <c r="AQ11" s="69">
        <v>766.54382947285956</v>
      </c>
    </row>
    <row r="12" spans="1:47" x14ac:dyDescent="0.25">
      <c r="A12" s="11">
        <v>41734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286.0350519657128</v>
      </c>
      <c r="J12" s="60">
        <v>699.04495639801235</v>
      </c>
      <c r="K12" s="60">
        <v>25.827881936232423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294.24</v>
      </c>
      <c r="V12" s="62">
        <v>0</v>
      </c>
      <c r="W12" s="62">
        <v>28.43</v>
      </c>
      <c r="X12" s="62">
        <v>0</v>
      </c>
      <c r="Y12" s="66">
        <v>199.3</v>
      </c>
      <c r="Z12" s="66">
        <v>0</v>
      </c>
      <c r="AA12" s="67">
        <v>0</v>
      </c>
      <c r="AB12" s="68">
        <v>31.863906684185995</v>
      </c>
      <c r="AC12" s="69">
        <v>0</v>
      </c>
      <c r="AD12" s="69">
        <v>11.934385310279017</v>
      </c>
      <c r="AE12" s="68">
        <v>11.8</v>
      </c>
      <c r="AF12" s="68">
        <v>0</v>
      </c>
      <c r="AG12" s="68">
        <v>1</v>
      </c>
      <c r="AH12" s="69">
        <v>245.64906184673308</v>
      </c>
      <c r="AI12" s="69">
        <v>437.87530299822487</v>
      </c>
      <c r="AJ12" s="69">
        <v>1063.2975760777795</v>
      </c>
      <c r="AK12" s="69">
        <v>670.41180267333971</v>
      </c>
      <c r="AL12" s="69">
        <v>1489.2516915639239</v>
      </c>
      <c r="AM12" s="69">
        <v>2225.1428970336915</v>
      </c>
      <c r="AN12" s="69">
        <v>601.4383101781209</v>
      </c>
      <c r="AO12" s="69">
        <v>2076.3063257853191</v>
      </c>
      <c r="AP12" s="69">
        <v>342.32672972679143</v>
      </c>
      <c r="AQ12" s="69">
        <v>700.58572498957312</v>
      </c>
    </row>
    <row r="13" spans="1:47" x14ac:dyDescent="0.25">
      <c r="A13" s="11">
        <v>41735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278.98823258082064</v>
      </c>
      <c r="J13" s="60">
        <v>680.70023555755756</v>
      </c>
      <c r="K13" s="60">
        <v>24.761373809973556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290.27999999999997</v>
      </c>
      <c r="V13" s="62">
        <v>0</v>
      </c>
      <c r="W13" s="62">
        <v>27.26</v>
      </c>
      <c r="X13" s="62">
        <v>0</v>
      </c>
      <c r="Y13" s="66">
        <v>193.89</v>
      </c>
      <c r="Z13" s="66">
        <v>0</v>
      </c>
      <c r="AA13" s="67">
        <v>0</v>
      </c>
      <c r="AB13" s="68">
        <v>31.866221516661835</v>
      </c>
      <c r="AC13" s="69">
        <v>0</v>
      </c>
      <c r="AD13" s="69">
        <v>11.626256836122938</v>
      </c>
      <c r="AE13" s="68">
        <v>11.5</v>
      </c>
      <c r="AF13" s="68">
        <v>0</v>
      </c>
      <c r="AG13" s="68">
        <v>1</v>
      </c>
      <c r="AH13" s="69">
        <v>244.21806037425992</v>
      </c>
      <c r="AI13" s="69">
        <v>438.29563770294186</v>
      </c>
      <c r="AJ13" s="69">
        <v>1068.8884845733642</v>
      </c>
      <c r="AK13" s="69">
        <v>673.48759819666543</v>
      </c>
      <c r="AL13" s="69">
        <v>1495.5891293207799</v>
      </c>
      <c r="AM13" s="69">
        <v>2211.4213083902991</v>
      </c>
      <c r="AN13" s="69">
        <v>617.50179732640584</v>
      </c>
      <c r="AO13" s="69">
        <v>2052.9713640848795</v>
      </c>
      <c r="AP13" s="69">
        <v>338.4858692963918</v>
      </c>
      <c r="AQ13" s="69">
        <v>705.90053253173835</v>
      </c>
    </row>
    <row r="14" spans="1:47" x14ac:dyDescent="0.25">
      <c r="A14" s="11">
        <v>41736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278.36447230974818</v>
      </c>
      <c r="J14" s="60">
        <v>679.63288602828993</v>
      </c>
      <c r="K14" s="60">
        <v>25.458558086554273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288.58999999999997</v>
      </c>
      <c r="V14" s="62">
        <v>0</v>
      </c>
      <c r="W14" s="62">
        <v>27.5</v>
      </c>
      <c r="X14" s="62">
        <v>0</v>
      </c>
      <c r="Y14" s="66">
        <v>193.82</v>
      </c>
      <c r="Z14" s="66">
        <v>0</v>
      </c>
      <c r="AA14" s="67">
        <v>0</v>
      </c>
      <c r="AB14" s="68">
        <v>31.867235910892095</v>
      </c>
      <c r="AC14" s="69">
        <v>0</v>
      </c>
      <c r="AD14" s="69">
        <v>11.622933886448541</v>
      </c>
      <c r="AE14" s="68">
        <v>11.5</v>
      </c>
      <c r="AF14" s="68">
        <v>0</v>
      </c>
      <c r="AG14" s="68">
        <v>1</v>
      </c>
      <c r="AH14" s="69">
        <v>253.14458134174347</v>
      </c>
      <c r="AI14" s="69">
        <v>447.46676932970672</v>
      </c>
      <c r="AJ14" s="69">
        <v>1053.4418207804363</v>
      </c>
      <c r="AK14" s="69">
        <v>679.43966913223255</v>
      </c>
      <c r="AL14" s="69">
        <v>1570.5256432215374</v>
      </c>
      <c r="AM14" s="69">
        <v>2282.865486399332</v>
      </c>
      <c r="AN14" s="69">
        <v>595.39768924713132</v>
      </c>
      <c r="AO14" s="69">
        <v>1913.4076198577879</v>
      </c>
      <c r="AP14" s="69">
        <v>363.26866056124368</v>
      </c>
      <c r="AQ14" s="69">
        <v>781.11911309560151</v>
      </c>
    </row>
    <row r="15" spans="1:47" x14ac:dyDescent="0.25">
      <c r="A15" s="11">
        <v>41737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298.89611347516376</v>
      </c>
      <c r="J15" s="60">
        <v>729.92995545069391</v>
      </c>
      <c r="K15" s="60">
        <v>27.062639752030407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289.89999999999998</v>
      </c>
      <c r="V15" s="62">
        <v>0</v>
      </c>
      <c r="W15" s="62">
        <v>26.56</v>
      </c>
      <c r="X15" s="62">
        <v>0</v>
      </c>
      <c r="Y15" s="66">
        <v>198.57</v>
      </c>
      <c r="Z15" s="66">
        <v>0</v>
      </c>
      <c r="AA15" s="67">
        <v>0</v>
      </c>
      <c r="AB15" s="68">
        <v>31.867733915646792</v>
      </c>
      <c r="AC15" s="69">
        <v>0</v>
      </c>
      <c r="AD15" s="69">
        <v>11.36770994663236</v>
      </c>
      <c r="AE15" s="68">
        <v>11.24</v>
      </c>
      <c r="AF15" s="68">
        <v>0</v>
      </c>
      <c r="AG15" s="68">
        <v>1</v>
      </c>
      <c r="AH15" s="69">
        <v>236.31676375865936</v>
      </c>
      <c r="AI15" s="69">
        <v>426.76444985071834</v>
      </c>
      <c r="AJ15" s="69">
        <v>1107.0187526067095</v>
      </c>
      <c r="AK15" s="69">
        <v>641.36276181538904</v>
      </c>
      <c r="AL15" s="69">
        <v>1448.8901682535807</v>
      </c>
      <c r="AM15" s="69">
        <v>2216.8105893452962</v>
      </c>
      <c r="AN15" s="69">
        <v>574.38976294199608</v>
      </c>
      <c r="AO15" s="69">
        <v>1831.9388830820719</v>
      </c>
      <c r="AP15" s="69">
        <v>336.13270519574485</v>
      </c>
      <c r="AQ15" s="69">
        <v>873.50232906341557</v>
      </c>
    </row>
    <row r="16" spans="1:47" x14ac:dyDescent="0.25">
      <c r="A16" s="11">
        <v>41738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260.56517616907774</v>
      </c>
      <c r="J16" s="60">
        <v>737.42237574259457</v>
      </c>
      <c r="K16" s="60">
        <v>27.550224103530226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304.55</v>
      </c>
      <c r="V16" s="62">
        <v>0</v>
      </c>
      <c r="W16" s="62">
        <v>27.58</v>
      </c>
      <c r="X16" s="62">
        <v>0</v>
      </c>
      <c r="Y16" s="66">
        <v>210.39</v>
      </c>
      <c r="Z16" s="66">
        <v>0</v>
      </c>
      <c r="AA16" s="67">
        <v>0</v>
      </c>
      <c r="AB16" s="68">
        <v>31.924083810382722</v>
      </c>
      <c r="AC16" s="69">
        <v>0</v>
      </c>
      <c r="AD16" s="69">
        <v>11.663812709516947</v>
      </c>
      <c r="AE16" s="68">
        <v>11.53</v>
      </c>
      <c r="AF16" s="68">
        <v>0</v>
      </c>
      <c r="AG16" s="68">
        <v>1</v>
      </c>
      <c r="AH16" s="69">
        <v>213.45620919068654</v>
      </c>
      <c r="AI16" s="69">
        <v>404.74070425033574</v>
      </c>
      <c r="AJ16" s="69">
        <v>1110.6350313822429</v>
      </c>
      <c r="AK16" s="69">
        <v>605.96432472864785</v>
      </c>
      <c r="AL16" s="69">
        <v>1366.1692537943522</v>
      </c>
      <c r="AM16" s="69">
        <v>2155.1720797220864</v>
      </c>
      <c r="AN16" s="69">
        <v>560.39833574295051</v>
      </c>
      <c r="AO16" s="69">
        <v>1817.5477546691895</v>
      </c>
      <c r="AP16" s="69">
        <v>460.72092320124307</v>
      </c>
      <c r="AQ16" s="69">
        <v>945.75598468780527</v>
      </c>
    </row>
    <row r="17" spans="1:43" x14ac:dyDescent="0.25">
      <c r="A17" s="11">
        <v>41739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283.95287245114662</v>
      </c>
      <c r="J17" s="50">
        <v>707.16468982696426</v>
      </c>
      <c r="K17" s="50">
        <v>26.32475338975588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310.88</v>
      </c>
      <c r="V17" s="66">
        <v>0</v>
      </c>
      <c r="W17" s="62">
        <v>28.9</v>
      </c>
      <c r="X17" s="62">
        <v>0</v>
      </c>
      <c r="Y17" s="66">
        <v>214.52</v>
      </c>
      <c r="Z17" s="66">
        <v>0</v>
      </c>
      <c r="AA17" s="67">
        <v>0</v>
      </c>
      <c r="AB17" s="68">
        <v>32.197359734111885</v>
      </c>
      <c r="AC17" s="69">
        <v>0</v>
      </c>
      <c r="AD17" s="69">
        <v>11.978974576128861</v>
      </c>
      <c r="AE17" s="68">
        <v>11.86</v>
      </c>
      <c r="AF17" s="68">
        <v>0</v>
      </c>
      <c r="AG17" s="68">
        <v>1</v>
      </c>
      <c r="AH17" s="69">
        <v>214.76668277581535</v>
      </c>
      <c r="AI17" s="69">
        <v>404.52893403371183</v>
      </c>
      <c r="AJ17" s="69">
        <v>1085.0483750661217</v>
      </c>
      <c r="AK17" s="69">
        <v>647.60841554005947</v>
      </c>
      <c r="AL17" s="69">
        <v>1428.5238260904946</v>
      </c>
      <c r="AM17" s="69">
        <v>2208.2124664306634</v>
      </c>
      <c r="AN17" s="69">
        <v>567.64344743092852</v>
      </c>
      <c r="AO17" s="69">
        <v>1731.8809982299804</v>
      </c>
      <c r="AP17" s="69">
        <v>665.08164483706162</v>
      </c>
      <c r="AQ17" s="69">
        <v>836.61752471923842</v>
      </c>
    </row>
    <row r="18" spans="1:43" x14ac:dyDescent="0.25">
      <c r="A18" s="11">
        <v>41740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291.51759621302295</v>
      </c>
      <c r="J18" s="60">
        <v>731.82755702336601</v>
      </c>
      <c r="K18" s="60">
        <v>27.407917998234332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322.26</v>
      </c>
      <c r="V18" s="62">
        <v>0</v>
      </c>
      <c r="W18" s="62">
        <v>29.23</v>
      </c>
      <c r="X18" s="62">
        <v>0</v>
      </c>
      <c r="Y18" s="66">
        <v>218.09</v>
      </c>
      <c r="Z18" s="66">
        <v>0</v>
      </c>
      <c r="AA18" s="67">
        <v>0</v>
      </c>
      <c r="AB18" s="68">
        <v>32.198667722278664</v>
      </c>
      <c r="AC18" s="69">
        <v>0</v>
      </c>
      <c r="AD18" s="69">
        <v>12.470687029096814</v>
      </c>
      <c r="AE18" s="68">
        <v>12.34</v>
      </c>
      <c r="AF18" s="68">
        <v>0</v>
      </c>
      <c r="AG18" s="68">
        <v>1</v>
      </c>
      <c r="AH18" s="69">
        <v>209.45142036279037</v>
      </c>
      <c r="AI18" s="69">
        <v>400.26068633397426</v>
      </c>
      <c r="AJ18" s="69">
        <v>1120.1446357727052</v>
      </c>
      <c r="AK18" s="69">
        <v>660.10309918721521</v>
      </c>
      <c r="AL18" s="69">
        <v>1402.8641435623167</v>
      </c>
      <c r="AM18" s="69">
        <v>2208.8418045043941</v>
      </c>
      <c r="AN18" s="69">
        <v>579.6083066622416</v>
      </c>
      <c r="AO18" s="69">
        <v>1878.3754160563151</v>
      </c>
      <c r="AP18" s="69">
        <v>689.95523200035086</v>
      </c>
      <c r="AQ18" s="69">
        <v>908.60352493921914</v>
      </c>
    </row>
    <row r="19" spans="1:43" x14ac:dyDescent="0.25">
      <c r="A19" s="11">
        <v>41741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295.39742422103899</v>
      </c>
      <c r="J19" s="60">
        <v>740.62473239898611</v>
      </c>
      <c r="K19" s="60">
        <v>27.826173816124516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320.82</v>
      </c>
      <c r="V19" s="62">
        <v>0</v>
      </c>
      <c r="W19" s="62">
        <v>29.32</v>
      </c>
      <c r="X19" s="62">
        <v>0</v>
      </c>
      <c r="Y19" s="66">
        <v>219.15</v>
      </c>
      <c r="Z19" s="66">
        <v>0</v>
      </c>
      <c r="AA19" s="67">
        <v>0</v>
      </c>
      <c r="AB19" s="68">
        <v>32.198515364859269</v>
      </c>
      <c r="AC19" s="69">
        <v>0</v>
      </c>
      <c r="AD19" s="69">
        <v>12.633953016996365</v>
      </c>
      <c r="AE19" s="68">
        <v>12.5</v>
      </c>
      <c r="AF19" s="68">
        <v>0</v>
      </c>
      <c r="AG19" s="68">
        <v>1</v>
      </c>
      <c r="AH19" s="69">
        <v>208.15990320046743</v>
      </c>
      <c r="AI19" s="69">
        <v>400.2545162200928</v>
      </c>
      <c r="AJ19" s="69">
        <v>1096.3122169494629</v>
      </c>
      <c r="AK19" s="69">
        <v>658.28738104502361</v>
      </c>
      <c r="AL19" s="69">
        <v>1338.6734985987348</v>
      </c>
      <c r="AM19" s="69">
        <v>2143.8434235890704</v>
      </c>
      <c r="AN19" s="69">
        <v>556.54649470647166</v>
      </c>
      <c r="AO19" s="69">
        <v>1929.9034196217856</v>
      </c>
      <c r="AP19" s="69">
        <v>739.06456993420932</v>
      </c>
      <c r="AQ19" s="69">
        <v>910.84737768173227</v>
      </c>
    </row>
    <row r="20" spans="1:43" x14ac:dyDescent="0.25">
      <c r="A20" s="11">
        <v>41742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284.95635517438291</v>
      </c>
      <c r="J20" s="60">
        <v>715.81576808293516</v>
      </c>
      <c r="K20" s="60">
        <v>26.711903917789506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305.20999999999998</v>
      </c>
      <c r="V20" s="62">
        <v>0</v>
      </c>
      <c r="W20" s="62">
        <v>28.29</v>
      </c>
      <c r="X20" s="62">
        <v>0</v>
      </c>
      <c r="Y20" s="66">
        <v>211.81</v>
      </c>
      <c r="Z20" s="66">
        <v>0</v>
      </c>
      <c r="AA20" s="67">
        <v>0</v>
      </c>
      <c r="AB20" s="68">
        <v>32.394437305132577</v>
      </c>
      <c r="AC20" s="69">
        <v>0</v>
      </c>
      <c r="AD20" s="69">
        <v>12.21695168217021</v>
      </c>
      <c r="AE20" s="68">
        <v>12.08</v>
      </c>
      <c r="AF20" s="68">
        <v>0</v>
      </c>
      <c r="AG20" s="68">
        <v>1</v>
      </c>
      <c r="AH20" s="69">
        <v>252.99735495249428</v>
      </c>
      <c r="AI20" s="69">
        <v>445.60339845021565</v>
      </c>
      <c r="AJ20" s="69">
        <v>1023.337231636047</v>
      </c>
      <c r="AK20" s="69">
        <v>676.44370387395224</v>
      </c>
      <c r="AL20" s="69">
        <v>1592.5448311487833</v>
      </c>
      <c r="AM20" s="69">
        <v>2267.8263724009194</v>
      </c>
      <c r="AN20" s="69">
        <v>612.21421340306586</v>
      </c>
      <c r="AO20" s="69">
        <v>1872.9371918996176</v>
      </c>
      <c r="AP20" s="69">
        <v>474.40115966796873</v>
      </c>
      <c r="AQ20" s="69">
        <v>738.84308951695743</v>
      </c>
    </row>
    <row r="21" spans="1:43" x14ac:dyDescent="0.25">
      <c r="A21" s="11">
        <v>41743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292.01396336555479</v>
      </c>
      <c r="J21" s="60">
        <v>732.61525758107427</v>
      </c>
      <c r="K21" s="60">
        <v>27.287631479899108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298.39999999999998</v>
      </c>
      <c r="V21" s="62">
        <v>0</v>
      </c>
      <c r="W21" s="62">
        <v>27.21</v>
      </c>
      <c r="X21" s="62">
        <v>0</v>
      </c>
      <c r="Y21" s="66">
        <v>205.26</v>
      </c>
      <c r="Z21" s="66">
        <v>0</v>
      </c>
      <c r="AA21" s="67">
        <v>0</v>
      </c>
      <c r="AB21" s="68">
        <v>32.514800996250592</v>
      </c>
      <c r="AC21" s="69">
        <v>0</v>
      </c>
      <c r="AD21" s="69">
        <v>11.882126553191069</v>
      </c>
      <c r="AE21" s="68">
        <v>11.69</v>
      </c>
      <c r="AF21" s="68">
        <v>0</v>
      </c>
      <c r="AG21" s="68">
        <v>1</v>
      </c>
      <c r="AH21" s="69">
        <v>274.03444395860043</v>
      </c>
      <c r="AI21" s="69">
        <v>475.3041212717693</v>
      </c>
      <c r="AJ21" s="69">
        <v>1069.8602745691935</v>
      </c>
      <c r="AK21" s="69">
        <v>668.66884597142553</v>
      </c>
      <c r="AL21" s="69">
        <v>1664.9086339314781</v>
      </c>
      <c r="AM21" s="69">
        <v>2406.415710957845</v>
      </c>
      <c r="AN21" s="69">
        <v>656.6081301053365</v>
      </c>
      <c r="AO21" s="69">
        <v>1926.0536014556883</v>
      </c>
      <c r="AP21" s="69">
        <v>383.75841752688086</v>
      </c>
      <c r="AQ21" s="69">
        <v>745.46185814539615</v>
      </c>
    </row>
    <row r="22" spans="1:43" x14ac:dyDescent="0.25">
      <c r="A22" s="11">
        <v>41744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286.79428731600427</v>
      </c>
      <c r="J22" s="60">
        <v>719.49278535842836</v>
      </c>
      <c r="K22" s="60">
        <v>27.014257452885374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303.74</v>
      </c>
      <c r="V22" s="62">
        <v>0</v>
      </c>
      <c r="W22" s="62">
        <v>27.39</v>
      </c>
      <c r="X22" s="62">
        <v>0</v>
      </c>
      <c r="Y22" s="66">
        <v>199.95</v>
      </c>
      <c r="Z22" s="66">
        <v>0</v>
      </c>
      <c r="AA22" s="67">
        <v>0</v>
      </c>
      <c r="AB22" s="68">
        <v>36.36691653198654</v>
      </c>
      <c r="AC22" s="69">
        <v>0</v>
      </c>
      <c r="AD22" s="69">
        <v>11.836720633837915</v>
      </c>
      <c r="AE22" s="68">
        <v>11.59</v>
      </c>
      <c r="AF22" s="68">
        <v>0</v>
      </c>
      <c r="AG22" s="68">
        <v>1</v>
      </c>
      <c r="AH22" s="69">
        <v>242.4367767175039</v>
      </c>
      <c r="AI22" s="69">
        <v>436.12746858596796</v>
      </c>
      <c r="AJ22" s="69">
        <v>1110.5578097661337</v>
      </c>
      <c r="AK22" s="69">
        <v>641.27882016499836</v>
      </c>
      <c r="AL22" s="69">
        <v>1467.3152491251628</v>
      </c>
      <c r="AM22" s="69">
        <v>2276.5729801177977</v>
      </c>
      <c r="AN22" s="69">
        <v>592.86803506215415</v>
      </c>
      <c r="AO22" s="69">
        <v>1953.0826894124348</v>
      </c>
      <c r="AP22" s="69">
        <v>334.62953476905824</v>
      </c>
      <c r="AQ22" s="69">
        <v>805.70033839543657</v>
      </c>
    </row>
    <row r="23" spans="1:43" x14ac:dyDescent="0.25">
      <c r="A23" s="11">
        <v>41745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286.9570317427316</v>
      </c>
      <c r="J23" s="60">
        <v>693.82476638158346</v>
      </c>
      <c r="K23" s="60">
        <v>27.102925044298185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305.73332302305431</v>
      </c>
      <c r="V23" s="62">
        <v>0</v>
      </c>
      <c r="W23" s="62">
        <v>27.235884233315748</v>
      </c>
      <c r="X23" s="62">
        <v>0</v>
      </c>
      <c r="Y23" s="66">
        <v>201.14076824982914</v>
      </c>
      <c r="Z23" s="66">
        <v>0</v>
      </c>
      <c r="AA23" s="67">
        <v>0</v>
      </c>
      <c r="AB23" s="68">
        <v>42.165681431028624</v>
      </c>
      <c r="AC23" s="69">
        <v>0</v>
      </c>
      <c r="AD23" s="69">
        <v>12.124752625491887</v>
      </c>
      <c r="AE23" s="68">
        <v>11.843212410639408</v>
      </c>
      <c r="AF23" s="68">
        <v>0</v>
      </c>
      <c r="AG23" s="68">
        <v>1</v>
      </c>
      <c r="AH23" s="69">
        <v>237.28404459158583</v>
      </c>
      <c r="AI23" s="69">
        <v>430.29895567893976</v>
      </c>
      <c r="AJ23" s="69">
        <v>1072.4481223424275</v>
      </c>
      <c r="AK23" s="69">
        <v>635.74426517486575</v>
      </c>
      <c r="AL23" s="69">
        <v>1507.1258768081668</v>
      </c>
      <c r="AM23" s="69">
        <v>2218.8160273234053</v>
      </c>
      <c r="AN23" s="69">
        <v>591.25741999944046</v>
      </c>
      <c r="AO23" s="69">
        <v>1992.6771302541097</v>
      </c>
      <c r="AP23" s="69">
        <v>335.26148082415267</v>
      </c>
      <c r="AQ23" s="69">
        <v>777.7497512181601</v>
      </c>
    </row>
    <row r="24" spans="1:43" x14ac:dyDescent="0.25">
      <c r="A24" s="11">
        <v>41746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286.90202852884926</v>
      </c>
      <c r="J24" s="60">
        <v>698.64275757471614</v>
      </c>
      <c r="K24" s="60">
        <v>27.104508908589683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309.44165729946513</v>
      </c>
      <c r="V24" s="62">
        <v>0</v>
      </c>
      <c r="W24" s="62">
        <v>27.38236964941029</v>
      </c>
      <c r="X24" s="62">
        <v>0</v>
      </c>
      <c r="Y24" s="66">
        <v>189.88563588460272</v>
      </c>
      <c r="Z24" s="66">
        <v>0</v>
      </c>
      <c r="AA24" s="67">
        <v>0</v>
      </c>
      <c r="AB24" s="68">
        <v>42.167059996392993</v>
      </c>
      <c r="AC24" s="69">
        <v>0</v>
      </c>
      <c r="AD24" s="69">
        <v>12.269076343377426</v>
      </c>
      <c r="AE24" s="68">
        <v>11.994992393277112</v>
      </c>
      <c r="AF24" s="68">
        <v>0</v>
      </c>
      <c r="AG24" s="68">
        <v>1</v>
      </c>
      <c r="AH24" s="69">
        <v>216.611438703537</v>
      </c>
      <c r="AI24" s="69">
        <v>408.87192991574619</v>
      </c>
      <c r="AJ24" s="69">
        <v>1110.2305956522621</v>
      </c>
      <c r="AK24" s="69">
        <v>637.31360979080193</v>
      </c>
      <c r="AL24" s="69">
        <v>1498.4080732981363</v>
      </c>
      <c r="AM24" s="69">
        <v>2213.344604619344</v>
      </c>
      <c r="AN24" s="69">
        <v>602.28009506861383</v>
      </c>
      <c r="AO24" s="69">
        <v>1974.1746766408287</v>
      </c>
      <c r="AP24" s="69">
        <v>325.90204623540239</v>
      </c>
      <c r="AQ24" s="69">
        <v>861.61172879536946</v>
      </c>
    </row>
    <row r="25" spans="1:43" x14ac:dyDescent="0.25">
      <c r="A25" s="11">
        <v>41747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297.55913265546167</v>
      </c>
      <c r="J25" s="60">
        <v>732.45756848653161</v>
      </c>
      <c r="K25" s="60">
        <v>27.135724677642202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320.86884928808985</v>
      </c>
      <c r="V25" s="62">
        <v>0</v>
      </c>
      <c r="W25" s="62">
        <v>28.221458796660091</v>
      </c>
      <c r="X25" s="62">
        <v>0</v>
      </c>
      <c r="Y25" s="66">
        <v>193.44817869663223</v>
      </c>
      <c r="Z25" s="66">
        <v>0</v>
      </c>
      <c r="AA25" s="67">
        <v>0</v>
      </c>
      <c r="AB25" s="68">
        <v>42.16932283772384</v>
      </c>
      <c r="AC25" s="69">
        <v>0</v>
      </c>
      <c r="AD25" s="69">
        <v>12.487702522675205</v>
      </c>
      <c r="AE25" s="68">
        <v>12.211267446483177</v>
      </c>
      <c r="AF25" s="68">
        <v>0</v>
      </c>
      <c r="AG25" s="68">
        <v>1</v>
      </c>
      <c r="AH25" s="69">
        <v>192.44705138206481</v>
      </c>
      <c r="AI25" s="69">
        <v>384.92537728945427</v>
      </c>
      <c r="AJ25" s="69">
        <v>1132.2965731938682</v>
      </c>
      <c r="AK25" s="69">
        <v>638.24360008239751</v>
      </c>
      <c r="AL25" s="69">
        <v>1436.5858862559</v>
      </c>
      <c r="AM25" s="69">
        <v>2137.1490240732828</v>
      </c>
      <c r="AN25" s="69">
        <v>577.02214444478341</v>
      </c>
      <c r="AO25" s="69">
        <v>1913.0691711425782</v>
      </c>
      <c r="AP25" s="69">
        <v>483.24419945081075</v>
      </c>
      <c r="AQ25" s="69">
        <v>917.4866282463073</v>
      </c>
    </row>
    <row r="26" spans="1:43" x14ac:dyDescent="0.25">
      <c r="A26" s="11">
        <v>41748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315.13344351450615</v>
      </c>
      <c r="J26" s="60">
        <v>759.31797345479254</v>
      </c>
      <c r="K26" s="60">
        <v>28.282567393779662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325.58723250495353</v>
      </c>
      <c r="V26" s="62">
        <v>0</v>
      </c>
      <c r="W26" s="62">
        <v>29.315741761525484</v>
      </c>
      <c r="X26" s="62">
        <v>0</v>
      </c>
      <c r="Y26" s="66">
        <v>200.59292260011051</v>
      </c>
      <c r="Z26" s="66">
        <v>0</v>
      </c>
      <c r="AA26" s="67">
        <v>0</v>
      </c>
      <c r="AB26" s="68">
        <v>42.169467658467127</v>
      </c>
      <c r="AC26" s="69">
        <v>0</v>
      </c>
      <c r="AD26" s="69">
        <v>12.956847299469851</v>
      </c>
      <c r="AE26" s="68">
        <v>12.665462662302032</v>
      </c>
      <c r="AF26" s="68">
        <v>0</v>
      </c>
      <c r="AG26" s="68">
        <v>1</v>
      </c>
      <c r="AH26" s="69">
        <v>188.01468656857807</v>
      </c>
      <c r="AI26" s="69">
        <v>378.64745548566185</v>
      </c>
      <c r="AJ26" s="69">
        <v>1106.913874499003</v>
      </c>
      <c r="AK26" s="69">
        <v>640.81339794794712</v>
      </c>
      <c r="AL26" s="69">
        <v>1412.3918748219808</v>
      </c>
      <c r="AM26" s="69">
        <v>2066.8457204182946</v>
      </c>
      <c r="AN26" s="69">
        <v>563.5664319038392</v>
      </c>
      <c r="AO26" s="69">
        <v>1977.988365427653</v>
      </c>
      <c r="AP26" s="69">
        <v>701.17518936793022</v>
      </c>
      <c r="AQ26" s="69">
        <v>781.16047010421755</v>
      </c>
    </row>
    <row r="27" spans="1:43" x14ac:dyDescent="0.25">
      <c r="A27" s="11">
        <v>41749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332.71896745363921</v>
      </c>
      <c r="J27" s="60">
        <v>801.43623339335124</v>
      </c>
      <c r="K27" s="60">
        <v>29.785657169421413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332.24</v>
      </c>
      <c r="V27" s="62">
        <v>0</v>
      </c>
      <c r="W27" s="62">
        <v>29.69</v>
      </c>
      <c r="X27" s="62">
        <v>0</v>
      </c>
      <c r="Y27" s="62">
        <v>204.82</v>
      </c>
      <c r="Z27" s="62">
        <v>0</v>
      </c>
      <c r="AA27" s="72">
        <v>0</v>
      </c>
      <c r="AB27" s="69">
        <v>42.168468250168807</v>
      </c>
      <c r="AC27" s="69">
        <v>0</v>
      </c>
      <c r="AD27" s="69">
        <v>13.227123169435384</v>
      </c>
      <c r="AE27" s="69">
        <v>13.01</v>
      </c>
      <c r="AF27" s="69">
        <v>0</v>
      </c>
      <c r="AG27" s="69">
        <v>1</v>
      </c>
      <c r="AH27" s="69">
        <v>190.90097486178081</v>
      </c>
      <c r="AI27" s="69">
        <v>380.56433768272382</v>
      </c>
      <c r="AJ27" s="69">
        <v>1136.6298402150471</v>
      </c>
      <c r="AK27" s="69">
        <v>637.8096273740133</v>
      </c>
      <c r="AL27" s="69">
        <v>1432.775534629822</v>
      </c>
      <c r="AM27" s="69">
        <v>2117.0884630839032</v>
      </c>
      <c r="AN27" s="69">
        <v>569.09740473429372</v>
      </c>
      <c r="AO27" s="69">
        <v>1979.4944477081299</v>
      </c>
      <c r="AP27" s="69">
        <v>456.64511404037472</v>
      </c>
      <c r="AQ27" s="69">
        <v>797.40327555338558</v>
      </c>
    </row>
    <row r="28" spans="1:43" x14ac:dyDescent="0.25">
      <c r="A28" s="11">
        <v>41750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349.51781888008151</v>
      </c>
      <c r="J28" s="60">
        <v>841.54054629008044</v>
      </c>
      <c r="K28" s="60">
        <v>31.378745088974615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351.83</v>
      </c>
      <c r="V28" s="62">
        <v>0</v>
      </c>
      <c r="W28" s="62">
        <v>31.75</v>
      </c>
      <c r="X28" s="62">
        <v>0</v>
      </c>
      <c r="Y28" s="66">
        <v>221.23</v>
      </c>
      <c r="Z28" s="66">
        <v>0</v>
      </c>
      <c r="AA28" s="67">
        <v>0</v>
      </c>
      <c r="AB28" s="68">
        <v>38.531520030232841</v>
      </c>
      <c r="AC28" s="69">
        <v>0</v>
      </c>
      <c r="AD28" s="69">
        <v>14.081436418162456</v>
      </c>
      <c r="AE28" s="68">
        <v>13.93</v>
      </c>
      <c r="AF28" s="68">
        <v>0</v>
      </c>
      <c r="AG28" s="68">
        <v>1</v>
      </c>
      <c r="AH28" s="69">
        <v>190.28041330178576</v>
      </c>
      <c r="AI28" s="69">
        <v>380.24795767466225</v>
      </c>
      <c r="AJ28" s="69">
        <v>1089.8764459609986</v>
      </c>
      <c r="AK28" s="69">
        <v>651.48872706095381</v>
      </c>
      <c r="AL28" s="69">
        <v>1521.6881755193076</v>
      </c>
      <c r="AM28" s="69">
        <v>2217.9943414052327</v>
      </c>
      <c r="AN28" s="69">
        <v>588.65357891718543</v>
      </c>
      <c r="AO28" s="69">
        <v>2161.6944066365559</v>
      </c>
      <c r="AP28" s="69">
        <v>662.25669369697562</v>
      </c>
      <c r="AQ28" s="69">
        <v>805.83106969197593</v>
      </c>
    </row>
    <row r="29" spans="1:43" x14ac:dyDescent="0.25">
      <c r="A29" s="11">
        <v>41751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385.49788875579884</v>
      </c>
      <c r="J29" s="60">
        <v>876.6118249257413</v>
      </c>
      <c r="K29" s="60">
        <v>32.795066863298452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366.39</v>
      </c>
      <c r="V29" s="62">
        <v>0</v>
      </c>
      <c r="W29" s="62">
        <v>32.43</v>
      </c>
      <c r="X29" s="62">
        <v>0</v>
      </c>
      <c r="Y29" s="66">
        <v>229.22</v>
      </c>
      <c r="Z29" s="66">
        <v>0</v>
      </c>
      <c r="AA29" s="67">
        <v>0</v>
      </c>
      <c r="AB29" s="68">
        <v>35.186019839180503</v>
      </c>
      <c r="AC29" s="69">
        <v>0</v>
      </c>
      <c r="AD29" s="69">
        <v>14.533772493733304</v>
      </c>
      <c r="AE29" s="68">
        <v>14.38</v>
      </c>
      <c r="AF29" s="68">
        <v>0</v>
      </c>
      <c r="AG29" s="68">
        <v>1</v>
      </c>
      <c r="AH29" s="69">
        <v>180.25518879890436</v>
      </c>
      <c r="AI29" s="69">
        <v>376.42989528973891</v>
      </c>
      <c r="AJ29" s="69">
        <v>1118.0495850880939</v>
      </c>
      <c r="AK29" s="69">
        <v>668.21713015238447</v>
      </c>
      <c r="AL29" s="69">
        <v>1407.4216527938843</v>
      </c>
      <c r="AM29" s="69">
        <v>2233.389845275879</v>
      </c>
      <c r="AN29" s="69">
        <v>580.3083865483602</v>
      </c>
      <c r="AO29" s="69">
        <v>2269.4790686289466</v>
      </c>
      <c r="AP29" s="69">
        <v>469.69512863159184</v>
      </c>
      <c r="AQ29" s="69">
        <v>831.76140235265109</v>
      </c>
    </row>
    <row r="30" spans="1:43" x14ac:dyDescent="0.25">
      <c r="A30" s="11">
        <v>41752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398.33515073458364</v>
      </c>
      <c r="J30" s="60">
        <v>899.76118094126275</v>
      </c>
      <c r="K30" s="60">
        <v>33.264566250642176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385.08</v>
      </c>
      <c r="V30" s="62">
        <v>0</v>
      </c>
      <c r="W30" s="62">
        <v>34.08</v>
      </c>
      <c r="X30" s="62">
        <v>0</v>
      </c>
      <c r="Y30" s="66">
        <v>241.31</v>
      </c>
      <c r="Z30" s="66">
        <v>0</v>
      </c>
      <c r="AA30" s="67">
        <v>0</v>
      </c>
      <c r="AB30" s="68">
        <v>35.486426470014329</v>
      </c>
      <c r="AC30" s="69">
        <v>0</v>
      </c>
      <c r="AD30" s="69">
        <v>15.370281573798906</v>
      </c>
      <c r="AE30" s="68">
        <v>15.22</v>
      </c>
      <c r="AF30" s="68">
        <v>0</v>
      </c>
      <c r="AG30" s="68">
        <v>1</v>
      </c>
      <c r="AH30" s="69">
        <v>180.30911997159325</v>
      </c>
      <c r="AI30" s="69">
        <v>376.18744716644284</v>
      </c>
      <c r="AJ30" s="69">
        <v>1081.3245347340905</v>
      </c>
      <c r="AK30" s="69">
        <v>670.56043434143066</v>
      </c>
      <c r="AL30" s="69">
        <v>1311.5045469919844</v>
      </c>
      <c r="AM30" s="69">
        <v>2063.2480751037597</v>
      </c>
      <c r="AN30" s="69">
        <v>581.14102881749466</v>
      </c>
      <c r="AO30" s="69">
        <v>2382.5108898162844</v>
      </c>
      <c r="AP30" s="69">
        <v>354.74497893651329</v>
      </c>
      <c r="AQ30" s="69">
        <v>789.03015556335458</v>
      </c>
    </row>
    <row r="31" spans="1:43" x14ac:dyDescent="0.25">
      <c r="A31" s="11">
        <v>41753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394.60197367668212</v>
      </c>
      <c r="J31" s="60">
        <v>915.39631977081183</v>
      </c>
      <c r="K31" s="60">
        <v>34.036800740162541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390.84</v>
      </c>
      <c r="V31" s="62">
        <v>0</v>
      </c>
      <c r="W31" s="62">
        <v>35.53</v>
      </c>
      <c r="X31" s="62">
        <v>0</v>
      </c>
      <c r="Y31" s="66">
        <v>245.28</v>
      </c>
      <c r="Z31" s="66">
        <v>0</v>
      </c>
      <c r="AA31" s="67">
        <v>0</v>
      </c>
      <c r="AB31" s="68">
        <v>35.484858820173002</v>
      </c>
      <c r="AC31" s="69">
        <v>0</v>
      </c>
      <c r="AD31" s="69">
        <v>15.623125134574034</v>
      </c>
      <c r="AE31" s="68">
        <v>15.48</v>
      </c>
      <c r="AF31" s="68">
        <v>0</v>
      </c>
      <c r="AG31" s="68">
        <v>1</v>
      </c>
      <c r="AH31" s="69">
        <v>193.53866244951882</v>
      </c>
      <c r="AI31" s="69">
        <v>385.41055172284445</v>
      </c>
      <c r="AJ31" s="69">
        <v>1079.9304335912072</v>
      </c>
      <c r="AK31" s="69">
        <v>657.4666995684305</v>
      </c>
      <c r="AL31" s="69">
        <v>1342.053297615051</v>
      </c>
      <c r="AM31" s="69">
        <v>1879.8073975880939</v>
      </c>
      <c r="AN31" s="69">
        <v>589.30693947474163</v>
      </c>
      <c r="AO31" s="69">
        <v>2500.7003973642986</v>
      </c>
      <c r="AP31" s="69">
        <v>342.35623404184975</v>
      </c>
      <c r="AQ31" s="69">
        <v>684.94093875885028</v>
      </c>
    </row>
    <row r="32" spans="1:43" x14ac:dyDescent="0.25">
      <c r="A32" s="11">
        <v>41754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362.87846155166602</v>
      </c>
      <c r="J32" s="60">
        <v>871.72311592101983</v>
      </c>
      <c r="K32" s="60">
        <v>32.947163053353648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368.19</v>
      </c>
      <c r="V32" s="62">
        <v>0</v>
      </c>
      <c r="W32" s="62">
        <v>33.78</v>
      </c>
      <c r="X32" s="62">
        <v>0</v>
      </c>
      <c r="Y32" s="66">
        <v>230.61</v>
      </c>
      <c r="Z32" s="66">
        <v>0</v>
      </c>
      <c r="AA32" s="67">
        <v>0</v>
      </c>
      <c r="AB32" s="68">
        <v>35.484951670964151</v>
      </c>
      <c r="AC32" s="69">
        <v>0</v>
      </c>
      <c r="AD32" s="69">
        <v>14.681890917486603</v>
      </c>
      <c r="AE32" s="68">
        <v>14.59</v>
      </c>
      <c r="AF32" s="68">
        <v>0</v>
      </c>
      <c r="AG32" s="68">
        <v>1</v>
      </c>
      <c r="AH32" s="69">
        <v>186.13167980511986</v>
      </c>
      <c r="AI32" s="69">
        <v>385.80290757815044</v>
      </c>
      <c r="AJ32" s="69">
        <v>1096.7769744873049</v>
      </c>
      <c r="AK32" s="69">
        <v>658.5301836967468</v>
      </c>
      <c r="AL32" s="69">
        <v>1284.8629442850752</v>
      </c>
      <c r="AM32" s="69">
        <v>1979.221892420451</v>
      </c>
      <c r="AN32" s="69">
        <v>574.82826102574666</v>
      </c>
      <c r="AO32" s="69">
        <v>2273.7640906016036</v>
      </c>
      <c r="AP32" s="69">
        <v>338.88033885955815</v>
      </c>
      <c r="AQ32" s="69">
        <v>786.41696662902825</v>
      </c>
    </row>
    <row r="33" spans="1:43" x14ac:dyDescent="0.25">
      <c r="A33" s="11">
        <v>41755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368.40762027104694</v>
      </c>
      <c r="J33" s="60">
        <v>870.25617313385021</v>
      </c>
      <c r="K33" s="60">
        <v>32.473838027318322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351.91</v>
      </c>
      <c r="V33" s="62">
        <v>0</v>
      </c>
      <c r="W33" s="62">
        <v>32.700000000000003</v>
      </c>
      <c r="X33" s="62">
        <v>0</v>
      </c>
      <c r="Y33" s="66">
        <v>224.13</v>
      </c>
      <c r="Z33" s="66">
        <v>0</v>
      </c>
      <c r="AA33" s="67">
        <v>0</v>
      </c>
      <c r="AB33" s="68">
        <v>35.486396945847019</v>
      </c>
      <c r="AC33" s="69">
        <v>0</v>
      </c>
      <c r="AD33" s="69">
        <v>14.280243954393576</v>
      </c>
      <c r="AE33" s="68">
        <v>14.14</v>
      </c>
      <c r="AF33" s="68">
        <v>0</v>
      </c>
      <c r="AG33" s="68">
        <v>1</v>
      </c>
      <c r="AH33" s="69">
        <v>179.52508238156639</v>
      </c>
      <c r="AI33" s="69">
        <v>386.26887696584066</v>
      </c>
      <c r="AJ33" s="69">
        <v>1104.9249519983928</v>
      </c>
      <c r="AK33" s="69">
        <v>662.74657586415606</v>
      </c>
      <c r="AL33" s="69">
        <v>1267.7415682474773</v>
      </c>
      <c r="AM33" s="69">
        <v>1906.3160568237304</v>
      </c>
      <c r="AN33" s="69">
        <v>588.39164085388188</v>
      </c>
      <c r="AO33" s="69">
        <v>2267.158738708496</v>
      </c>
      <c r="AP33" s="69">
        <v>336.56702768007909</v>
      </c>
      <c r="AQ33" s="69">
        <v>764.70598341623941</v>
      </c>
    </row>
    <row r="34" spans="1:43" x14ac:dyDescent="0.25">
      <c r="A34" s="11">
        <v>41756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340.98715238571225</v>
      </c>
      <c r="J34" s="60">
        <v>799.92127081553167</v>
      </c>
      <c r="K34" s="60">
        <v>29.717222084601637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332.37525859408942</v>
      </c>
      <c r="V34" s="62">
        <v>0</v>
      </c>
      <c r="W34" s="62">
        <v>30.197319523493491</v>
      </c>
      <c r="X34" s="62">
        <v>0</v>
      </c>
      <c r="Y34" s="66">
        <v>214.14767289161699</v>
      </c>
      <c r="Z34" s="66">
        <v>0</v>
      </c>
      <c r="AA34" s="67">
        <v>0</v>
      </c>
      <c r="AB34" s="68">
        <v>35.710806285010264</v>
      </c>
      <c r="AC34" s="69">
        <v>0</v>
      </c>
      <c r="AD34" s="69">
        <v>13.641790625784154</v>
      </c>
      <c r="AE34" s="68">
        <v>13.501270993716769</v>
      </c>
      <c r="AF34" s="68">
        <v>0</v>
      </c>
      <c r="AG34" s="68">
        <v>1</v>
      </c>
      <c r="AH34" s="69">
        <v>203.16828161080679</v>
      </c>
      <c r="AI34" s="69">
        <v>410.20900441805514</v>
      </c>
      <c r="AJ34" s="69">
        <v>1053.517337735494</v>
      </c>
      <c r="AK34" s="69">
        <v>658.6518065452575</v>
      </c>
      <c r="AL34" s="69">
        <v>1407.1458322525025</v>
      </c>
      <c r="AM34" s="69">
        <v>1891.9890155792236</v>
      </c>
      <c r="AN34" s="69">
        <v>623.77844527562468</v>
      </c>
      <c r="AO34" s="69">
        <v>2165.3755621592204</v>
      </c>
      <c r="AP34" s="69">
        <v>349.1600665887197</v>
      </c>
      <c r="AQ34" s="69">
        <v>600.08699680964151</v>
      </c>
    </row>
    <row r="35" spans="1:43" x14ac:dyDescent="0.25">
      <c r="A35" s="11">
        <v>41757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341.24762190183083</v>
      </c>
      <c r="J35" s="60">
        <v>800.30964037577257</v>
      </c>
      <c r="K35" s="60">
        <v>29.594053411483632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326.59191326565502</v>
      </c>
      <c r="V35" s="62">
        <v>0</v>
      </c>
      <c r="W35" s="62">
        <v>29.378214653333014</v>
      </c>
      <c r="X35" s="62">
        <v>0</v>
      </c>
      <c r="Y35" s="66">
        <v>210.79930102030451</v>
      </c>
      <c r="Z35" s="66">
        <v>0</v>
      </c>
      <c r="AA35" s="67">
        <v>0</v>
      </c>
      <c r="AB35" s="68">
        <v>35.77229934003612</v>
      </c>
      <c r="AC35" s="69">
        <v>0</v>
      </c>
      <c r="AD35" s="69">
        <v>13.419584770003953</v>
      </c>
      <c r="AE35" s="68">
        <v>13.376992643995663</v>
      </c>
      <c r="AF35" s="68">
        <v>0</v>
      </c>
      <c r="AG35" s="68">
        <v>1</v>
      </c>
      <c r="AH35" s="69">
        <v>216.67181103229521</v>
      </c>
      <c r="AI35" s="69">
        <v>421.66043899854026</v>
      </c>
      <c r="AJ35" s="69">
        <v>1091.6488588968912</v>
      </c>
      <c r="AK35" s="69">
        <v>651.79953908920288</v>
      </c>
      <c r="AL35" s="69">
        <v>1491.3773622512813</v>
      </c>
      <c r="AM35" s="69">
        <v>2152.1361237843835</v>
      </c>
      <c r="AN35" s="69">
        <v>610.89756981531775</v>
      </c>
      <c r="AO35" s="69">
        <v>2131.1674565633139</v>
      </c>
      <c r="AP35" s="69">
        <v>362.22936110496516</v>
      </c>
      <c r="AQ35" s="69">
        <v>648.26989351908378</v>
      </c>
    </row>
    <row r="36" spans="1:43" x14ac:dyDescent="0.25">
      <c r="A36" s="11">
        <v>41758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341.29787535667481</v>
      </c>
      <c r="J36" s="60">
        <v>800.17972691853709</v>
      </c>
      <c r="K36" s="60">
        <v>29.58486273288721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338.19</v>
      </c>
      <c r="V36" s="62">
        <v>0</v>
      </c>
      <c r="W36" s="62">
        <v>29.77</v>
      </c>
      <c r="X36" s="62">
        <v>0</v>
      </c>
      <c r="Y36" s="66">
        <v>211.13</v>
      </c>
      <c r="Z36" s="66">
        <v>0</v>
      </c>
      <c r="AA36" s="67">
        <v>0</v>
      </c>
      <c r="AB36" s="68">
        <v>35.714422930611342</v>
      </c>
      <c r="AC36" s="69">
        <v>0</v>
      </c>
      <c r="AD36" s="69">
        <v>13.456476011541165</v>
      </c>
      <c r="AE36" s="68">
        <v>13.32</v>
      </c>
      <c r="AF36" s="68">
        <v>0</v>
      </c>
      <c r="AG36" s="68">
        <v>1</v>
      </c>
      <c r="AH36" s="69">
        <v>224.91060717900589</v>
      </c>
      <c r="AI36" s="69">
        <v>431.52454299926762</v>
      </c>
      <c r="AJ36" s="69">
        <v>1114.9561372756957</v>
      </c>
      <c r="AK36" s="69">
        <v>658.62111673355105</v>
      </c>
      <c r="AL36" s="69">
        <v>1642.5835678736369</v>
      </c>
      <c r="AM36" s="69">
        <v>2387.3536492665612</v>
      </c>
      <c r="AN36" s="69">
        <v>613.24837760925311</v>
      </c>
      <c r="AO36" s="69">
        <v>2093.8435599009199</v>
      </c>
      <c r="AP36" s="69">
        <v>394.88280156453447</v>
      </c>
      <c r="AQ36" s="69">
        <v>661.02045408884692</v>
      </c>
    </row>
    <row r="37" spans="1:43" x14ac:dyDescent="0.25">
      <c r="A37" s="11">
        <v>41759</v>
      </c>
      <c r="B37" s="59"/>
      <c r="C37" s="60">
        <v>21.047360928853344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346.09467986424789</v>
      </c>
      <c r="J37" s="60">
        <v>812.17286574045818</v>
      </c>
      <c r="K37" s="60">
        <v>29.479417462150231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328.35944858127226</v>
      </c>
      <c r="V37" s="62">
        <v>0</v>
      </c>
      <c r="W37" s="62">
        <v>30.426344855626411</v>
      </c>
      <c r="X37" s="62">
        <v>0</v>
      </c>
      <c r="Y37" s="66">
        <v>219.01483462651575</v>
      </c>
      <c r="Z37" s="66">
        <v>0</v>
      </c>
      <c r="AA37" s="67">
        <v>0</v>
      </c>
      <c r="AB37" s="68">
        <v>35.849290890163978</v>
      </c>
      <c r="AC37" s="69">
        <v>0</v>
      </c>
      <c r="AD37" s="69">
        <v>13.841109898355272</v>
      </c>
      <c r="AE37" s="68">
        <v>13.705104922886115</v>
      </c>
      <c r="AF37" s="68">
        <v>0</v>
      </c>
      <c r="AG37" s="68">
        <v>1</v>
      </c>
      <c r="AH37" s="69">
        <v>229.37552565733591</v>
      </c>
      <c r="AI37" s="69">
        <v>435.44710650444023</v>
      </c>
      <c r="AJ37" s="69">
        <v>1142.74978834788</v>
      </c>
      <c r="AK37" s="69">
        <v>655.63522090911863</v>
      </c>
      <c r="AL37" s="69">
        <v>1528.7961896260579</v>
      </c>
      <c r="AM37" s="69">
        <v>2408.3736151377361</v>
      </c>
      <c r="AN37" s="69">
        <v>617.74113219579056</v>
      </c>
      <c r="AO37" s="69">
        <v>2145.3836425781246</v>
      </c>
      <c r="AP37" s="69">
        <v>391.15534984270732</v>
      </c>
      <c r="AQ37" s="69">
        <v>660.71414079666147</v>
      </c>
    </row>
    <row r="38" spans="1:43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 x14ac:dyDescent="0.25">
      <c r="A39" s="46" t="s">
        <v>173</v>
      </c>
      <c r="B39" s="29">
        <f>SUM(B8:B38)</f>
        <v>0</v>
      </c>
      <c r="C39" s="30">
        <f t="shared" ref="C39:AC39" si="0">SUM(C8:C38)</f>
        <v>21.047360928853344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9455.5989057223051</v>
      </c>
      <c r="J39" s="30">
        <f t="shared" si="0"/>
        <v>22952.090286095929</v>
      </c>
      <c r="K39" s="30">
        <f t="shared" si="0"/>
        <v>855.8870653748512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3">
        <f t="shared" si="0"/>
        <v>0</v>
      </c>
      <c r="P39" s="264">
        <f t="shared" si="0"/>
        <v>0</v>
      </c>
      <c r="Q39" s="264">
        <f t="shared" si="0"/>
        <v>0</v>
      </c>
      <c r="R39" s="264">
        <f t="shared" si="0"/>
        <v>0</v>
      </c>
      <c r="S39" s="264">
        <f t="shared" si="0"/>
        <v>0</v>
      </c>
      <c r="T39" s="265">
        <f t="shared" si="0"/>
        <v>0</v>
      </c>
      <c r="U39" s="263">
        <f t="shared" si="0"/>
        <v>9660.9676825565784</v>
      </c>
      <c r="V39" s="264">
        <f t="shared" si="0"/>
        <v>0</v>
      </c>
      <c r="W39" s="264">
        <f t="shared" si="0"/>
        <v>885.50733347336438</v>
      </c>
      <c r="X39" s="264">
        <f t="shared" si="0"/>
        <v>0</v>
      </c>
      <c r="Y39" s="264">
        <f t="shared" si="0"/>
        <v>6299.849313969612</v>
      </c>
      <c r="Z39" s="264">
        <f t="shared" si="0"/>
        <v>0</v>
      </c>
      <c r="AA39" s="272">
        <f t="shared" si="0"/>
        <v>0</v>
      </c>
      <c r="AB39" s="275">
        <f t="shared" si="0"/>
        <v>1054.2690169506557</v>
      </c>
      <c r="AC39" s="275">
        <f t="shared" si="0"/>
        <v>0</v>
      </c>
      <c r="AD39" s="278" t="s">
        <v>29</v>
      </c>
      <c r="AE39" s="278" t="s">
        <v>29</v>
      </c>
      <c r="AF39" s="278" t="s">
        <v>29</v>
      </c>
      <c r="AG39" s="278" t="s">
        <v>159</v>
      </c>
      <c r="AH39" s="275">
        <f t="shared" ref="AH39:AQ39" si="1">SUM(AH8:AH38)</f>
        <v>6611.149890168509</v>
      </c>
      <c r="AI39" s="275">
        <f t="shared" si="1"/>
        <v>12474.815972614289</v>
      </c>
      <c r="AJ39" s="275">
        <f t="shared" si="1"/>
        <v>32695.661772727959</v>
      </c>
      <c r="AK39" s="275">
        <f t="shared" si="1"/>
        <v>19700.742416890465</v>
      </c>
      <c r="AL39" s="275">
        <f t="shared" si="1"/>
        <v>44865.303601837157</v>
      </c>
      <c r="AM39" s="275">
        <f t="shared" si="1"/>
        <v>65832.714997355128</v>
      </c>
      <c r="AN39" s="275">
        <f t="shared" si="1"/>
        <v>17851.199179776508</v>
      </c>
      <c r="AO39" s="275">
        <f t="shared" si="1"/>
        <v>61324.000834401457</v>
      </c>
      <c r="AP39" s="275">
        <f t="shared" si="1"/>
        <v>12888.381024583181</v>
      </c>
      <c r="AQ39" s="275">
        <f t="shared" si="1"/>
        <v>23387.998275661474</v>
      </c>
    </row>
    <row r="40" spans="1:43" ht="15.75" thickBot="1" x14ac:dyDescent="0.3">
      <c r="A40" s="47" t="s">
        <v>174</v>
      </c>
      <c r="B40" s="32">
        <f>Projection!$AB$30</f>
        <v>0.80583665399999982</v>
      </c>
      <c r="C40" s="33">
        <f>Projection!$AB$28</f>
        <v>1.0959093599999998</v>
      </c>
      <c r="D40" s="33">
        <f>Projection!$AB$31</f>
        <v>2.1834120000000001</v>
      </c>
      <c r="E40" s="33">
        <f>Projection!$AB$26</f>
        <v>4.3368000000000002</v>
      </c>
      <c r="F40" s="33">
        <f>Projection!$AB$23</f>
        <v>5.8379999999999994E-2</v>
      </c>
      <c r="G40" s="33">
        <f>Projection!$AB$24</f>
        <v>5.5119999999999995E-2</v>
      </c>
      <c r="H40" s="34">
        <f>Projection!$AB$29</f>
        <v>3.4361216999999997</v>
      </c>
      <c r="I40" s="32">
        <f>Projection!$AB$30</f>
        <v>0.80583665399999982</v>
      </c>
      <c r="J40" s="33">
        <f>Projection!$AB$28</f>
        <v>1.0959093599999998</v>
      </c>
      <c r="K40" s="33">
        <f>Projection!$AB$26</f>
        <v>4.3368000000000002</v>
      </c>
      <c r="L40" s="33">
        <f>Projection!$AB$25</f>
        <v>0</v>
      </c>
      <c r="M40" s="33">
        <f>Projection!$AB$23</f>
        <v>5.8379999999999994E-2</v>
      </c>
      <c r="N40" s="34">
        <f>Projection!$AB$23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1.0959093599999998</v>
      </c>
      <c r="T40" s="38">
        <f>Projection!$AB$28</f>
        <v>1.0959093599999998</v>
      </c>
      <c r="U40" s="26">
        <f>Projection!$AB$27</f>
        <v>0.21934999999999999</v>
      </c>
      <c r="V40" s="27">
        <f>Projection!$AB$27</f>
        <v>0.21934999999999999</v>
      </c>
      <c r="W40" s="27">
        <f>Projection!$AB$22</f>
        <v>1.1625000000000001</v>
      </c>
      <c r="X40" s="27">
        <f>Projection!$AB$22</f>
        <v>1.1625000000000001</v>
      </c>
      <c r="Y40" s="27">
        <f>Projection!$AB$31</f>
        <v>2.1834120000000001</v>
      </c>
      <c r="Z40" s="27">
        <f>Projection!$AB$31</f>
        <v>2.1834120000000001</v>
      </c>
      <c r="AA40" s="28">
        <v>0</v>
      </c>
      <c r="AB40" s="41">
        <f>Projection!$AB$27</f>
        <v>0.21934999999999999</v>
      </c>
      <c r="AC40" s="41">
        <f>Projection!$AB$30</f>
        <v>0.80583665399999982</v>
      </c>
      <c r="AD40" s="279">
        <f>SUM(AD8:AD38)</f>
        <v>385.08305573330983</v>
      </c>
      <c r="AE40" s="279">
        <f>SUM(AE8:AE38)</f>
        <v>380.19830347330031</v>
      </c>
      <c r="AF40" s="279">
        <f>SUM(AF8:AF38)</f>
        <v>0</v>
      </c>
      <c r="AG40" s="279">
        <f>IF(SUM(AE40:AF40)&gt;0,AE40/(AE40+AF40),"")</f>
        <v>1</v>
      </c>
      <c r="AH40" s="315">
        <v>6.8000000000000005E-2</v>
      </c>
      <c r="AI40" s="315">
        <f t="shared" ref="AI40:AQ40" si="2">$AH$40</f>
        <v>6.8000000000000005E-2</v>
      </c>
      <c r="AJ40" s="315">
        <f t="shared" si="2"/>
        <v>6.8000000000000005E-2</v>
      </c>
      <c r="AK40" s="315">
        <f t="shared" si="2"/>
        <v>6.8000000000000005E-2</v>
      </c>
      <c r="AL40" s="315">
        <f t="shared" si="2"/>
        <v>6.8000000000000005E-2</v>
      </c>
      <c r="AM40" s="315">
        <f t="shared" si="2"/>
        <v>6.8000000000000005E-2</v>
      </c>
      <c r="AN40" s="315">
        <f t="shared" si="2"/>
        <v>6.8000000000000005E-2</v>
      </c>
      <c r="AO40" s="315">
        <f t="shared" si="2"/>
        <v>6.8000000000000005E-2</v>
      </c>
      <c r="AP40" s="315">
        <f t="shared" si="2"/>
        <v>6.8000000000000005E-2</v>
      </c>
      <c r="AQ40" s="315">
        <f t="shared" si="2"/>
        <v>6.8000000000000005E-2</v>
      </c>
    </row>
    <row r="41" spans="1:43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23.065999845228671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7619.6681837533224</v>
      </c>
      <c r="J41" s="36">
        <f t="shared" si="3"/>
        <v>25153.410576097602</v>
      </c>
      <c r="K41" s="36">
        <f t="shared" si="3"/>
        <v>3711.8110251176549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9">
        <f t="shared" si="3"/>
        <v>0</v>
      </c>
      <c r="P41" s="270">
        <f t="shared" si="3"/>
        <v>0</v>
      </c>
      <c r="Q41" s="270">
        <f t="shared" si="3"/>
        <v>0</v>
      </c>
      <c r="R41" s="270">
        <f t="shared" si="3"/>
        <v>0</v>
      </c>
      <c r="S41" s="270">
        <f t="shared" si="3"/>
        <v>0</v>
      </c>
      <c r="T41" s="271">
        <f t="shared" si="3"/>
        <v>0</v>
      </c>
      <c r="U41" s="269">
        <f t="shared" si="3"/>
        <v>2119.1332611687853</v>
      </c>
      <c r="V41" s="270">
        <f t="shared" si="3"/>
        <v>0</v>
      </c>
      <c r="W41" s="270">
        <f t="shared" si="3"/>
        <v>1029.4022751627863</v>
      </c>
      <c r="X41" s="270">
        <f t="shared" si="3"/>
        <v>0</v>
      </c>
      <c r="Y41" s="270">
        <f t="shared" si="3"/>
        <v>13755.16659031302</v>
      </c>
      <c r="Z41" s="270">
        <f t="shared" si="3"/>
        <v>0</v>
      </c>
      <c r="AA41" s="274">
        <f t="shared" si="3"/>
        <v>0</v>
      </c>
      <c r="AB41" s="277">
        <f t="shared" si="3"/>
        <v>231.2539088681263</v>
      </c>
      <c r="AC41" s="277">
        <f t="shared" si="3"/>
        <v>0</v>
      </c>
      <c r="AH41" s="280">
        <f t="shared" ref="AH41:AQ41" si="4">AH40*AH39</f>
        <v>449.55819253145864</v>
      </c>
      <c r="AI41" s="280">
        <f t="shared" si="4"/>
        <v>848.28748613777179</v>
      </c>
      <c r="AJ41" s="280">
        <f t="shared" si="4"/>
        <v>2223.3050005455016</v>
      </c>
      <c r="AK41" s="280">
        <f t="shared" si="4"/>
        <v>1339.6504843485518</v>
      </c>
      <c r="AL41" s="280">
        <f t="shared" si="4"/>
        <v>3050.8406449249269</v>
      </c>
      <c r="AM41" s="280">
        <f t="shared" si="4"/>
        <v>4476.6246198201488</v>
      </c>
      <c r="AN41" s="280">
        <f t="shared" si="4"/>
        <v>1213.8815442248026</v>
      </c>
      <c r="AO41" s="280">
        <f t="shared" si="4"/>
        <v>4170.0320567392992</v>
      </c>
      <c r="AP41" s="280">
        <f t="shared" si="4"/>
        <v>876.40990967165635</v>
      </c>
      <c r="AQ41" s="280">
        <f t="shared" si="4"/>
        <v>1590.3838827449804</v>
      </c>
    </row>
    <row r="42" spans="1:43" ht="49.5" customHeight="1" thickTop="1" thickBot="1" x14ac:dyDescent="0.3">
      <c r="A42" s="564" t="s">
        <v>233</v>
      </c>
      <c r="B42" s="565"/>
      <c r="C42" s="565"/>
      <c r="D42" s="565"/>
      <c r="E42" s="565"/>
      <c r="F42" s="565"/>
      <c r="G42" s="565"/>
      <c r="H42" s="565"/>
      <c r="I42" s="565"/>
      <c r="J42" s="565"/>
      <c r="K42" s="54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8" t="s">
        <v>186</v>
      </c>
      <c r="AH42" s="297">
        <v>811.55</v>
      </c>
      <c r="AI42" s="280" t="s">
        <v>199</v>
      </c>
      <c r="AJ42" s="280">
        <v>2356.44</v>
      </c>
      <c r="AK42" s="280">
        <v>713.24</v>
      </c>
      <c r="AL42" s="280">
        <v>1210.33</v>
      </c>
      <c r="AM42" s="280">
        <v>6055.86</v>
      </c>
      <c r="AN42" s="280">
        <v>1390.02</v>
      </c>
      <c r="AO42" s="280" t="s">
        <v>199</v>
      </c>
      <c r="AP42" s="280">
        <v>239.11</v>
      </c>
      <c r="AQ42" s="280">
        <v>459.96</v>
      </c>
    </row>
    <row r="43" spans="1:43" ht="38.25" customHeight="1" thickTop="1" thickBot="1" x14ac:dyDescent="0.3">
      <c r="A43" s="552" t="s">
        <v>49</v>
      </c>
      <c r="B43" s="548"/>
      <c r="C43" s="291"/>
      <c r="D43" s="548" t="s">
        <v>47</v>
      </c>
      <c r="E43" s="548"/>
      <c r="F43" s="291"/>
      <c r="G43" s="548" t="s">
        <v>48</v>
      </c>
      <c r="H43" s="548"/>
      <c r="I43" s="292"/>
      <c r="J43" s="548" t="s">
        <v>50</v>
      </c>
      <c r="K43" s="549"/>
      <c r="L43" s="44"/>
      <c r="M43" s="44"/>
      <c r="N43" s="44"/>
      <c r="O43" s="45"/>
      <c r="P43" s="45"/>
      <c r="Q43" s="45"/>
      <c r="R43" s="558" t="s">
        <v>168</v>
      </c>
      <c r="S43" s="559"/>
      <c r="T43" s="559"/>
      <c r="U43" s="560"/>
      <c r="AC43" s="45"/>
    </row>
    <row r="44" spans="1:43" ht="24.75" thickTop="1" thickBot="1" x14ac:dyDescent="0.3">
      <c r="A44" s="284" t="s">
        <v>135</v>
      </c>
      <c r="B44" s="285">
        <f>SUM(B41:AC41)</f>
        <v>53642.911820326524</v>
      </c>
      <c r="C44" s="12"/>
      <c r="D44" s="284" t="s">
        <v>135</v>
      </c>
      <c r="E44" s="285">
        <f>SUM(B41:H41)+P41+R41+T41+V41+X41+Z41</f>
        <v>23.065999845228671</v>
      </c>
      <c r="F44" s="12"/>
      <c r="G44" s="284" t="s">
        <v>135</v>
      </c>
      <c r="H44" s="285">
        <f>SUM(I41:N41)+O41+Q41+S41+U41+W41+Y41</f>
        <v>53388.59191161317</v>
      </c>
      <c r="I44" s="12"/>
      <c r="J44" s="284" t="s">
        <v>200</v>
      </c>
      <c r="K44" s="285">
        <v>84761.93</v>
      </c>
      <c r="L44" s="12"/>
      <c r="M44" s="12"/>
      <c r="N44" s="12"/>
      <c r="O44" s="12"/>
      <c r="P44" s="12"/>
      <c r="Q44" s="12"/>
      <c r="R44" s="322" t="s">
        <v>135</v>
      </c>
      <c r="S44" s="323"/>
      <c r="T44" s="316" t="s">
        <v>169</v>
      </c>
      <c r="U44" s="257" t="s">
        <v>170</v>
      </c>
    </row>
    <row r="45" spans="1:43" ht="24" thickBot="1" x14ac:dyDescent="0.4">
      <c r="A45" s="286" t="s">
        <v>185</v>
      </c>
      <c r="B45" s="287">
        <f>SUM(AH41:AQ41)</f>
        <v>20238.973821689098</v>
      </c>
      <c r="C45" s="12"/>
      <c r="D45" s="286" t="s">
        <v>185</v>
      </c>
      <c r="E45" s="287">
        <f>AH41*(1-$AG$40)+AI41+AJ41*0.5+AL41+AM41*(1-$AG$40)+AN41*(1-$AG$40)+AO41*(1-$AG$40)+AP41*0.5+AQ41*0.5</f>
        <v>6244.1775275437676</v>
      </c>
      <c r="F45" s="24"/>
      <c r="G45" s="286" t="s">
        <v>185</v>
      </c>
      <c r="H45" s="287">
        <f>AH41*AG40+AJ41*0.5+AK41+AM41*AG40+AN41*AG40+AO41*AG40+AP41*0.5+AQ41*0.5</f>
        <v>13994.79629414533</v>
      </c>
      <c r="I45" s="12"/>
      <c r="J45" s="12"/>
      <c r="K45" s="290"/>
      <c r="L45" s="12"/>
      <c r="M45" s="12"/>
      <c r="N45" s="12"/>
      <c r="O45" s="12"/>
      <c r="P45" s="12"/>
      <c r="Q45" s="12"/>
      <c r="R45" s="320" t="s">
        <v>141</v>
      </c>
      <c r="S45" s="321"/>
      <c r="T45" s="256">
        <f>$W$39+$X$39</f>
        <v>885.50733347336438</v>
      </c>
      <c r="U45" s="258">
        <f>(T45*8.34*0.895)/27000</f>
        <v>0.24480342182389753</v>
      </c>
    </row>
    <row r="46" spans="1:43" ht="32.25" thickBot="1" x14ac:dyDescent="0.3">
      <c r="A46" s="288" t="s">
        <v>186</v>
      </c>
      <c r="B46" s="289">
        <f>SUM(AH42:AQ42)</f>
        <v>13236.509999999998</v>
      </c>
      <c r="C46" s="12"/>
      <c r="D46" s="288" t="s">
        <v>186</v>
      </c>
      <c r="E46" s="289">
        <f>AH42*(1-$AG$40)+AJ42*0.5+AL42+AM42*(1-$AG$40)+AN42*(1-$AG$40)+AP42*0.5+AQ42*0.5</f>
        <v>2738.085</v>
      </c>
      <c r="F46" s="23"/>
      <c r="G46" s="288" t="s">
        <v>186</v>
      </c>
      <c r="H46" s="289">
        <f>AH42*AG40+AJ42*0.5+AK42+AM42*AG40+AN42*AG40+AP42*0.5+AQ42*0.5</f>
        <v>10498.424999999999</v>
      </c>
      <c r="I46" s="12"/>
      <c r="J46" s="550" t="s">
        <v>201</v>
      </c>
      <c r="K46" s="551"/>
      <c r="L46" s="12"/>
      <c r="M46" s="12"/>
      <c r="N46" s="12"/>
      <c r="O46" s="12"/>
      <c r="P46" s="12"/>
      <c r="Q46" s="12"/>
      <c r="R46" s="320" t="s">
        <v>145</v>
      </c>
      <c r="S46" s="321"/>
      <c r="T46" s="256">
        <f>$M$39+$N$39+$F$39</f>
        <v>0</v>
      </c>
      <c r="U46" s="259">
        <f>(((T46*8.34)*0.005)/(8.34*1.055))/400</f>
        <v>0</v>
      </c>
    </row>
    <row r="47" spans="1:43" ht="24.75" thickTop="1" thickBot="1" x14ac:dyDescent="0.4">
      <c r="A47" s="288" t="s">
        <v>187</v>
      </c>
      <c r="B47" s="289">
        <f>K44</f>
        <v>84761.93</v>
      </c>
      <c r="C47" s="12"/>
      <c r="D47" s="288" t="s">
        <v>189</v>
      </c>
      <c r="E47" s="289">
        <f>K44*0.5</f>
        <v>42380.964999999997</v>
      </c>
      <c r="F47" s="24"/>
      <c r="G47" s="288" t="s">
        <v>187</v>
      </c>
      <c r="H47" s="289">
        <f>K44*0.5</f>
        <v>42380.964999999997</v>
      </c>
      <c r="I47" s="12"/>
      <c r="J47" s="284" t="s">
        <v>200</v>
      </c>
      <c r="K47" s="285">
        <v>55400.29</v>
      </c>
      <c r="L47" s="12"/>
      <c r="M47" s="12"/>
      <c r="N47" s="12"/>
      <c r="O47" s="12"/>
      <c r="P47" s="12"/>
      <c r="Q47" s="12"/>
      <c r="R47" s="320" t="s">
        <v>148</v>
      </c>
      <c r="S47" s="321"/>
      <c r="T47" s="256">
        <f>$G$39</f>
        <v>0</v>
      </c>
      <c r="U47" s="258">
        <f>T47/40000</f>
        <v>0</v>
      </c>
    </row>
    <row r="48" spans="1:43" ht="24" thickBot="1" x14ac:dyDescent="0.3">
      <c r="A48" s="288" t="s">
        <v>188</v>
      </c>
      <c r="B48" s="289">
        <f>K47</f>
        <v>55400.29</v>
      </c>
      <c r="C48" s="12"/>
      <c r="D48" s="288" t="s">
        <v>188</v>
      </c>
      <c r="E48" s="289">
        <f>K47*0.5</f>
        <v>27700.145</v>
      </c>
      <c r="F48" s="23"/>
      <c r="G48" s="288" t="s">
        <v>188</v>
      </c>
      <c r="H48" s="289">
        <f>K47*0.5</f>
        <v>27700.145</v>
      </c>
      <c r="I48" s="12"/>
      <c r="J48" s="12"/>
      <c r="K48" s="86"/>
      <c r="L48" s="12"/>
      <c r="M48" s="12"/>
      <c r="N48" s="12"/>
      <c r="O48" s="12"/>
      <c r="P48" s="12"/>
      <c r="Q48" s="12"/>
      <c r="R48" s="320" t="s">
        <v>150</v>
      </c>
      <c r="S48" s="321"/>
      <c r="T48" s="256">
        <f>$L$39</f>
        <v>0</v>
      </c>
      <c r="U48" s="258">
        <f>T48*9.34*0.107</f>
        <v>0</v>
      </c>
    </row>
    <row r="49" spans="1:25" ht="48" thickTop="1" thickBot="1" x14ac:dyDescent="0.3">
      <c r="A49" s="293" t="s">
        <v>196</v>
      </c>
      <c r="B49" s="294">
        <f>AD40</f>
        <v>385.08305573330983</v>
      </c>
      <c r="C49" s="12"/>
      <c r="D49" s="293" t="s">
        <v>197</v>
      </c>
      <c r="E49" s="294">
        <f>AF40</f>
        <v>0</v>
      </c>
      <c r="F49" s="23"/>
      <c r="G49" s="293" t="s">
        <v>198</v>
      </c>
      <c r="H49" s="294">
        <f>AE40</f>
        <v>380.19830347330031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152</v>
      </c>
      <c r="S49" s="321"/>
      <c r="T49" s="256">
        <f>$E$39+$K$39</f>
        <v>855.8870653748512</v>
      </c>
      <c r="U49" s="258">
        <f>(T49*8.34*1.04)/45000</f>
        <v>0.164969378894118</v>
      </c>
    </row>
    <row r="50" spans="1:25" ht="48" thickTop="1" thickBot="1" x14ac:dyDescent="0.3">
      <c r="A50" s="293" t="s">
        <v>192</v>
      </c>
      <c r="B50" s="295">
        <f>(SUM(B44:B48)/AD40)</f>
        <v>590.21193547248504</v>
      </c>
      <c r="C50" s="12"/>
      <c r="D50" s="293" t="s">
        <v>190</v>
      </c>
      <c r="E50" s="295" t="e">
        <f>SUM(E44:E48)/AF40</f>
        <v>#DIV/0!</v>
      </c>
      <c r="F50" s="23"/>
      <c r="G50" s="293" t="s">
        <v>191</v>
      </c>
      <c r="H50" s="295">
        <f>SUM(H44:H48)/AE40</f>
        <v>389.1730232724442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153</v>
      </c>
      <c r="S50" s="321"/>
      <c r="T50" s="256">
        <f>$U$39+$V$39+$AB$39</f>
        <v>10715.236699507233</v>
      </c>
      <c r="U50" s="258">
        <f>T50/2000/8</f>
        <v>0.66970229371920209</v>
      </c>
    </row>
    <row r="51" spans="1:25" ht="47.25" customHeight="1" thickTop="1" thickBot="1" x14ac:dyDescent="0.3">
      <c r="A51" s="283" t="s">
        <v>193</v>
      </c>
      <c r="B51" s="296">
        <f>B50/1000</f>
        <v>0.59021193547248507</v>
      </c>
      <c r="C51" s="12"/>
      <c r="D51" s="283" t="s">
        <v>194</v>
      </c>
      <c r="E51" s="296" t="e">
        <f>E50/1000</f>
        <v>#DIV/0!</v>
      </c>
      <c r="F51" s="12"/>
      <c r="G51" s="283" t="s">
        <v>195</v>
      </c>
      <c r="H51" s="296">
        <f>H50/1000</f>
        <v>0.38917302327244419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154</v>
      </c>
      <c r="S51" s="321"/>
      <c r="T51" s="256">
        <f>$C$39+$J$39+$S$39+$T$39</f>
        <v>22973.137647024781</v>
      </c>
      <c r="U51" s="258">
        <f>(T51*8.34*1.4)/45000</f>
        <v>5.9607634481480289</v>
      </c>
    </row>
    <row r="52" spans="1:25" ht="16.5" thickTop="1" thickBot="1" x14ac:dyDescent="0.3">
      <c r="A52" s="305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155</v>
      </c>
      <c r="S52" s="321"/>
      <c r="T52" s="256">
        <f>$H$39</f>
        <v>0</v>
      </c>
      <c r="U52" s="258">
        <f>(T52*8.34*1.135)/45000</f>
        <v>0</v>
      </c>
    </row>
    <row r="53" spans="1:25" ht="48" customHeight="1" thickTop="1" thickBot="1" x14ac:dyDescent="0.3">
      <c r="A53" s="561" t="s">
        <v>51</v>
      </c>
      <c r="B53" s="562"/>
      <c r="C53" s="562"/>
      <c r="D53" s="562"/>
      <c r="E53" s="563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156</v>
      </c>
      <c r="S53" s="321"/>
      <c r="T53" s="256">
        <f>$B$39+$I$39+$AC$39</f>
        <v>9455.5989057223051</v>
      </c>
      <c r="U53" s="258">
        <f>(T53*8.34*1.029*0.03)/3300</f>
        <v>0.73769660022783645</v>
      </c>
    </row>
    <row r="54" spans="1:25" ht="45.75" customHeight="1" thickBot="1" x14ac:dyDescent="0.3">
      <c r="A54" s="545" t="s">
        <v>202</v>
      </c>
      <c r="B54" s="546"/>
      <c r="C54" s="546"/>
      <c r="D54" s="546"/>
      <c r="E54" s="54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555" t="s">
        <v>158</v>
      </c>
      <c r="S54" s="556"/>
      <c r="T54" s="260">
        <f>$D$39+$Y$39+$Z$39</f>
        <v>6299.849313969612</v>
      </c>
      <c r="U54" s="261">
        <f>(T54*1.54*8.34)/45000</f>
        <v>1.7980609921977804</v>
      </c>
    </row>
    <row r="55" spans="1:25" ht="24" thickTop="1" x14ac:dyDescent="0.25">
      <c r="A55" s="591"/>
      <c r="B55" s="59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5">
      <c r="A56" s="593"/>
      <c r="B56" s="59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89"/>
      <c r="B57" s="59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90"/>
      <c r="B58" s="59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89"/>
      <c r="B59" s="59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90"/>
      <c r="B60" s="590"/>
      <c r="C60" s="12"/>
      <c r="D60" s="12"/>
      <c r="E60" s="12"/>
      <c r="F60" s="12"/>
      <c r="G60" s="12"/>
      <c r="H60" s="12"/>
      <c r="I60" s="12"/>
      <c r="J60" s="12"/>
      <c r="K60" s="12"/>
    </row>
    <row r="61" spans="1:25" x14ac:dyDescent="0.25">
      <c r="A61" s="12"/>
      <c r="B61" s="12"/>
      <c r="C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UaS5wqkde+pVA9Xv3AwodEQAxLEbERIJ+Z5UE/Z1S5YM+9seoCFojXm/+R5yzY9A8ccO6ffVup5HMowE8fUCKA==" saltValue="MhxC7sJvV79zAk9YXWXkew==" spinCount="100000" sheet="1" objects="1" scenarios="1" selectLockedCells="1" selectUnlockedCells="1"/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65"/>
  <sheetViews>
    <sheetView topLeftCell="AH1" zoomScale="60" zoomScaleNormal="60" workbookViewId="0">
      <selection activeCell="AH40" sqref="AH40:AQ40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3.140625" bestFit="1" customWidth="1"/>
    <col min="10" max="10" width="25.42578125" bestFit="1" customWidth="1"/>
    <col min="11" max="11" width="19.140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47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 x14ac:dyDescent="0.25">
      <c r="A2" s="1" t="s">
        <v>2</v>
      </c>
      <c r="B2" s="5"/>
      <c r="O2" s="4"/>
      <c r="P2" s="4"/>
      <c r="Q2" s="4"/>
      <c r="R2" s="4"/>
    </row>
    <row r="3" spans="1:47" ht="15.75" thickBot="1" x14ac:dyDescent="0.3">
      <c r="A3" s="6"/>
    </row>
    <row r="4" spans="1:47" ht="30" customHeight="1" thickTop="1" x14ac:dyDescent="0.25">
      <c r="A4" s="13"/>
      <c r="B4" s="568" t="s">
        <v>3</v>
      </c>
      <c r="C4" s="569"/>
      <c r="D4" s="569"/>
      <c r="E4" s="569"/>
      <c r="F4" s="569"/>
      <c r="G4" s="569"/>
      <c r="H4" s="570"/>
      <c r="I4" s="568" t="s">
        <v>4</v>
      </c>
      <c r="J4" s="569"/>
      <c r="K4" s="569"/>
      <c r="L4" s="569"/>
      <c r="M4" s="569"/>
      <c r="N4" s="570"/>
      <c r="O4" s="574" t="s">
        <v>5</v>
      </c>
      <c r="P4" s="575"/>
      <c r="Q4" s="576"/>
      <c r="R4" s="576"/>
      <c r="S4" s="576"/>
      <c r="T4" s="577"/>
      <c r="U4" s="568" t="s">
        <v>6</v>
      </c>
      <c r="V4" s="581"/>
      <c r="W4" s="581"/>
      <c r="X4" s="581"/>
      <c r="Y4" s="581"/>
      <c r="Z4" s="581"/>
      <c r="AA4" s="582"/>
      <c r="AB4" s="553" t="s">
        <v>7</v>
      </c>
      <c r="AC4" s="587" t="s">
        <v>8</v>
      </c>
      <c r="AD4" s="566" t="s">
        <v>27</v>
      </c>
      <c r="AE4" s="566" t="s">
        <v>31</v>
      </c>
      <c r="AF4" s="566" t="s">
        <v>32</v>
      </c>
      <c r="AG4" s="566" t="s">
        <v>33</v>
      </c>
      <c r="AH4" s="553" t="s">
        <v>175</v>
      </c>
      <c r="AI4" s="553" t="s">
        <v>176</v>
      </c>
      <c r="AJ4" s="553" t="s">
        <v>177</v>
      </c>
      <c r="AK4" s="553" t="s">
        <v>178</v>
      </c>
      <c r="AL4" s="553" t="s">
        <v>179</v>
      </c>
      <c r="AM4" s="553" t="s">
        <v>180</v>
      </c>
      <c r="AN4" s="553" t="s">
        <v>181</v>
      </c>
      <c r="AO4" s="553" t="s">
        <v>184</v>
      </c>
      <c r="AP4" s="553" t="s">
        <v>182</v>
      </c>
      <c r="AQ4" s="553" t="s">
        <v>183</v>
      </c>
      <c r="AT4" t="s">
        <v>171</v>
      </c>
      <c r="AU4" s="340" t="s">
        <v>209</v>
      </c>
    </row>
    <row r="5" spans="1:47" ht="30" customHeight="1" thickBot="1" x14ac:dyDescent="0.3">
      <c r="A5" s="13"/>
      <c r="B5" s="571"/>
      <c r="C5" s="572"/>
      <c r="D5" s="572"/>
      <c r="E5" s="572"/>
      <c r="F5" s="572"/>
      <c r="G5" s="572"/>
      <c r="H5" s="573"/>
      <c r="I5" s="571"/>
      <c r="J5" s="572"/>
      <c r="K5" s="572"/>
      <c r="L5" s="572"/>
      <c r="M5" s="572"/>
      <c r="N5" s="573"/>
      <c r="O5" s="578"/>
      <c r="P5" s="579"/>
      <c r="Q5" s="579"/>
      <c r="R5" s="579"/>
      <c r="S5" s="579"/>
      <c r="T5" s="580"/>
      <c r="U5" s="583"/>
      <c r="V5" s="584"/>
      <c r="W5" s="584"/>
      <c r="X5" s="584"/>
      <c r="Y5" s="584"/>
      <c r="Z5" s="584"/>
      <c r="AA5" s="585"/>
      <c r="AB5" s="586"/>
      <c r="AC5" s="588"/>
      <c r="AD5" s="567"/>
      <c r="AE5" s="567"/>
      <c r="AF5" s="567"/>
      <c r="AG5" s="567"/>
      <c r="AH5" s="554"/>
      <c r="AI5" s="554"/>
      <c r="AJ5" s="554"/>
      <c r="AK5" s="554"/>
      <c r="AL5" s="554"/>
      <c r="AM5" s="554"/>
      <c r="AN5" s="554"/>
      <c r="AO5" s="554"/>
      <c r="AP5" s="554"/>
      <c r="AQ5" s="554"/>
    </row>
    <row r="6" spans="1:47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9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172</v>
      </c>
      <c r="AI7" s="22" t="s">
        <v>172</v>
      </c>
      <c r="AJ7" s="22" t="s">
        <v>172</v>
      </c>
      <c r="AK7" s="22" t="s">
        <v>172</v>
      </c>
      <c r="AL7" s="22" t="s">
        <v>172</v>
      </c>
      <c r="AM7" s="22" t="s">
        <v>172</v>
      </c>
      <c r="AN7" s="22" t="s">
        <v>172</v>
      </c>
      <c r="AO7" s="22" t="s">
        <v>172</v>
      </c>
      <c r="AP7" s="22" t="s">
        <v>172</v>
      </c>
      <c r="AQ7" s="22" t="s">
        <v>172</v>
      </c>
    </row>
    <row r="8" spans="1:47" x14ac:dyDescent="0.25">
      <c r="A8" s="11">
        <v>41760</v>
      </c>
      <c r="B8" s="49"/>
      <c r="C8" s="50">
        <v>24.947891891002627</v>
      </c>
      <c r="D8" s="50">
        <v>223.05144142111141</v>
      </c>
      <c r="E8" s="50">
        <v>4.900513986746466</v>
      </c>
      <c r="F8" s="50">
        <v>0</v>
      </c>
      <c r="G8" s="50">
        <v>413.90191211700426</v>
      </c>
      <c r="H8" s="51">
        <v>0</v>
      </c>
      <c r="I8" s="49">
        <v>373.83002511660254</v>
      </c>
      <c r="J8" s="50">
        <v>877.19178819656429</v>
      </c>
      <c r="K8" s="50">
        <v>32.353116889794698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361.69503701527702</v>
      </c>
      <c r="V8" s="54">
        <v>0</v>
      </c>
      <c r="W8" s="54">
        <v>32.52840435107553</v>
      </c>
      <c r="X8" s="54">
        <v>0</v>
      </c>
      <c r="Y8" s="54">
        <v>227.68156557083151</v>
      </c>
      <c r="Z8" s="54">
        <v>0</v>
      </c>
      <c r="AA8" s="55">
        <v>0</v>
      </c>
      <c r="AB8" s="56">
        <v>35.809231562084435</v>
      </c>
      <c r="AC8" s="57">
        <v>0</v>
      </c>
      <c r="AD8" s="57">
        <v>14.95281905531883</v>
      </c>
      <c r="AE8" s="58">
        <v>14.808626420504684</v>
      </c>
      <c r="AF8" s="58">
        <v>0</v>
      </c>
      <c r="AG8" s="58">
        <v>1</v>
      </c>
      <c r="AH8" s="57">
        <v>224.55499476591743</v>
      </c>
      <c r="AI8" s="57">
        <v>614.0490975697835</v>
      </c>
      <c r="AJ8" s="57">
        <v>2256.7407492955522</v>
      </c>
      <c r="AK8" s="57">
        <v>653.82133057912176</v>
      </c>
      <c r="AL8" s="57">
        <v>1531.0042629241948</v>
      </c>
      <c r="AM8" s="57">
        <v>2378.6005695343015</v>
      </c>
      <c r="AN8" s="57">
        <v>589.78370199203493</v>
      </c>
      <c r="AO8" s="57">
        <v>2229.577361806234</v>
      </c>
      <c r="AP8" s="57">
        <v>362.67859616279605</v>
      </c>
      <c r="AQ8" s="57">
        <v>689.25514268875122</v>
      </c>
    </row>
    <row r="9" spans="1:47" x14ac:dyDescent="0.25">
      <c r="A9" s="11">
        <v>41761</v>
      </c>
      <c r="B9" s="59"/>
      <c r="C9" s="60">
        <v>37.074596828222347</v>
      </c>
      <c r="D9" s="60">
        <v>291.73967727025348</v>
      </c>
      <c r="E9" s="60">
        <v>6.8832626690467089</v>
      </c>
      <c r="F9" s="60">
        <v>0</v>
      </c>
      <c r="G9" s="60">
        <v>1042.2948566436785</v>
      </c>
      <c r="H9" s="61">
        <v>0</v>
      </c>
      <c r="I9" s="59">
        <v>417.54787778854387</v>
      </c>
      <c r="J9" s="60">
        <v>979.96236362457341</v>
      </c>
      <c r="K9" s="60">
        <v>36.423921018838904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392.71257086859561</v>
      </c>
      <c r="V9" s="62">
        <v>0</v>
      </c>
      <c r="W9" s="62">
        <v>35.679364442825282</v>
      </c>
      <c r="X9" s="62">
        <v>0</v>
      </c>
      <c r="Y9" s="66">
        <v>246.33422596454528</v>
      </c>
      <c r="Z9" s="66">
        <v>0</v>
      </c>
      <c r="AA9" s="67">
        <v>0</v>
      </c>
      <c r="AB9" s="68">
        <v>38.299637466006828</v>
      </c>
      <c r="AC9" s="69">
        <v>0</v>
      </c>
      <c r="AD9" s="69">
        <v>16.231249036391571</v>
      </c>
      <c r="AE9" s="68">
        <v>16.068493184506636</v>
      </c>
      <c r="AF9" s="68">
        <v>0</v>
      </c>
      <c r="AG9" s="68">
        <v>1</v>
      </c>
      <c r="AH9" s="69">
        <v>211.4366027673085</v>
      </c>
      <c r="AI9" s="69">
        <v>678.69626391728718</v>
      </c>
      <c r="AJ9" s="69">
        <v>3046.1291507720948</v>
      </c>
      <c r="AK9" s="69">
        <v>654.38571812311807</v>
      </c>
      <c r="AL9" s="69">
        <v>1444.7379213968911</v>
      </c>
      <c r="AM9" s="69">
        <v>2279.3460163116461</v>
      </c>
      <c r="AN9" s="69">
        <v>583.83856633504217</v>
      </c>
      <c r="AO9" s="69">
        <v>2424.3469178517657</v>
      </c>
      <c r="AP9" s="69">
        <v>400.59663853645321</v>
      </c>
      <c r="AQ9" s="69">
        <v>838.1656490008038</v>
      </c>
    </row>
    <row r="10" spans="1:47" x14ac:dyDescent="0.25">
      <c r="A10" s="11">
        <v>41762</v>
      </c>
      <c r="B10" s="59"/>
      <c r="C10" s="60">
        <v>42.564304769039197</v>
      </c>
      <c r="D10" s="60">
        <v>313.87746232350713</v>
      </c>
      <c r="E10" s="60">
        <v>7.3604380885759904</v>
      </c>
      <c r="F10" s="60">
        <v>0</v>
      </c>
      <c r="G10" s="60">
        <v>1182.3116534551002</v>
      </c>
      <c r="H10" s="61">
        <v>0</v>
      </c>
      <c r="I10" s="59">
        <v>419.48974145253459</v>
      </c>
      <c r="J10" s="60">
        <v>1007.4865034103397</v>
      </c>
      <c r="K10" s="60">
        <v>37.386842024326342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415.39018618266289</v>
      </c>
      <c r="V10" s="62">
        <v>0</v>
      </c>
      <c r="W10" s="62">
        <v>37.843862207730616</v>
      </c>
      <c r="X10" s="62">
        <v>0</v>
      </c>
      <c r="Y10" s="66">
        <v>260.65182318687391</v>
      </c>
      <c r="Z10" s="66">
        <v>0</v>
      </c>
      <c r="AA10" s="67">
        <v>0</v>
      </c>
      <c r="AB10" s="68">
        <v>41.841155054834765</v>
      </c>
      <c r="AC10" s="69">
        <v>0</v>
      </c>
      <c r="AD10" s="69">
        <v>17.178165129820492</v>
      </c>
      <c r="AE10" s="68">
        <v>16.98432137963745</v>
      </c>
      <c r="AF10" s="68">
        <v>0</v>
      </c>
      <c r="AG10" s="68">
        <v>1</v>
      </c>
      <c r="AH10" s="69">
        <v>195.90529870986936</v>
      </c>
      <c r="AI10" s="69">
        <v>667.75829737981155</v>
      </c>
      <c r="AJ10" s="69">
        <v>3100.2811308542878</v>
      </c>
      <c r="AK10" s="69">
        <v>653.7548885345459</v>
      </c>
      <c r="AL10" s="69">
        <v>1418.9942242940267</v>
      </c>
      <c r="AM10" s="69">
        <v>2191.9586270650229</v>
      </c>
      <c r="AN10" s="69">
        <v>614.37279942830412</v>
      </c>
      <c r="AO10" s="69">
        <v>2443.5369099934901</v>
      </c>
      <c r="AP10" s="69">
        <v>477.86893173853565</v>
      </c>
      <c r="AQ10" s="69">
        <v>881.26339098612459</v>
      </c>
    </row>
    <row r="11" spans="1:47" x14ac:dyDescent="0.25">
      <c r="A11" s="11">
        <v>41763</v>
      </c>
      <c r="B11" s="59"/>
      <c r="C11" s="60">
        <v>43.054778973261641</v>
      </c>
      <c r="D11" s="60">
        <v>318.55060237248824</v>
      </c>
      <c r="E11" s="60">
        <v>7.386774078011511</v>
      </c>
      <c r="F11" s="60">
        <v>0</v>
      </c>
      <c r="G11" s="60">
        <v>1141.510853767398</v>
      </c>
      <c r="H11" s="61">
        <v>0</v>
      </c>
      <c r="I11" s="59">
        <v>395.72103184064332</v>
      </c>
      <c r="J11" s="60">
        <v>1058.6444776535025</v>
      </c>
      <c r="K11" s="60">
        <v>39.132468014955528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436.92882675594251</v>
      </c>
      <c r="V11" s="62">
        <v>0</v>
      </c>
      <c r="W11" s="62">
        <v>39.518801736831669</v>
      </c>
      <c r="X11" s="62">
        <v>0</v>
      </c>
      <c r="Y11" s="66">
        <v>273.87172435124728</v>
      </c>
      <c r="Z11" s="66">
        <v>0</v>
      </c>
      <c r="AA11" s="67">
        <v>0</v>
      </c>
      <c r="AB11" s="68">
        <v>41.844319788615437</v>
      </c>
      <c r="AC11" s="69">
        <v>0</v>
      </c>
      <c r="AD11" s="69">
        <v>18.037991351551497</v>
      </c>
      <c r="AE11" s="68">
        <v>17.853514954318186</v>
      </c>
      <c r="AF11" s="68">
        <v>0</v>
      </c>
      <c r="AG11" s="68">
        <v>1</v>
      </c>
      <c r="AH11" s="69">
        <v>191.34566538333894</v>
      </c>
      <c r="AI11" s="69">
        <v>666.73331629435233</v>
      </c>
      <c r="AJ11" s="69">
        <v>3055.9123439788823</v>
      </c>
      <c r="AK11" s="69">
        <v>661.73939714431776</v>
      </c>
      <c r="AL11" s="69">
        <v>1398.9527987162271</v>
      </c>
      <c r="AM11" s="69">
        <v>2260.7344776153564</v>
      </c>
      <c r="AN11" s="69">
        <v>553.37745679219563</v>
      </c>
      <c r="AO11" s="69">
        <v>2446.7916238149005</v>
      </c>
      <c r="AP11" s="69">
        <v>481.28200721740728</v>
      </c>
      <c r="AQ11" s="69">
        <v>937.93204285303761</v>
      </c>
    </row>
    <row r="12" spans="1:47" x14ac:dyDescent="0.25">
      <c r="A12" s="11">
        <v>41764</v>
      </c>
      <c r="B12" s="59"/>
      <c r="C12" s="60">
        <v>43.556848714749044</v>
      </c>
      <c r="D12" s="60">
        <v>319.41311351458234</v>
      </c>
      <c r="E12" s="60">
        <v>6.8774571021398119</v>
      </c>
      <c r="F12" s="60">
        <v>0</v>
      </c>
      <c r="G12" s="60">
        <v>1067.6923297882101</v>
      </c>
      <c r="H12" s="61">
        <v>0</v>
      </c>
      <c r="I12" s="59">
        <v>372.00934686660685</v>
      </c>
      <c r="J12" s="60">
        <v>1230.0879156748458</v>
      </c>
      <c r="K12" s="60">
        <v>45.952912980318033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493.87201813591901</v>
      </c>
      <c r="V12" s="62">
        <v>0</v>
      </c>
      <c r="W12" s="62">
        <v>44.401532431443371</v>
      </c>
      <c r="X12" s="62">
        <v>0</v>
      </c>
      <c r="Y12" s="66">
        <v>311.18283952077229</v>
      </c>
      <c r="Z12" s="66">
        <v>0</v>
      </c>
      <c r="AA12" s="67">
        <v>0</v>
      </c>
      <c r="AB12" s="68">
        <v>44.153589895036568</v>
      </c>
      <c r="AC12" s="69">
        <v>0</v>
      </c>
      <c r="AD12" s="69">
        <v>20.33376016550595</v>
      </c>
      <c r="AE12" s="68">
        <v>20.084272913509874</v>
      </c>
      <c r="AF12" s="68">
        <v>0</v>
      </c>
      <c r="AG12" s="68">
        <v>1</v>
      </c>
      <c r="AH12" s="69">
        <v>189.54506405194601</v>
      </c>
      <c r="AI12" s="69">
        <v>678.67000246047962</v>
      </c>
      <c r="AJ12" s="69">
        <v>3054.2253122965499</v>
      </c>
      <c r="AK12" s="69">
        <v>666.85656293233239</v>
      </c>
      <c r="AL12" s="69">
        <v>1566.3270818710328</v>
      </c>
      <c r="AM12" s="69">
        <v>2336.7076592763269</v>
      </c>
      <c r="AN12" s="69">
        <v>565.96731634140008</v>
      </c>
      <c r="AO12" s="69">
        <v>2949.1636454264321</v>
      </c>
      <c r="AP12" s="69">
        <v>471.23968156178785</v>
      </c>
      <c r="AQ12" s="69">
        <v>936.48869613011675</v>
      </c>
    </row>
    <row r="13" spans="1:47" x14ac:dyDescent="0.25">
      <c r="A13" s="11">
        <v>41765</v>
      </c>
      <c r="B13" s="59"/>
      <c r="C13" s="60">
        <v>42.890267372131518</v>
      </c>
      <c r="D13" s="60">
        <v>313.8540983835851</v>
      </c>
      <c r="E13" s="60">
        <v>6.4273970350623166</v>
      </c>
      <c r="F13" s="60">
        <v>0</v>
      </c>
      <c r="G13" s="60">
        <v>896.89249579111765</v>
      </c>
      <c r="H13" s="61">
        <v>12.209276778499291</v>
      </c>
      <c r="I13" s="59">
        <v>354.90764621098867</v>
      </c>
      <c r="J13" s="60">
        <v>1095.0544404983516</v>
      </c>
      <c r="K13" s="60">
        <v>40.732834984858812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444.47864227060285</v>
      </c>
      <c r="V13" s="62">
        <v>21.279261294700053</v>
      </c>
      <c r="W13" s="62">
        <v>40.783252047040186</v>
      </c>
      <c r="X13" s="62">
        <v>1.9524840886015646</v>
      </c>
      <c r="Y13" s="66">
        <v>283.8239749656106</v>
      </c>
      <c r="Z13" s="66">
        <v>13.58797465304686</v>
      </c>
      <c r="AA13" s="67">
        <v>0</v>
      </c>
      <c r="AB13" s="68">
        <v>48.799039869838552</v>
      </c>
      <c r="AC13" s="69">
        <v>0</v>
      </c>
      <c r="AD13" s="69">
        <v>19.42030105325906</v>
      </c>
      <c r="AE13" s="68">
        <v>18.17211656668551</v>
      </c>
      <c r="AF13" s="68">
        <v>0.86998379657763025</v>
      </c>
      <c r="AG13" s="68">
        <v>0.95431261363079256</v>
      </c>
      <c r="AH13" s="69">
        <v>195.8794214963913</v>
      </c>
      <c r="AI13" s="69">
        <v>686.55148321787522</v>
      </c>
      <c r="AJ13" s="69">
        <v>3028.617219289144</v>
      </c>
      <c r="AK13" s="69">
        <v>659.41464710235584</v>
      </c>
      <c r="AL13" s="69">
        <v>1608.9171637852985</v>
      </c>
      <c r="AM13" s="69">
        <v>2334.1197001139326</v>
      </c>
      <c r="AN13" s="69">
        <v>593.51702299118051</v>
      </c>
      <c r="AO13" s="69">
        <v>2910.9871360778807</v>
      </c>
      <c r="AP13" s="69">
        <v>441.43723173141473</v>
      </c>
      <c r="AQ13" s="69">
        <v>872.18929551442477</v>
      </c>
    </row>
    <row r="14" spans="1:47" x14ac:dyDescent="0.25">
      <c r="A14" s="11">
        <v>41765</v>
      </c>
      <c r="B14" s="59"/>
      <c r="C14" s="60">
        <v>42.890267372131518</v>
      </c>
      <c r="D14" s="60">
        <v>313.8540983835851</v>
      </c>
      <c r="E14" s="60">
        <v>6.5773160879810604</v>
      </c>
      <c r="F14" s="60">
        <v>0</v>
      </c>
      <c r="G14" s="60">
        <v>896.89249579111765</v>
      </c>
      <c r="H14" s="61">
        <v>12.209276778499291</v>
      </c>
      <c r="I14" s="59">
        <v>354.90764621098867</v>
      </c>
      <c r="J14" s="60">
        <v>1095.0544404983516</v>
      </c>
      <c r="K14" s="60">
        <v>40.732834984858812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444.47864227060285</v>
      </c>
      <c r="V14" s="62">
        <v>21.279261294700053</v>
      </c>
      <c r="W14" s="62">
        <v>40.783252047040186</v>
      </c>
      <c r="X14" s="62">
        <v>1.9524840886015646</v>
      </c>
      <c r="Y14" s="66">
        <v>283.8239749656106</v>
      </c>
      <c r="Z14" s="66">
        <v>13.58797465304686</v>
      </c>
      <c r="AA14" s="67">
        <v>0</v>
      </c>
      <c r="AB14" s="68">
        <v>48.799039869838552</v>
      </c>
      <c r="AC14" s="69">
        <v>0</v>
      </c>
      <c r="AD14" s="69">
        <v>19.42030105325906</v>
      </c>
      <c r="AE14" s="68">
        <v>18.17211656668551</v>
      </c>
      <c r="AF14" s="68">
        <v>0.86998379657763025</v>
      </c>
      <c r="AG14" s="68">
        <v>0.95431261363079256</v>
      </c>
      <c r="AH14" s="69">
        <v>195.8794214963913</v>
      </c>
      <c r="AI14" s="69">
        <v>686.55148321787522</v>
      </c>
      <c r="AJ14" s="69">
        <v>3028.617219289144</v>
      </c>
      <c r="AK14" s="69">
        <v>659.41464710235584</v>
      </c>
      <c r="AL14" s="69">
        <v>1608.9171637852985</v>
      </c>
      <c r="AM14" s="69">
        <v>2334.1197001139326</v>
      </c>
      <c r="AN14" s="69">
        <v>593.51702299118051</v>
      </c>
      <c r="AO14" s="69">
        <v>2910.9871360778807</v>
      </c>
      <c r="AP14" s="69">
        <v>441.43723173141473</v>
      </c>
      <c r="AQ14" s="69">
        <v>872.18929551442477</v>
      </c>
    </row>
    <row r="15" spans="1:47" x14ac:dyDescent="0.25">
      <c r="A15" s="11">
        <v>41766</v>
      </c>
      <c r="B15" s="59"/>
      <c r="C15" s="60">
        <v>41.690650582313445</v>
      </c>
      <c r="D15" s="60">
        <v>310.87060018380487</v>
      </c>
      <c r="E15" s="60">
        <v>6.6865723753968975</v>
      </c>
      <c r="F15" s="60">
        <v>0</v>
      </c>
      <c r="G15" s="60">
        <v>807.5574806213375</v>
      </c>
      <c r="H15" s="61">
        <v>19.78425219655038</v>
      </c>
      <c r="I15" s="59">
        <v>359.92433314720711</v>
      </c>
      <c r="J15" s="60">
        <v>1011.9022186597197</v>
      </c>
      <c r="K15" s="60">
        <v>37.477026089032471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407.93856964794134</v>
      </c>
      <c r="V15" s="62">
        <v>48.152453500492385</v>
      </c>
      <c r="W15" s="62">
        <v>37.265377340099263</v>
      </c>
      <c r="X15" s="62">
        <v>4.3987489368706907</v>
      </c>
      <c r="Y15" s="66">
        <v>263.8133004520115</v>
      </c>
      <c r="Z15" s="66">
        <v>31.140124097091533</v>
      </c>
      <c r="AA15" s="67">
        <v>0</v>
      </c>
      <c r="AB15" s="68">
        <v>41.162170479032199</v>
      </c>
      <c r="AC15" s="69">
        <v>0</v>
      </c>
      <c r="AD15" s="69">
        <v>19.312759381201538</v>
      </c>
      <c r="AE15" s="68">
        <v>16.909744413465845</v>
      </c>
      <c r="AF15" s="68">
        <v>1.9960007269656654</v>
      </c>
      <c r="AG15" s="68">
        <v>0.89442358858963711</v>
      </c>
      <c r="AH15" s="69">
        <v>201.17031780083974</v>
      </c>
      <c r="AI15" s="69">
        <v>672.15750013987224</v>
      </c>
      <c r="AJ15" s="69">
        <v>2985.6844800949102</v>
      </c>
      <c r="AK15" s="69">
        <v>650.84227185249324</v>
      </c>
      <c r="AL15" s="69">
        <v>1801.4311755498252</v>
      </c>
      <c r="AM15" s="69">
        <v>2319.0998600006101</v>
      </c>
      <c r="AN15" s="69">
        <v>603.05001166661577</v>
      </c>
      <c r="AO15" s="69">
        <v>2776.9253340403243</v>
      </c>
      <c r="AP15" s="69">
        <v>453.36052976449332</v>
      </c>
      <c r="AQ15" s="69">
        <v>746.4337918917339</v>
      </c>
    </row>
    <row r="16" spans="1:47" x14ac:dyDescent="0.25">
      <c r="A16" s="11">
        <v>41767</v>
      </c>
      <c r="B16" s="59"/>
      <c r="C16" s="60">
        <v>38.174732873837208</v>
      </c>
      <c r="D16" s="60">
        <v>301.44297237396296</v>
      </c>
      <c r="E16" s="60">
        <v>6.3911605924368011</v>
      </c>
      <c r="F16" s="60">
        <v>0</v>
      </c>
      <c r="G16" s="60">
        <v>746.37946834564184</v>
      </c>
      <c r="H16" s="61">
        <v>19.883382519086204</v>
      </c>
      <c r="I16" s="59">
        <v>373.2289103190098</v>
      </c>
      <c r="J16" s="60">
        <v>1011.4938986460368</v>
      </c>
      <c r="K16" s="60">
        <v>37.554542497793896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399.83742894162549</v>
      </c>
      <c r="V16" s="62">
        <v>47.273934236205911</v>
      </c>
      <c r="W16" s="62">
        <v>36.278447978329758</v>
      </c>
      <c r="X16" s="62">
        <v>4.2893057022171996</v>
      </c>
      <c r="Y16" s="66">
        <v>259.75850296545065</v>
      </c>
      <c r="Z16" s="66">
        <v>30.711998171328805</v>
      </c>
      <c r="AA16" s="67">
        <v>0</v>
      </c>
      <c r="AB16" s="68">
        <v>40.514969926409492</v>
      </c>
      <c r="AC16" s="69">
        <v>0</v>
      </c>
      <c r="AD16" s="69">
        <v>18.970459892352409</v>
      </c>
      <c r="AE16" s="68">
        <v>16.637666219731571</v>
      </c>
      <c r="AF16" s="68">
        <v>1.9671193384708481</v>
      </c>
      <c r="AG16" s="68">
        <v>0.89426809933836671</v>
      </c>
      <c r="AH16" s="69">
        <v>216.6549696922302</v>
      </c>
      <c r="AI16" s="69">
        <v>709.18328015009581</v>
      </c>
      <c r="AJ16" s="69">
        <v>2995.3632246653242</v>
      </c>
      <c r="AK16" s="69">
        <v>657.84261713027956</v>
      </c>
      <c r="AL16" s="69">
        <v>2077.6955402374269</v>
      </c>
      <c r="AM16" s="69">
        <v>2269.8050103505452</v>
      </c>
      <c r="AN16" s="69">
        <v>632.65310688018803</v>
      </c>
      <c r="AO16" s="69">
        <v>2824.9011072794597</v>
      </c>
      <c r="AP16" s="69">
        <v>460.08823868433632</v>
      </c>
      <c r="AQ16" s="69">
        <v>706.09667882919314</v>
      </c>
    </row>
    <row r="17" spans="1:43" x14ac:dyDescent="0.25">
      <c r="A17" s="11">
        <v>41768</v>
      </c>
      <c r="B17" s="49"/>
      <c r="C17" s="50">
        <v>32.448815554380474</v>
      </c>
      <c r="D17" s="50">
        <v>270.49316848119059</v>
      </c>
      <c r="E17" s="50">
        <v>6.413412210841976</v>
      </c>
      <c r="F17" s="50">
        <v>0</v>
      </c>
      <c r="G17" s="50">
        <v>769.56722647349102</v>
      </c>
      <c r="H17" s="51">
        <v>19.908886974056578</v>
      </c>
      <c r="I17" s="49">
        <v>347.66246495246924</v>
      </c>
      <c r="J17" s="50">
        <v>910.00636196136486</v>
      </c>
      <c r="K17" s="50">
        <v>33.980290196339233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365.40516833011856</v>
      </c>
      <c r="V17" s="66">
        <v>48.068757133242293</v>
      </c>
      <c r="W17" s="62">
        <v>34.055476524550826</v>
      </c>
      <c r="X17" s="62">
        <v>4.4799706517466298</v>
      </c>
      <c r="Y17" s="66">
        <v>237.32651825832596</v>
      </c>
      <c r="Z17" s="66">
        <v>31.220113332198757</v>
      </c>
      <c r="AA17" s="67">
        <v>0</v>
      </c>
      <c r="AB17" s="68">
        <v>40.51102407773223</v>
      </c>
      <c r="AC17" s="69">
        <v>0</v>
      </c>
      <c r="AD17" s="69">
        <v>17.538611143165124</v>
      </c>
      <c r="AE17" s="68">
        <v>15.181589075987032</v>
      </c>
      <c r="AF17" s="68">
        <v>1.9971258795415181</v>
      </c>
      <c r="AG17" s="68">
        <v>0.88374416336078776</v>
      </c>
      <c r="AH17" s="69">
        <v>223.25950124263761</v>
      </c>
      <c r="AI17" s="69">
        <v>727.06115271250417</v>
      </c>
      <c r="AJ17" s="69">
        <v>2998.9342725117995</v>
      </c>
      <c r="AK17" s="69">
        <v>639.6394067446389</v>
      </c>
      <c r="AL17" s="69">
        <v>2022.6871846516929</v>
      </c>
      <c r="AM17" s="69">
        <v>2288.9669067382806</v>
      </c>
      <c r="AN17" s="69">
        <v>609.39040247599291</v>
      </c>
      <c r="AO17" s="69">
        <v>2721.7418918609619</v>
      </c>
      <c r="AP17" s="69">
        <v>434.15956827799482</v>
      </c>
      <c r="AQ17" s="69">
        <v>724.51372356414788</v>
      </c>
    </row>
    <row r="18" spans="1:43" x14ac:dyDescent="0.25">
      <c r="A18" s="11">
        <v>41769</v>
      </c>
      <c r="B18" s="59"/>
      <c r="C18" s="60">
        <v>32.048360606034514</v>
      </c>
      <c r="D18" s="60">
        <v>259.56720980008475</v>
      </c>
      <c r="E18" s="60">
        <v>6.3965469176570657</v>
      </c>
      <c r="F18" s="60">
        <v>0</v>
      </c>
      <c r="G18" s="60">
        <v>746.54682842890384</v>
      </c>
      <c r="H18" s="61">
        <v>19.926544403036488</v>
      </c>
      <c r="I18" s="59">
        <v>320.74679713249236</v>
      </c>
      <c r="J18" s="60">
        <v>839.9030233383171</v>
      </c>
      <c r="K18" s="60">
        <v>31.55169467926024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338.81147846476392</v>
      </c>
      <c r="V18" s="62">
        <v>48.375370938622126</v>
      </c>
      <c r="W18" s="62">
        <v>31.486024411887616</v>
      </c>
      <c r="X18" s="62">
        <v>4.4955623026980209</v>
      </c>
      <c r="Y18" s="66">
        <v>216.08961071574427</v>
      </c>
      <c r="Z18" s="66">
        <v>30.85319045778353</v>
      </c>
      <c r="AA18" s="67">
        <v>0</v>
      </c>
      <c r="AB18" s="68">
        <v>36.421130487654146</v>
      </c>
      <c r="AC18" s="69">
        <v>0</v>
      </c>
      <c r="AD18" s="69">
        <v>16.333716123633927</v>
      </c>
      <c r="AE18" s="68">
        <v>13.999425694819456</v>
      </c>
      <c r="AF18" s="68">
        <v>1.9988325483636182</v>
      </c>
      <c r="AG18" s="68">
        <v>0.87505936471457268</v>
      </c>
      <c r="AH18" s="69">
        <v>206.92481524944307</v>
      </c>
      <c r="AI18" s="69">
        <v>706.09476397832225</v>
      </c>
      <c r="AJ18" s="69">
        <v>3004.2946795145676</v>
      </c>
      <c r="AK18" s="69">
        <v>640.40822655359909</v>
      </c>
      <c r="AL18" s="69">
        <v>2038.6356747945156</v>
      </c>
      <c r="AM18" s="69">
        <v>2212.9144302368163</v>
      </c>
      <c r="AN18" s="69">
        <v>596.94338922500606</v>
      </c>
      <c r="AO18" s="69">
        <v>2635.1794680277508</v>
      </c>
      <c r="AP18" s="69">
        <v>314.52219171524047</v>
      </c>
      <c r="AQ18" s="69">
        <v>762.6289991060894</v>
      </c>
    </row>
    <row r="19" spans="1:43" x14ac:dyDescent="0.25">
      <c r="A19" s="11">
        <v>41770</v>
      </c>
      <c r="B19" s="59"/>
      <c r="C19" s="60">
        <v>31.385707457860288</v>
      </c>
      <c r="D19" s="60">
        <v>259.32435445785524</v>
      </c>
      <c r="E19" s="60">
        <v>6.3965469176570657</v>
      </c>
      <c r="F19" s="60">
        <v>0</v>
      </c>
      <c r="G19" s="60">
        <v>764.41523895263515</v>
      </c>
      <c r="H19" s="61">
        <v>19.874607125918061</v>
      </c>
      <c r="I19" s="59">
        <v>235.37751662731176</v>
      </c>
      <c r="J19" s="60">
        <v>596.05020678838139</v>
      </c>
      <c r="K19" s="60">
        <v>22.328840451439227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243.14940696277947</v>
      </c>
      <c r="V19" s="62">
        <v>49.265880256371851</v>
      </c>
      <c r="W19" s="62">
        <v>21.503244942430523</v>
      </c>
      <c r="X19" s="62">
        <v>4.3568944036922197</v>
      </c>
      <c r="Y19" s="66">
        <v>147.10222822247275</v>
      </c>
      <c r="Z19" s="66">
        <v>29.80521668376182</v>
      </c>
      <c r="AA19" s="67">
        <v>0</v>
      </c>
      <c r="AB19" s="68">
        <v>26.958914544847822</v>
      </c>
      <c r="AC19" s="69">
        <v>0</v>
      </c>
      <c r="AD19" s="69">
        <v>12.04181125627626</v>
      </c>
      <c r="AE19" s="68">
        <v>9.7472122191316792</v>
      </c>
      <c r="AF19" s="68">
        <v>1.9749379446140045</v>
      </c>
      <c r="AG19" s="68">
        <v>0.83152084583235408</v>
      </c>
      <c r="AH19" s="69">
        <v>233.75053435166677</v>
      </c>
      <c r="AI19" s="69">
        <v>731.19812742869055</v>
      </c>
      <c r="AJ19" s="69">
        <v>2975.6469828287763</v>
      </c>
      <c r="AK19" s="69">
        <v>646.43634220759088</v>
      </c>
      <c r="AL19" s="69">
        <v>2173.8046410878501</v>
      </c>
      <c r="AM19" s="69">
        <v>2337.6042020161954</v>
      </c>
      <c r="AN19" s="69">
        <v>634.41154565811155</v>
      </c>
      <c r="AO19" s="69">
        <v>2463.9558753967285</v>
      </c>
      <c r="AP19" s="69">
        <v>330.42591333389277</v>
      </c>
      <c r="AQ19" s="69">
        <v>662.63863919576011</v>
      </c>
    </row>
    <row r="20" spans="1:43" x14ac:dyDescent="0.25">
      <c r="A20" s="11">
        <v>41771</v>
      </c>
      <c r="B20" s="59"/>
      <c r="C20" s="60">
        <v>30.967357258002021</v>
      </c>
      <c r="D20" s="60">
        <v>260.17501942316756</v>
      </c>
      <c r="E20" s="60">
        <v>6.3522291729847646</v>
      </c>
      <c r="F20" s="60">
        <v>0</v>
      </c>
      <c r="G20" s="60">
        <v>758.2164093653364</v>
      </c>
      <c r="H20" s="61">
        <v>19.974503740668354</v>
      </c>
      <c r="I20" s="59">
        <v>322.61764769554196</v>
      </c>
      <c r="J20" s="60">
        <v>737.63776810963941</v>
      </c>
      <c r="K20" s="60">
        <v>27.451650740702839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293.91799362148032</v>
      </c>
      <c r="V20" s="62">
        <v>45.483138495897251</v>
      </c>
      <c r="W20" s="62">
        <v>25.787081754749668</v>
      </c>
      <c r="X20" s="62">
        <v>3.9904920294426884</v>
      </c>
      <c r="Y20" s="66">
        <v>173.58432218621863</v>
      </c>
      <c r="Z20" s="66">
        <v>26.861777563982496</v>
      </c>
      <c r="AA20" s="67">
        <v>0</v>
      </c>
      <c r="AB20" s="68">
        <v>32.235154051251122</v>
      </c>
      <c r="AC20" s="69">
        <v>0</v>
      </c>
      <c r="AD20" s="69">
        <v>13.730120673775689</v>
      </c>
      <c r="AE20" s="68">
        <v>11.638539823674199</v>
      </c>
      <c r="AF20" s="68">
        <v>1.8010374668381737</v>
      </c>
      <c r="AG20" s="68">
        <v>0.86599002127026647</v>
      </c>
      <c r="AH20" s="69">
        <v>252.19402306079863</v>
      </c>
      <c r="AI20" s="69">
        <v>756.42554976145414</v>
      </c>
      <c r="AJ20" s="69">
        <v>3018.2790932973226</v>
      </c>
      <c r="AK20" s="69">
        <v>647.93970311482735</v>
      </c>
      <c r="AL20" s="69">
        <v>2188.6208653767899</v>
      </c>
      <c r="AM20" s="69">
        <v>2487.4633837381994</v>
      </c>
      <c r="AN20" s="69">
        <v>663.19497365951531</v>
      </c>
      <c r="AO20" s="69">
        <v>2167.2004539489744</v>
      </c>
      <c r="AP20" s="69">
        <v>386.26454229354863</v>
      </c>
      <c r="AQ20" s="69">
        <v>688.1298410733541</v>
      </c>
    </row>
    <row r="21" spans="1:43" x14ac:dyDescent="0.25">
      <c r="A21" s="11">
        <v>41772</v>
      </c>
      <c r="B21" s="59"/>
      <c r="C21" s="60">
        <v>32.134257803360406</v>
      </c>
      <c r="D21" s="60">
        <v>259.41379129091899</v>
      </c>
      <c r="E21" s="60">
        <v>6.3813706586758281</v>
      </c>
      <c r="F21" s="60">
        <v>0</v>
      </c>
      <c r="G21" s="60">
        <v>762.38016386032234</v>
      </c>
      <c r="H21" s="61">
        <v>19.902180234591118</v>
      </c>
      <c r="I21" s="59">
        <v>282.02714875539084</v>
      </c>
      <c r="J21" s="60">
        <v>665.69809071222846</v>
      </c>
      <c r="K21" s="60">
        <v>24.890467690428121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262.90825038538838</v>
      </c>
      <c r="V21" s="62">
        <v>47.476766246691874</v>
      </c>
      <c r="W21" s="62">
        <v>23.849500159672719</v>
      </c>
      <c r="X21" s="62">
        <v>4.3068148014428074</v>
      </c>
      <c r="Y21" s="66">
        <v>164.97682270736968</v>
      </c>
      <c r="Z21" s="66">
        <v>29.792013131266224</v>
      </c>
      <c r="AA21" s="67">
        <v>0</v>
      </c>
      <c r="AB21" s="68">
        <v>30.125534844397873</v>
      </c>
      <c r="AC21" s="69">
        <v>0</v>
      </c>
      <c r="AD21" s="69">
        <v>12.827304879824316</v>
      </c>
      <c r="AE21" s="68">
        <v>10.616474222066012</v>
      </c>
      <c r="AF21" s="68">
        <v>1.9171549932959826</v>
      </c>
      <c r="AG21" s="68">
        <v>0.84703911689471401</v>
      </c>
      <c r="AH21" s="69">
        <v>240.08694210847216</v>
      </c>
      <c r="AI21" s="69">
        <v>769.21021067301422</v>
      </c>
      <c r="AJ21" s="69">
        <v>2998.1368390401199</v>
      </c>
      <c r="AK21" s="69">
        <v>635.22356866200766</v>
      </c>
      <c r="AL21" s="69">
        <v>2141.2121991475419</v>
      </c>
      <c r="AM21" s="69">
        <v>2504.2740957895912</v>
      </c>
      <c r="AN21" s="69">
        <v>637.66408357620253</v>
      </c>
      <c r="AO21" s="69">
        <v>2125.5228149414061</v>
      </c>
      <c r="AP21" s="69">
        <v>325.54687115351356</v>
      </c>
      <c r="AQ21" s="69">
        <v>692.03509435653677</v>
      </c>
    </row>
    <row r="22" spans="1:43" x14ac:dyDescent="0.25">
      <c r="A22" s="11">
        <v>41773</v>
      </c>
      <c r="B22" s="59"/>
      <c r="C22" s="60">
        <v>31.11331755916266</v>
      </c>
      <c r="D22" s="60">
        <v>259.39028221766148</v>
      </c>
      <c r="E22" s="60">
        <v>6.3234550605217601</v>
      </c>
      <c r="F22" s="60">
        <v>0</v>
      </c>
      <c r="G22" s="60">
        <v>787.29933780034366</v>
      </c>
      <c r="H22" s="61">
        <v>19.914148027698207</v>
      </c>
      <c r="I22" s="59">
        <v>253.63059245745322</v>
      </c>
      <c r="J22" s="60">
        <v>602.68733898798587</v>
      </c>
      <c r="K22" s="60">
        <v>22.464520740509077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247.40454312277743</v>
      </c>
      <c r="V22" s="62">
        <v>49.506048723265749</v>
      </c>
      <c r="W22" s="62">
        <v>21.874233267964332</v>
      </c>
      <c r="X22" s="62">
        <v>4.3770694114154463</v>
      </c>
      <c r="Y22" s="66">
        <v>156.28352946874449</v>
      </c>
      <c r="Z22" s="66">
        <v>31.272586698959831</v>
      </c>
      <c r="AA22" s="67">
        <v>0</v>
      </c>
      <c r="AB22" s="68">
        <v>27.876240314377167</v>
      </c>
      <c r="AC22" s="69">
        <v>0</v>
      </c>
      <c r="AD22" s="69">
        <v>12.253900151120281</v>
      </c>
      <c r="AE22" s="68">
        <v>9.9954394653036722</v>
      </c>
      <c r="AF22" s="68">
        <v>2.0001035831189622</v>
      </c>
      <c r="AG22" s="68">
        <v>0.83326277309454799</v>
      </c>
      <c r="AH22" s="69">
        <v>228.78925605614978</v>
      </c>
      <c r="AI22" s="69">
        <v>780.01811653772984</v>
      </c>
      <c r="AJ22" s="69">
        <v>3014.5767913818363</v>
      </c>
      <c r="AK22" s="69">
        <v>629.85212345123273</v>
      </c>
      <c r="AL22" s="69">
        <v>2107.3663113911948</v>
      </c>
      <c r="AM22" s="69">
        <v>2425.3747383117675</v>
      </c>
      <c r="AN22" s="69">
        <v>624.89291054407749</v>
      </c>
      <c r="AO22" s="69">
        <v>1896.5889605204268</v>
      </c>
      <c r="AP22" s="69">
        <v>304.78094635009762</v>
      </c>
      <c r="AQ22" s="69">
        <v>708.52811244328814</v>
      </c>
    </row>
    <row r="23" spans="1:43" x14ac:dyDescent="0.25">
      <c r="A23" s="11">
        <v>41774</v>
      </c>
      <c r="B23" s="59"/>
      <c r="C23" s="60">
        <v>30.879247287909134</v>
      </c>
      <c r="D23" s="60">
        <v>259.59417818387362</v>
      </c>
      <c r="E23" s="60">
        <v>6.4453324551383693</v>
      </c>
      <c r="F23" s="60">
        <v>0</v>
      </c>
      <c r="G23" s="60">
        <v>773.29822543462171</v>
      </c>
      <c r="H23" s="61">
        <v>19.875890985131271</v>
      </c>
      <c r="I23" s="59">
        <v>256.83058737118995</v>
      </c>
      <c r="J23" s="60">
        <v>610.61594899495424</v>
      </c>
      <c r="K23" s="60">
        <v>22.895134815573673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247.42069110288665</v>
      </c>
      <c r="V23" s="62">
        <v>49.467078129971384</v>
      </c>
      <c r="W23" s="62">
        <v>21.899224564139985</v>
      </c>
      <c r="X23" s="62">
        <v>4.378334922884962</v>
      </c>
      <c r="Y23" s="66">
        <v>165.93820099577115</v>
      </c>
      <c r="Z23" s="66">
        <v>33.176198469154379</v>
      </c>
      <c r="AA23" s="67">
        <v>0</v>
      </c>
      <c r="AB23" s="68">
        <v>27.879067277908323</v>
      </c>
      <c r="AC23" s="69">
        <v>0</v>
      </c>
      <c r="AD23" s="69">
        <v>12.192583181460686</v>
      </c>
      <c r="AE23" s="68">
        <v>10.003461719495863</v>
      </c>
      <c r="AF23" s="68">
        <v>2.0000025876684098</v>
      </c>
      <c r="AG23" s="68">
        <v>0.83338121924728781</v>
      </c>
      <c r="AH23" s="69">
        <v>214.39011945724482</v>
      </c>
      <c r="AI23" s="69">
        <v>745.07970965703339</v>
      </c>
      <c r="AJ23" s="69">
        <v>3012.5724713643399</v>
      </c>
      <c r="AK23" s="69">
        <v>624.39067052205405</v>
      </c>
      <c r="AL23" s="69">
        <v>2092.992035675049</v>
      </c>
      <c r="AM23" s="69">
        <v>2405.1337324778237</v>
      </c>
      <c r="AN23" s="69">
        <v>616.95254472096758</v>
      </c>
      <c r="AO23" s="69">
        <v>1912.1825487772626</v>
      </c>
      <c r="AP23" s="69">
        <v>293.05477625528971</v>
      </c>
      <c r="AQ23" s="69">
        <v>733.41997912724821</v>
      </c>
    </row>
    <row r="24" spans="1:43" x14ac:dyDescent="0.25">
      <c r="A24" s="11">
        <v>41775</v>
      </c>
      <c r="B24" s="59"/>
      <c r="C24" s="60">
        <v>31.178638041019205</v>
      </c>
      <c r="D24" s="60">
        <v>259.64181550343835</v>
      </c>
      <c r="E24" s="60">
        <v>6.4741457104682993</v>
      </c>
      <c r="F24" s="60">
        <v>0</v>
      </c>
      <c r="G24" s="60">
        <v>766.28980569839382</v>
      </c>
      <c r="H24" s="61">
        <v>19.94304212431113</v>
      </c>
      <c r="I24" s="59">
        <v>266.19796749750782</v>
      </c>
      <c r="J24" s="60">
        <v>608.79000625610297</v>
      </c>
      <c r="K24" s="60">
        <v>22.753529557585733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255.74297686417088</v>
      </c>
      <c r="V24" s="62">
        <v>49.784586866707343</v>
      </c>
      <c r="W24" s="62">
        <v>22.64665782411581</v>
      </c>
      <c r="X24" s="62">
        <v>4.4085453196398028</v>
      </c>
      <c r="Y24" s="66">
        <v>180.11200359569278</v>
      </c>
      <c r="Z24" s="66">
        <v>35.061770996389406</v>
      </c>
      <c r="AA24" s="67">
        <v>0</v>
      </c>
      <c r="AB24" s="68">
        <v>27.883592263857924</v>
      </c>
      <c r="AC24" s="69">
        <v>0</v>
      </c>
      <c r="AD24" s="69">
        <v>12.412948023610637</v>
      </c>
      <c r="AE24" s="68">
        <v>10.274629881922442</v>
      </c>
      <c r="AF24" s="68">
        <v>2.0001261037620215</v>
      </c>
      <c r="AG24" s="68">
        <v>0.83705369735295065</v>
      </c>
      <c r="AH24" s="69">
        <v>204.70273545583095</v>
      </c>
      <c r="AI24" s="69">
        <v>726.7962930997212</v>
      </c>
      <c r="AJ24" s="69">
        <v>3021.3562468210853</v>
      </c>
      <c r="AK24" s="69">
        <v>622.27673403422034</v>
      </c>
      <c r="AL24" s="69">
        <v>2154.5521399180093</v>
      </c>
      <c r="AM24" s="69">
        <v>2336.4010618845623</v>
      </c>
      <c r="AN24" s="69">
        <v>580.24507083892831</v>
      </c>
      <c r="AO24" s="69">
        <v>1837.4107343037924</v>
      </c>
      <c r="AP24" s="69">
        <v>287.01403406461083</v>
      </c>
      <c r="AQ24" s="69">
        <v>758.57615292867024</v>
      </c>
    </row>
    <row r="25" spans="1:43" x14ac:dyDescent="0.25">
      <c r="A25" s="11">
        <v>41776</v>
      </c>
      <c r="B25" s="59"/>
      <c r="C25" s="60">
        <v>31.210270971059661</v>
      </c>
      <c r="D25" s="60">
        <v>259.67073248227399</v>
      </c>
      <c r="E25" s="60">
        <v>6.4859064171711687</v>
      </c>
      <c r="F25" s="60">
        <v>0</v>
      </c>
      <c r="G25" s="60">
        <v>447.94789495468035</v>
      </c>
      <c r="H25" s="61">
        <v>19.950747241576529</v>
      </c>
      <c r="I25" s="59">
        <v>297.08219639460259</v>
      </c>
      <c r="J25" s="60">
        <v>661.22233384450305</v>
      </c>
      <c r="K25" s="60">
        <v>24.658106257518128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281.17525388961883</v>
      </c>
      <c r="V25" s="62">
        <v>50.387464374645454</v>
      </c>
      <c r="W25" s="62">
        <v>24.793164569949635</v>
      </c>
      <c r="X25" s="62">
        <v>4.4430108241085957</v>
      </c>
      <c r="Y25" s="66">
        <v>197.17396889906354</v>
      </c>
      <c r="Z25" s="66">
        <v>35.334177514103864</v>
      </c>
      <c r="AA25" s="67">
        <v>0</v>
      </c>
      <c r="AB25" s="68">
        <v>27.882098718484503</v>
      </c>
      <c r="AC25" s="69">
        <v>0</v>
      </c>
      <c r="AD25" s="69">
        <v>13.308581572771072</v>
      </c>
      <c r="AE25" s="68">
        <v>11.160727579825338</v>
      </c>
      <c r="AF25" s="68">
        <v>2.0000364738510692</v>
      </c>
      <c r="AG25" s="68">
        <v>0.84803036771315976</v>
      </c>
      <c r="AH25" s="69">
        <v>204.27264721393584</v>
      </c>
      <c r="AI25" s="69">
        <v>733.12641356786094</v>
      </c>
      <c r="AJ25" s="69">
        <v>3069.4291422526044</v>
      </c>
      <c r="AK25" s="69">
        <v>626.53705158233652</v>
      </c>
      <c r="AL25" s="69">
        <v>2174.5468077341716</v>
      </c>
      <c r="AM25" s="69">
        <v>2229.9444123586018</v>
      </c>
      <c r="AN25" s="69">
        <v>542.61822729110713</v>
      </c>
      <c r="AO25" s="69">
        <v>1912.9256346384686</v>
      </c>
      <c r="AP25" s="69">
        <v>295.57873560587564</v>
      </c>
      <c r="AQ25" s="69">
        <v>762.31550604502354</v>
      </c>
    </row>
    <row r="26" spans="1:43" x14ac:dyDescent="0.25">
      <c r="A26" s="11">
        <v>41777</v>
      </c>
      <c r="B26" s="59"/>
      <c r="C26" s="60">
        <v>31.078432202338973</v>
      </c>
      <c r="D26" s="60">
        <v>270.90802084604962</v>
      </c>
      <c r="E26" s="60">
        <v>6.4584112813075443</v>
      </c>
      <c r="F26" s="60">
        <v>0</v>
      </c>
      <c r="G26" s="60">
        <v>585.84</v>
      </c>
      <c r="H26" s="61">
        <v>19.920783489942547</v>
      </c>
      <c r="I26" s="59">
        <v>335.02249058087722</v>
      </c>
      <c r="J26" s="60">
        <v>777.07723970413122</v>
      </c>
      <c r="K26" s="60">
        <v>29.091496390104229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328.760505934837</v>
      </c>
      <c r="V26" s="62">
        <v>50.080884357013112</v>
      </c>
      <c r="W26" s="62">
        <v>28.971472224259632</v>
      </c>
      <c r="X26" s="62">
        <v>4.4132945530967991</v>
      </c>
      <c r="Y26" s="66">
        <v>234.86093419847705</v>
      </c>
      <c r="Z26" s="66">
        <v>35.776935103954756</v>
      </c>
      <c r="AA26" s="67">
        <v>0</v>
      </c>
      <c r="AB26" s="68">
        <v>27.884413325786834</v>
      </c>
      <c r="AC26" s="69">
        <v>0</v>
      </c>
      <c r="AD26" s="69">
        <v>15.157405398951621</v>
      </c>
      <c r="AE26" s="68">
        <v>13.022624966476297</v>
      </c>
      <c r="AF26" s="68">
        <v>1.9837680110521541</v>
      </c>
      <c r="AG26" s="68">
        <v>0.86780514051426105</v>
      </c>
      <c r="AH26" s="69">
        <v>188.01900995572404</v>
      </c>
      <c r="AI26" s="69">
        <v>723.33338848749804</v>
      </c>
      <c r="AJ26" s="69">
        <v>3049.0197182973234</v>
      </c>
      <c r="AK26" s="69">
        <v>636.15013535817468</v>
      </c>
      <c r="AL26" s="69">
        <v>2010.3368670145669</v>
      </c>
      <c r="AM26" s="69">
        <v>2254.0417948404952</v>
      </c>
      <c r="AN26" s="69">
        <v>589.15592269897456</v>
      </c>
      <c r="AO26" s="69">
        <v>2115.3119054158524</v>
      </c>
      <c r="AP26" s="69">
        <v>300.87582532564801</v>
      </c>
      <c r="AQ26" s="69">
        <v>790.55384496053057</v>
      </c>
    </row>
    <row r="27" spans="1:43" x14ac:dyDescent="0.25">
      <c r="A27" s="11">
        <v>41778</v>
      </c>
      <c r="B27" s="59"/>
      <c r="C27" s="60">
        <v>32.52547100186348</v>
      </c>
      <c r="D27" s="60">
        <v>280.52681186993902</v>
      </c>
      <c r="E27" s="60">
        <v>6.3701163927713997</v>
      </c>
      <c r="F27" s="60">
        <v>0</v>
      </c>
      <c r="G27" s="60">
        <v>600</v>
      </c>
      <c r="H27" s="61">
        <v>20.460807234048843</v>
      </c>
      <c r="I27" s="59">
        <v>386.54439188639356</v>
      </c>
      <c r="J27" s="60">
        <v>936.7828292210902</v>
      </c>
      <c r="K27" s="60">
        <v>34.813109656174966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390.53870637255477</v>
      </c>
      <c r="V27" s="62">
        <v>45.953582301692514</v>
      </c>
      <c r="W27" s="62">
        <v>35.054454695702297</v>
      </c>
      <c r="X27" s="62">
        <v>4.1247582956942779</v>
      </c>
      <c r="Y27" s="62">
        <v>277.59584090216879</v>
      </c>
      <c r="Z27" s="62">
        <v>32.663915543716321</v>
      </c>
      <c r="AA27" s="72">
        <v>0</v>
      </c>
      <c r="AB27" s="69">
        <v>38.776122187243381</v>
      </c>
      <c r="AC27" s="69">
        <v>0</v>
      </c>
      <c r="AD27" s="69">
        <v>17.749195151196592</v>
      </c>
      <c r="AE27" s="69">
        <v>15.713305931912574</v>
      </c>
      <c r="AF27" s="69">
        <v>1.8489401577650184</v>
      </c>
      <c r="AG27" s="69">
        <v>0.89472074651933309</v>
      </c>
      <c r="AH27" s="69">
        <v>184.1128222465515</v>
      </c>
      <c r="AI27" s="69">
        <v>733.41292785008761</v>
      </c>
      <c r="AJ27" s="69">
        <v>3067.9971656799326</v>
      </c>
      <c r="AK27" s="69">
        <v>646.16863762537628</v>
      </c>
      <c r="AL27" s="69">
        <v>2158.8846483866373</v>
      </c>
      <c r="AM27" s="69">
        <v>2355.5612426757816</v>
      </c>
      <c r="AN27" s="69">
        <v>606.35932861963897</v>
      </c>
      <c r="AO27" s="69">
        <v>2423.5227808634445</v>
      </c>
      <c r="AP27" s="69">
        <v>309.35492901802064</v>
      </c>
      <c r="AQ27" s="69">
        <v>903.02464218139653</v>
      </c>
    </row>
    <row r="28" spans="1:43" x14ac:dyDescent="0.25">
      <c r="A28" s="11">
        <v>41779</v>
      </c>
      <c r="B28" s="59"/>
      <c r="C28" s="60">
        <v>32.818099657694418</v>
      </c>
      <c r="D28" s="60">
        <v>285.25418726603169</v>
      </c>
      <c r="E28" s="60">
        <v>6.3639987781643921</v>
      </c>
      <c r="F28" s="60">
        <v>0</v>
      </c>
      <c r="G28" s="60">
        <v>600</v>
      </c>
      <c r="H28" s="61">
        <v>20.935554206371275</v>
      </c>
      <c r="I28" s="59">
        <v>469.72996257146247</v>
      </c>
      <c r="J28" s="60">
        <v>1190.7922651926674</v>
      </c>
      <c r="K28" s="60">
        <v>44.36667919158927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473.48406934307536</v>
      </c>
      <c r="V28" s="62">
        <v>47.013053379128131</v>
      </c>
      <c r="W28" s="62">
        <v>43.394523995329358</v>
      </c>
      <c r="X28" s="62">
        <v>4.308717452278338</v>
      </c>
      <c r="Y28" s="66">
        <v>347.68765605142119</v>
      </c>
      <c r="Z28" s="66">
        <v>34.522509608165052</v>
      </c>
      <c r="AA28" s="67">
        <v>0</v>
      </c>
      <c r="AB28" s="68">
        <v>55.456205821037322</v>
      </c>
      <c r="AC28" s="69">
        <v>0</v>
      </c>
      <c r="AD28" s="69">
        <v>21.813222697046076</v>
      </c>
      <c r="AE28" s="68">
        <v>19.665192155418787</v>
      </c>
      <c r="AF28" s="68">
        <v>1.9525909917016229</v>
      </c>
      <c r="AG28" s="68">
        <v>0.90967663157627165</v>
      </c>
      <c r="AH28" s="69">
        <v>184.7349174420039</v>
      </c>
      <c r="AI28" s="69">
        <v>735.3195439020792</v>
      </c>
      <c r="AJ28" s="69">
        <v>3054.9606244405109</v>
      </c>
      <c r="AK28" s="69">
        <v>657.28272199630749</v>
      </c>
      <c r="AL28" s="69">
        <v>2068.2567311604816</v>
      </c>
      <c r="AM28" s="69">
        <v>2352.9640767415362</v>
      </c>
      <c r="AN28" s="69">
        <v>608.84641478856395</v>
      </c>
      <c r="AO28" s="69">
        <v>2703.0555314381918</v>
      </c>
      <c r="AP28" s="69">
        <v>319.67898559570312</v>
      </c>
      <c r="AQ28" s="69">
        <v>852.21883335113512</v>
      </c>
    </row>
    <row r="29" spans="1:43" x14ac:dyDescent="0.25">
      <c r="A29" s="11">
        <v>41780</v>
      </c>
      <c r="B29" s="59"/>
      <c r="C29" s="60">
        <v>32.842336744070145</v>
      </c>
      <c r="D29" s="60">
        <v>274.05060459772847</v>
      </c>
      <c r="E29" s="60">
        <v>6.3998482276996018</v>
      </c>
      <c r="F29" s="60">
        <v>0</v>
      </c>
      <c r="G29" s="60">
        <v>585.84</v>
      </c>
      <c r="H29" s="61">
        <v>17.685383930802324</v>
      </c>
      <c r="I29" s="59">
        <v>424.68758610089537</v>
      </c>
      <c r="J29" s="60">
        <v>995.92102966308562</v>
      </c>
      <c r="K29" s="60">
        <v>37.122731264432332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379.84531483847377</v>
      </c>
      <c r="V29" s="62">
        <v>46.987979033937229</v>
      </c>
      <c r="W29" s="62">
        <v>34.25330215356837</v>
      </c>
      <c r="X29" s="62">
        <v>4.2372338964333727</v>
      </c>
      <c r="Y29" s="66">
        <v>283.52219017852013</v>
      </c>
      <c r="Z29" s="66">
        <v>35.072526124033935</v>
      </c>
      <c r="AA29" s="67">
        <v>0</v>
      </c>
      <c r="AB29" s="68">
        <v>48.371360904639907</v>
      </c>
      <c r="AC29" s="69">
        <v>0</v>
      </c>
      <c r="AD29" s="69">
        <v>18.042139240105936</v>
      </c>
      <c r="AE29" s="68">
        <v>15.792749083198297</v>
      </c>
      <c r="AF29" s="68">
        <v>1.9536093610240064</v>
      </c>
      <c r="AG29" s="68">
        <v>0.88991491594378092</v>
      </c>
      <c r="AH29" s="69">
        <v>195.46990918318431</v>
      </c>
      <c r="AI29" s="69">
        <v>742.10774065653504</v>
      </c>
      <c r="AJ29" s="69">
        <v>3011.715805943807</v>
      </c>
      <c r="AK29" s="69">
        <v>635.43458296457936</v>
      </c>
      <c r="AL29" s="69">
        <v>1983.0163055419923</v>
      </c>
      <c r="AM29" s="69">
        <v>2370.9043497721354</v>
      </c>
      <c r="AN29" s="69">
        <v>575.80294577280677</v>
      </c>
      <c r="AO29" s="69">
        <v>2462.5288528442384</v>
      </c>
      <c r="AP29" s="69">
        <v>281.62329109509784</v>
      </c>
      <c r="AQ29" s="69">
        <v>845.24570633570352</v>
      </c>
    </row>
    <row r="30" spans="1:43" x14ac:dyDescent="0.25">
      <c r="A30" s="11">
        <v>41781</v>
      </c>
      <c r="B30" s="59"/>
      <c r="C30" s="60">
        <v>32.668425639470357</v>
      </c>
      <c r="D30" s="60">
        <v>273.33988110224385</v>
      </c>
      <c r="E30" s="60">
        <v>6.3527302270134349</v>
      </c>
      <c r="F30" s="60">
        <v>0</v>
      </c>
      <c r="G30" s="60">
        <v>585.84</v>
      </c>
      <c r="H30" s="61">
        <v>15.091722905635807</v>
      </c>
      <c r="I30" s="59">
        <v>373.04835623105333</v>
      </c>
      <c r="J30" s="60">
        <v>849.4650073369346</v>
      </c>
      <c r="K30" s="60">
        <v>31.8066589772701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340.65693354204393</v>
      </c>
      <c r="V30" s="62">
        <v>48.002293341740213</v>
      </c>
      <c r="W30" s="62">
        <v>31.775141395277629</v>
      </c>
      <c r="X30" s="62">
        <v>4.4774654734662525</v>
      </c>
      <c r="Y30" s="66">
        <v>254.1311891414652</v>
      </c>
      <c r="Z30" s="66">
        <v>35.8098681908915</v>
      </c>
      <c r="AA30" s="67">
        <v>0</v>
      </c>
      <c r="AB30" s="68">
        <v>42.503643772337142</v>
      </c>
      <c r="AC30" s="69">
        <v>0</v>
      </c>
      <c r="AD30" s="69">
        <v>16.536982350216981</v>
      </c>
      <c r="AE30" s="68">
        <v>14.193107045377864</v>
      </c>
      <c r="AF30" s="68">
        <v>1.9999642477227386</v>
      </c>
      <c r="AG30" s="68">
        <v>0.87649259294159576</v>
      </c>
      <c r="AH30" s="69">
        <v>200.8188498179118</v>
      </c>
      <c r="AI30" s="69">
        <v>754.134300994873</v>
      </c>
      <c r="AJ30" s="69">
        <v>3079.4313173929854</v>
      </c>
      <c r="AK30" s="69">
        <v>629.65009965896604</v>
      </c>
      <c r="AL30" s="69">
        <v>1964.6091579437254</v>
      </c>
      <c r="AM30" s="69">
        <v>2285.7900418599443</v>
      </c>
      <c r="AN30" s="69">
        <v>585.54172541300466</v>
      </c>
      <c r="AO30" s="69">
        <v>2145.2033718109133</v>
      </c>
      <c r="AP30" s="69">
        <v>273.17548418045044</v>
      </c>
      <c r="AQ30" s="69">
        <v>784.45658543904619</v>
      </c>
    </row>
    <row r="31" spans="1:43" x14ac:dyDescent="0.25">
      <c r="A31" s="11">
        <v>41782</v>
      </c>
      <c r="B31" s="59"/>
      <c r="C31" s="60">
        <v>32.532136142254352</v>
      </c>
      <c r="D31" s="60">
        <v>272.8147658030195</v>
      </c>
      <c r="E31" s="60">
        <v>6.3443619062503105</v>
      </c>
      <c r="F31" s="60">
        <v>0</v>
      </c>
      <c r="G31" s="60">
        <v>542</v>
      </c>
      <c r="H31" s="61">
        <v>15.084517647822645</v>
      </c>
      <c r="I31" s="59">
        <v>358.11667173703512</v>
      </c>
      <c r="J31" s="60">
        <v>808.23230482737085</v>
      </c>
      <c r="K31" s="60">
        <v>30.078746660550376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324.94666338109749</v>
      </c>
      <c r="V31" s="62">
        <v>48.131765078078971</v>
      </c>
      <c r="W31" s="62">
        <v>29.913183037576477</v>
      </c>
      <c r="X31" s="62">
        <v>4.4308019159859482</v>
      </c>
      <c r="Y31" s="66">
        <v>241.61561579738205</v>
      </c>
      <c r="Z31" s="66">
        <v>35.788599697409516</v>
      </c>
      <c r="AA31" s="67">
        <v>0</v>
      </c>
      <c r="AB31" s="68">
        <v>42.501309294169985</v>
      </c>
      <c r="AC31" s="69">
        <v>0</v>
      </c>
      <c r="AD31" s="69">
        <v>15.836580689085842</v>
      </c>
      <c r="AE31" s="68">
        <v>13.500496920434189</v>
      </c>
      <c r="AF31" s="68">
        <v>1.9997212448665096</v>
      </c>
      <c r="AG31" s="68">
        <v>0.87098754201130202</v>
      </c>
      <c r="AH31" s="69">
        <v>202.08324130376178</v>
      </c>
      <c r="AI31" s="69">
        <v>758.71143372853589</v>
      </c>
      <c r="AJ31" s="69">
        <v>3044.7989711761475</v>
      </c>
      <c r="AK31" s="69">
        <v>626.90333258310955</v>
      </c>
      <c r="AL31" s="69">
        <v>1993.4262540181483</v>
      </c>
      <c r="AM31" s="69">
        <v>2185.4398864746095</v>
      </c>
      <c r="AN31" s="69">
        <v>573.56965955098474</v>
      </c>
      <c r="AO31" s="69">
        <v>2096.7427964528401</v>
      </c>
      <c r="AP31" s="69">
        <v>278.13307954470315</v>
      </c>
      <c r="AQ31" s="69">
        <v>840.72864452997851</v>
      </c>
    </row>
    <row r="32" spans="1:43" x14ac:dyDescent="0.25">
      <c r="A32" s="11">
        <v>41783</v>
      </c>
      <c r="B32" s="59"/>
      <c r="C32" s="60">
        <v>32.298416892687314</v>
      </c>
      <c r="D32" s="60">
        <v>272.8243438243868</v>
      </c>
      <c r="E32" s="60">
        <v>6.3387900441885048</v>
      </c>
      <c r="F32" s="60">
        <v>0</v>
      </c>
      <c r="G32" s="60">
        <v>540</v>
      </c>
      <c r="H32" s="61">
        <v>15.075314516822473</v>
      </c>
      <c r="I32" s="59">
        <v>377.5956920941664</v>
      </c>
      <c r="J32" s="60">
        <v>807.93138332366846</v>
      </c>
      <c r="K32" s="60">
        <v>30.069445445140126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324.72468812872631</v>
      </c>
      <c r="V32" s="62">
        <v>48.097847428498284</v>
      </c>
      <c r="W32" s="62">
        <v>29.607177917406716</v>
      </c>
      <c r="X32" s="62">
        <v>4.385381150001499</v>
      </c>
      <c r="Y32" s="66">
        <v>232.9993241530041</v>
      </c>
      <c r="Z32" s="66">
        <v>34.511591984690291</v>
      </c>
      <c r="AA32" s="67">
        <v>0</v>
      </c>
      <c r="AB32" s="68">
        <v>39.733495344056209</v>
      </c>
      <c r="AC32" s="69">
        <v>0</v>
      </c>
      <c r="AD32" s="69">
        <v>15.831945615344564</v>
      </c>
      <c r="AE32" s="68">
        <v>13.502531276856416</v>
      </c>
      <c r="AF32" s="68">
        <v>1.99997940715649</v>
      </c>
      <c r="AG32" s="68">
        <v>0.87098996750126512</v>
      </c>
      <c r="AH32" s="69">
        <v>195.74650565783182</v>
      </c>
      <c r="AI32" s="69">
        <v>759.00205513636263</v>
      </c>
      <c r="AJ32" s="69">
        <v>3118.8677089691164</v>
      </c>
      <c r="AK32" s="69">
        <v>632.12607539494832</v>
      </c>
      <c r="AL32" s="69">
        <v>1986.7154204050696</v>
      </c>
      <c r="AM32" s="69">
        <v>2116.6422309875484</v>
      </c>
      <c r="AN32" s="69">
        <v>575.70339431762693</v>
      </c>
      <c r="AO32" s="69">
        <v>2089.9027247111003</v>
      </c>
      <c r="AP32" s="69">
        <v>282.79732230504351</v>
      </c>
      <c r="AQ32" s="69">
        <v>838.61513849894186</v>
      </c>
    </row>
    <row r="33" spans="1:43" x14ac:dyDescent="0.25">
      <c r="A33" s="11">
        <v>41784</v>
      </c>
      <c r="B33" s="59"/>
      <c r="C33" s="60">
        <v>31.911773582299208</v>
      </c>
      <c r="D33" s="60">
        <v>273.71786781946764</v>
      </c>
      <c r="E33" s="60">
        <v>6.3514264822006279</v>
      </c>
      <c r="F33" s="60">
        <v>0</v>
      </c>
      <c r="G33" s="60">
        <v>540</v>
      </c>
      <c r="H33" s="61">
        <v>15.101336340109478</v>
      </c>
      <c r="I33" s="59">
        <v>379.79202872912106</v>
      </c>
      <c r="J33" s="60">
        <v>763.85358540216987</v>
      </c>
      <c r="K33" s="60">
        <v>28.639155056079122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305.46200420929893</v>
      </c>
      <c r="V33" s="62">
        <v>44.443723198368765</v>
      </c>
      <c r="W33" s="62">
        <v>27.198328008564918</v>
      </c>
      <c r="X33" s="62">
        <v>3.9572678264850496</v>
      </c>
      <c r="Y33" s="66">
        <v>215.10742652324674</v>
      </c>
      <c r="Z33" s="66">
        <v>31.297427472393938</v>
      </c>
      <c r="AA33" s="67">
        <v>0</v>
      </c>
      <c r="AB33" s="68">
        <v>38.410038807657308</v>
      </c>
      <c r="AC33" s="69">
        <v>0</v>
      </c>
      <c r="AD33" s="69">
        <v>14.667452879084488</v>
      </c>
      <c r="AE33" s="68">
        <v>12.52301054022789</v>
      </c>
      <c r="AF33" s="68">
        <v>1.8220571016707805</v>
      </c>
      <c r="AG33" s="68">
        <v>0.87298372185091921</v>
      </c>
      <c r="AH33" s="69">
        <v>197.41805575688682</v>
      </c>
      <c r="AI33" s="69">
        <v>763.74264132181827</v>
      </c>
      <c r="AJ33" s="69">
        <v>3047.465698369344</v>
      </c>
      <c r="AK33" s="69">
        <v>624.56358598073314</v>
      </c>
      <c r="AL33" s="69">
        <v>2030.132379659017</v>
      </c>
      <c r="AM33" s="69">
        <v>2128.8040119171142</v>
      </c>
      <c r="AN33" s="69">
        <v>580.6526410738627</v>
      </c>
      <c r="AO33" s="69">
        <v>2013.5714225769043</v>
      </c>
      <c r="AP33" s="69">
        <v>286.03116219838461</v>
      </c>
      <c r="AQ33" s="69">
        <v>765.69277305603032</v>
      </c>
    </row>
    <row r="34" spans="1:43" x14ac:dyDescent="0.25">
      <c r="A34" s="11">
        <v>41785</v>
      </c>
      <c r="B34" s="59"/>
      <c r="C34" s="60">
        <v>31.601982663074892</v>
      </c>
      <c r="D34" s="60">
        <v>273.04383266766865</v>
      </c>
      <c r="E34" s="60">
        <v>6.3576297039787173</v>
      </c>
      <c r="F34" s="60">
        <v>0</v>
      </c>
      <c r="G34" s="60">
        <v>585.84</v>
      </c>
      <c r="H34" s="61">
        <v>15.06719909608363</v>
      </c>
      <c r="I34" s="59">
        <v>410.49150986671486</v>
      </c>
      <c r="J34" s="60">
        <v>797.56552022298206</v>
      </c>
      <c r="K34" s="60">
        <v>29.942899080117559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330.83919313062637</v>
      </c>
      <c r="V34" s="62">
        <v>49.626979151270746</v>
      </c>
      <c r="W34" s="62">
        <v>29.591124057912218</v>
      </c>
      <c r="X34" s="62">
        <v>4.4387670118179008</v>
      </c>
      <c r="Y34" s="66">
        <v>228.74983797852249</v>
      </c>
      <c r="Z34" s="66">
        <v>34.313236387728956</v>
      </c>
      <c r="AA34" s="67">
        <v>0</v>
      </c>
      <c r="AB34" s="68">
        <v>39.145065005620602</v>
      </c>
      <c r="AC34" s="69">
        <v>0</v>
      </c>
      <c r="AD34" s="69">
        <v>15.647645535071685</v>
      </c>
      <c r="AE34" s="68">
        <v>13.333254166392177</v>
      </c>
      <c r="AF34" s="68">
        <v>2.0000324637259075</v>
      </c>
      <c r="AG34" s="68">
        <v>0.86956270289779969</v>
      </c>
      <c r="AH34" s="69">
        <v>195.39838543732961</v>
      </c>
      <c r="AI34" s="69">
        <v>766.30282319386811</v>
      </c>
      <c r="AJ34" s="69">
        <v>3081.2429883321124</v>
      </c>
      <c r="AK34" s="69">
        <v>631.85836884180731</v>
      </c>
      <c r="AL34" s="69">
        <v>2006.1396523793539</v>
      </c>
      <c r="AM34" s="69">
        <v>2103.6254920959473</v>
      </c>
      <c r="AN34" s="69">
        <v>588.02176202138264</v>
      </c>
      <c r="AO34" s="69">
        <v>1998.2357391357421</v>
      </c>
      <c r="AP34" s="69">
        <v>280.91950031916303</v>
      </c>
      <c r="AQ34" s="69">
        <v>807.85118192036953</v>
      </c>
    </row>
    <row r="35" spans="1:43" x14ac:dyDescent="0.25">
      <c r="A35" s="11">
        <v>41786</v>
      </c>
      <c r="B35" s="59"/>
      <c r="C35" s="60">
        <v>31.011733760436094</v>
      </c>
      <c r="D35" s="60">
        <v>272.98855083783405</v>
      </c>
      <c r="E35" s="60">
        <v>6.3522023707628259</v>
      </c>
      <c r="F35" s="60">
        <v>0</v>
      </c>
      <c r="G35" s="60">
        <v>585.84</v>
      </c>
      <c r="H35" s="61">
        <v>15.015618999799099</v>
      </c>
      <c r="I35" s="59">
        <v>444.395567448934</v>
      </c>
      <c r="J35" s="60">
        <v>886.05830230712866</v>
      </c>
      <c r="K35" s="60">
        <v>32.812503012021402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368.2105408527064</v>
      </c>
      <c r="V35" s="62">
        <v>49.692098133663443</v>
      </c>
      <c r="W35" s="62">
        <v>33.183936288987567</v>
      </c>
      <c r="X35" s="62">
        <v>4.4783601651242231</v>
      </c>
      <c r="Y35" s="66">
        <v>257.18834877821672</v>
      </c>
      <c r="Z35" s="66">
        <v>34.709024453035482</v>
      </c>
      <c r="AA35" s="67">
        <v>0</v>
      </c>
      <c r="AB35" s="68">
        <v>41.609774446487023</v>
      </c>
      <c r="AC35" s="69">
        <v>0</v>
      </c>
      <c r="AD35" s="69">
        <v>17.156595532761663</v>
      </c>
      <c r="AE35" s="68">
        <v>14.818982368862002</v>
      </c>
      <c r="AF35" s="68">
        <v>1.9999056094624201</v>
      </c>
      <c r="AG35" s="68">
        <v>0.88109168620185674</v>
      </c>
      <c r="AH35" s="69">
        <v>189.53310266335805</v>
      </c>
      <c r="AI35" s="69">
        <v>752.07742328643803</v>
      </c>
      <c r="AJ35" s="69">
        <v>3092.5095010121668</v>
      </c>
      <c r="AK35" s="69">
        <v>638.12275431950889</v>
      </c>
      <c r="AL35" s="69">
        <v>2257.4723002115884</v>
      </c>
      <c r="AM35" s="69">
        <v>2170.7495037078861</v>
      </c>
      <c r="AN35" s="69">
        <v>614.66172087987263</v>
      </c>
      <c r="AO35" s="69">
        <v>2187.5335281372072</v>
      </c>
      <c r="AP35" s="69">
        <v>294.92022045453393</v>
      </c>
      <c r="AQ35" s="69">
        <v>905.57579450607284</v>
      </c>
    </row>
    <row r="36" spans="1:43" x14ac:dyDescent="0.25">
      <c r="A36" s="11">
        <v>41787</v>
      </c>
      <c r="B36" s="59"/>
      <c r="C36" s="60">
        <v>31.373180051644937</v>
      </c>
      <c r="D36" s="60">
        <v>273.16878499984716</v>
      </c>
      <c r="E36" s="60">
        <v>6.4288410097360646</v>
      </c>
      <c r="F36" s="60">
        <v>0</v>
      </c>
      <c r="G36" s="60">
        <v>585.84</v>
      </c>
      <c r="H36" s="61">
        <v>15.042086963852219</v>
      </c>
      <c r="I36" s="59">
        <v>504.77024463017875</v>
      </c>
      <c r="J36" s="60">
        <v>1055.5857776641835</v>
      </c>
      <c r="K36" s="60">
        <v>39.057025567690474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436.76274833338374</v>
      </c>
      <c r="V36" s="62">
        <v>49.404512218070096</v>
      </c>
      <c r="W36" s="62">
        <v>39.272344709461066</v>
      </c>
      <c r="X36" s="62">
        <v>4.4422997186331452</v>
      </c>
      <c r="Y36" s="66">
        <v>304.64092331227135</v>
      </c>
      <c r="Z36" s="66">
        <v>34.459523563619079</v>
      </c>
      <c r="AA36" s="67">
        <v>0</v>
      </c>
      <c r="AB36" s="68">
        <v>45.129282527500393</v>
      </c>
      <c r="AC36" s="69">
        <v>0</v>
      </c>
      <c r="AD36" s="69">
        <v>19.927765897247514</v>
      </c>
      <c r="AE36" s="68">
        <v>17.55516029873046</v>
      </c>
      <c r="AF36" s="68">
        <v>1.9857557330113462</v>
      </c>
      <c r="AG36" s="68">
        <v>0.8983795984903814</v>
      </c>
      <c r="AH36" s="69">
        <v>180.39269038041431</v>
      </c>
      <c r="AI36" s="69">
        <v>762.28666346867897</v>
      </c>
      <c r="AJ36" s="69">
        <v>3189.1206419626869</v>
      </c>
      <c r="AK36" s="69">
        <v>650.61653839747112</v>
      </c>
      <c r="AL36" s="69">
        <v>2194.9452306111657</v>
      </c>
      <c r="AM36" s="69">
        <v>2170.149135971069</v>
      </c>
      <c r="AN36" s="69">
        <v>648.38045374552405</v>
      </c>
      <c r="AO36" s="69">
        <v>2369.5473117828369</v>
      </c>
      <c r="AP36" s="69">
        <v>306.49171597162882</v>
      </c>
      <c r="AQ36" s="69">
        <v>927.34264589945462</v>
      </c>
    </row>
    <row r="37" spans="1:43" x14ac:dyDescent="0.25">
      <c r="A37" s="11">
        <v>41788</v>
      </c>
      <c r="B37" s="59"/>
      <c r="C37" s="60">
        <v>32.582497149706093</v>
      </c>
      <c r="D37" s="60">
        <v>273.10046596527087</v>
      </c>
      <c r="E37" s="60">
        <v>6.3636010761062476</v>
      </c>
      <c r="F37" s="60">
        <v>0</v>
      </c>
      <c r="G37" s="60">
        <v>585.84</v>
      </c>
      <c r="H37" s="61">
        <v>15.007075816392867</v>
      </c>
      <c r="I37" s="59">
        <v>537.85997193654362</v>
      </c>
      <c r="J37" s="60">
        <v>1130.5532952626545</v>
      </c>
      <c r="K37" s="60">
        <v>42.270980590581928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453.28124872741535</v>
      </c>
      <c r="V37" s="62">
        <v>48.89521403944498</v>
      </c>
      <c r="W37" s="62">
        <v>41.225898720067093</v>
      </c>
      <c r="X37" s="62">
        <v>4.4470163889315222</v>
      </c>
      <c r="Y37" s="66">
        <v>322.81488899833352</v>
      </c>
      <c r="Z37" s="66">
        <v>34.82187524193197</v>
      </c>
      <c r="AA37" s="67">
        <v>0</v>
      </c>
      <c r="AB37" s="68">
        <v>53.980917053753437</v>
      </c>
      <c r="AC37" s="69">
        <v>0</v>
      </c>
      <c r="AD37" s="69">
        <v>20.789057960775171</v>
      </c>
      <c r="AE37" s="68">
        <v>18.400460878363159</v>
      </c>
      <c r="AF37" s="68">
        <v>1.9848482053865837</v>
      </c>
      <c r="AG37" s="68">
        <v>0.90263340147396554</v>
      </c>
      <c r="AH37" s="69">
        <v>176.92342758178711</v>
      </c>
      <c r="AI37" s="69">
        <v>776.60161466598515</v>
      </c>
      <c r="AJ37" s="69">
        <v>3237.0166645050049</v>
      </c>
      <c r="AK37" s="69">
        <v>646.84192469914751</v>
      </c>
      <c r="AL37" s="69">
        <v>2082.1444196065263</v>
      </c>
      <c r="AM37" s="69">
        <v>2182.8941724141432</v>
      </c>
      <c r="AN37" s="69">
        <v>666.2187895139059</v>
      </c>
      <c r="AO37" s="69">
        <v>2447.4877053578698</v>
      </c>
      <c r="AP37" s="69">
        <v>301.73489092191062</v>
      </c>
      <c r="AQ37" s="69">
        <v>957.70933526357021</v>
      </c>
    </row>
    <row r="38" spans="1:43" ht="15.75" thickBot="1" x14ac:dyDescent="0.3">
      <c r="A38" s="11">
        <v>41789</v>
      </c>
      <c r="B38" s="73"/>
      <c r="C38" s="74">
        <v>32.282466242710719</v>
      </c>
      <c r="D38" s="74">
        <v>272.65969683329297</v>
      </c>
      <c r="E38" s="74">
        <v>6.2004860589901725</v>
      </c>
      <c r="F38" s="74">
        <v>0</v>
      </c>
      <c r="G38" s="74">
        <v>585.84</v>
      </c>
      <c r="H38" s="75">
        <v>14.969782009720776</v>
      </c>
      <c r="I38" s="76">
        <v>516.98083680470756</v>
      </c>
      <c r="J38" s="74">
        <v>1061.6504328727719</v>
      </c>
      <c r="K38" s="74">
        <v>39.696697080135387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429.39770710838883</v>
      </c>
      <c r="V38" s="80">
        <v>48.932777154722061</v>
      </c>
      <c r="W38" s="81">
        <v>38.427678648258052</v>
      </c>
      <c r="X38" s="81">
        <v>4.3790942632905985</v>
      </c>
      <c r="Y38" s="80">
        <v>309.23810084976918</v>
      </c>
      <c r="Z38" s="80">
        <v>35.239776147224802</v>
      </c>
      <c r="AA38" s="82">
        <v>0</v>
      </c>
      <c r="AB38" s="83">
        <v>53.240214086903826</v>
      </c>
      <c r="AC38" s="84">
        <v>0</v>
      </c>
      <c r="AD38" s="85">
        <v>19.786229812105443</v>
      </c>
      <c r="AE38" s="83">
        <v>17.442850836884549</v>
      </c>
      <c r="AF38" s="83">
        <v>1.9877309981277591</v>
      </c>
      <c r="AG38" s="83">
        <v>0.89770090185636997</v>
      </c>
      <c r="AH38" s="84">
        <v>186.87027597427368</v>
      </c>
      <c r="AI38" s="84">
        <v>778.54451004664099</v>
      </c>
      <c r="AJ38" s="84">
        <v>3222.8772090911862</v>
      </c>
      <c r="AK38" s="84">
        <v>592.61366799672453</v>
      </c>
      <c r="AL38" s="84">
        <v>1992.3157571156819</v>
      </c>
      <c r="AM38" s="84">
        <v>2108.9883586883548</v>
      </c>
      <c r="AN38" s="84">
        <v>603.52313798268631</v>
      </c>
      <c r="AO38" s="84">
        <v>2345.630348968506</v>
      </c>
      <c r="AP38" s="84">
        <v>292.05487186113993</v>
      </c>
      <c r="AQ38" s="84">
        <v>906.55465660095217</v>
      </c>
    </row>
    <row r="39" spans="1:43" ht="15.75" thickBot="1" x14ac:dyDescent="0.3">
      <c r="A39" s="11">
        <v>41790</v>
      </c>
      <c r="B39" s="49"/>
      <c r="C39" s="50">
        <v>31.579086184501232</v>
      </c>
      <c r="D39" s="50">
        <v>273.41118055979393</v>
      </c>
      <c r="E39" s="50">
        <v>6.1862479522824314</v>
      </c>
      <c r="F39" s="50">
        <v>0</v>
      </c>
      <c r="G39" s="50">
        <v>585.84</v>
      </c>
      <c r="H39" s="51">
        <v>15.283419093489632</v>
      </c>
      <c r="I39" s="49">
        <v>477.84289372761992</v>
      </c>
      <c r="J39" s="50">
        <v>1003.7526847839364</v>
      </c>
      <c r="K39" s="50">
        <v>37.559195262193612</v>
      </c>
      <c r="L39" s="50">
        <v>0</v>
      </c>
      <c r="M39" s="50">
        <v>0</v>
      </c>
      <c r="N39" s="51">
        <v>0</v>
      </c>
      <c r="O39" s="49">
        <v>0</v>
      </c>
      <c r="P39" s="50">
        <v>0</v>
      </c>
      <c r="Q39" s="50">
        <v>0</v>
      </c>
      <c r="R39" s="50">
        <v>0</v>
      </c>
      <c r="S39" s="50">
        <v>0</v>
      </c>
      <c r="T39" s="52">
        <v>0</v>
      </c>
      <c r="U39" s="53">
        <v>419.00740560647449</v>
      </c>
      <c r="V39" s="54">
        <v>49.287538393767257</v>
      </c>
      <c r="W39" s="54">
        <v>37.58846301199096</v>
      </c>
      <c r="X39" s="54">
        <v>4.4215037468960139</v>
      </c>
      <c r="Y39" s="54">
        <v>305.32567296081618</v>
      </c>
      <c r="Z39" s="54">
        <v>35.915238316318955</v>
      </c>
      <c r="AA39" s="55">
        <v>0</v>
      </c>
      <c r="AB39" s="56">
        <v>49.940947005484759</v>
      </c>
      <c r="AC39" s="57">
        <v>0</v>
      </c>
      <c r="AD39" s="57">
        <v>19.056035774283949</v>
      </c>
      <c r="AE39" s="58">
        <v>16.871058808687394</v>
      </c>
      <c r="AF39" s="58">
        <v>1.9845304585323942</v>
      </c>
      <c r="AG39" s="58">
        <v>0.89475107723191261</v>
      </c>
      <c r="AH39" s="57">
        <v>185.6530976931254</v>
      </c>
      <c r="AI39" s="57">
        <v>704.59432582855231</v>
      </c>
      <c r="AJ39" s="57">
        <v>3137.5713952382403</v>
      </c>
      <c r="AK39" s="57">
        <v>574.46628265380866</v>
      </c>
      <c r="AL39" s="57">
        <v>2005.4349870045974</v>
      </c>
      <c r="AM39" s="57">
        <v>2030.7862600962321</v>
      </c>
      <c r="AN39" s="57">
        <v>616.32070617675788</v>
      </c>
      <c r="AO39" s="57">
        <v>2165.9823762257893</v>
      </c>
      <c r="AP39" s="57">
        <v>290.53125824928287</v>
      </c>
      <c r="AQ39" s="57">
        <v>851.33172912597638</v>
      </c>
    </row>
    <row r="40" spans="1:43" ht="15.75" thickTop="1" x14ac:dyDescent="0.25">
      <c r="A40" s="46" t="s">
        <v>173</v>
      </c>
      <c r="B40" s="29">
        <f>SUM(B8:B38)</f>
        <v>0</v>
      </c>
      <c r="C40" s="30">
        <f t="shared" ref="C40:AC40" si="0">SUM(C8:C38)</f>
        <v>1057.737263645728</v>
      </c>
      <c r="D40" s="30">
        <f t="shared" si="0"/>
        <v>8622.3224325001247</v>
      </c>
      <c r="E40" s="30">
        <f t="shared" si="0"/>
        <v>199.84228109568369</v>
      </c>
      <c r="F40" s="30">
        <f t="shared" si="0"/>
        <v>0</v>
      </c>
      <c r="G40" s="30">
        <f t="shared" si="0"/>
        <v>22280.114677289337</v>
      </c>
      <c r="H40" s="31">
        <f t="shared" si="0"/>
        <v>457.81392228702686</v>
      </c>
      <c r="I40" s="29">
        <f t="shared" si="0"/>
        <v>11522.774788455168</v>
      </c>
      <c r="J40" s="30">
        <f t="shared" si="0"/>
        <v>27660.958098856605</v>
      </c>
      <c r="K40" s="30">
        <f t="shared" si="0"/>
        <v>1030.4888625860212</v>
      </c>
      <c r="L40" s="30">
        <f t="shared" si="0"/>
        <v>0</v>
      </c>
      <c r="M40" s="30">
        <f t="shared" si="0"/>
        <v>0</v>
      </c>
      <c r="N40" s="31">
        <f t="shared" si="0"/>
        <v>0</v>
      </c>
      <c r="O40" s="263">
        <f t="shared" si="0"/>
        <v>0</v>
      </c>
      <c r="P40" s="264">
        <f t="shared" si="0"/>
        <v>0</v>
      </c>
      <c r="Q40" s="264">
        <f t="shared" si="0"/>
        <v>0</v>
      </c>
      <c r="R40" s="264">
        <f t="shared" si="0"/>
        <v>0</v>
      </c>
      <c r="S40" s="264">
        <f t="shared" si="0"/>
        <v>0</v>
      </c>
      <c r="T40" s="265">
        <f t="shared" si="0"/>
        <v>0</v>
      </c>
      <c r="U40" s="263">
        <f t="shared" si="0"/>
        <v>11220.178008735782</v>
      </c>
      <c r="V40" s="264">
        <f t="shared" si="0"/>
        <v>1201.0627103071422</v>
      </c>
      <c r="W40" s="264">
        <f t="shared" si="0"/>
        <v>1014.8454684542482</v>
      </c>
      <c r="X40" s="264">
        <f t="shared" si="0"/>
        <v>108.35017559460111</v>
      </c>
      <c r="Y40" s="264">
        <f t="shared" si="0"/>
        <v>7559.6814138551545</v>
      </c>
      <c r="Z40" s="264">
        <f t="shared" si="0"/>
        <v>821.3919259409098</v>
      </c>
      <c r="AA40" s="272">
        <f t="shared" si="0"/>
        <v>0</v>
      </c>
      <c r="AB40" s="275">
        <f t="shared" si="0"/>
        <v>1225.7377530694012</v>
      </c>
      <c r="AC40" s="275">
        <f t="shared" si="0"/>
        <v>0</v>
      </c>
      <c r="AD40" s="278" t="s">
        <v>29</v>
      </c>
      <c r="AE40" s="278" t="s">
        <v>29</v>
      </c>
      <c r="AF40" s="278" t="s">
        <v>29</v>
      </c>
      <c r="AG40" s="278" t="s">
        <v>159</v>
      </c>
      <c r="AH40" s="275">
        <f>SUM(AH8:AH39)</f>
        <v>6493.9166214545576</v>
      </c>
      <c r="AI40" s="275">
        <f>SUM(AI8:AI39)</f>
        <v>23245.532454331722</v>
      </c>
      <c r="AJ40" s="275">
        <f>SUM(AJ8:AJ39)</f>
        <v>97099.392759958893</v>
      </c>
      <c r="AK40" s="275">
        <f>SUM(AK8:AK39)</f>
        <v>20453.574615844085</v>
      </c>
      <c r="AL40" s="275">
        <f>SUM(AL8:AL39)</f>
        <v>62285.225303395579</v>
      </c>
      <c r="AM40" s="275">
        <f>SUM(AM8:AM39)</f>
        <v>72749.909142176301</v>
      </c>
      <c r="AN40" s="275">
        <f>SUM(AN8:AN39)</f>
        <v>19269.148755963644</v>
      </c>
      <c r="AO40" s="275">
        <f>SUM(AO8:AO39)</f>
        <v>75154.181950505576</v>
      </c>
      <c r="AP40" s="275">
        <f>SUM(AP8:AP39)</f>
        <v>11059.659203219415</v>
      </c>
      <c r="AQ40" s="275">
        <f>SUM(AQ8:AQ39)</f>
        <v>25949.701542917894</v>
      </c>
    </row>
    <row r="41" spans="1:43" ht="15.75" thickBot="1" x14ac:dyDescent="0.3">
      <c r="A41" s="47" t="s">
        <v>174</v>
      </c>
      <c r="B41" s="32">
        <f>Projection!$AB$30</f>
        <v>0.80583665399999982</v>
      </c>
      <c r="C41" s="33">
        <f>Projection!$AB$28</f>
        <v>1.0959093599999998</v>
      </c>
      <c r="D41" s="33">
        <f>Projection!$AB$31</f>
        <v>2.1834120000000001</v>
      </c>
      <c r="E41" s="33">
        <f>Projection!$AB$26</f>
        <v>4.3368000000000002</v>
      </c>
      <c r="F41" s="33">
        <f>Projection!$AB$23</f>
        <v>5.8379999999999994E-2</v>
      </c>
      <c r="G41" s="33">
        <f>Projection!$AB$24</f>
        <v>5.5119999999999995E-2</v>
      </c>
      <c r="H41" s="34">
        <f>Projection!$AB$29</f>
        <v>3.4361216999999997</v>
      </c>
      <c r="I41" s="32">
        <f>Projection!$AB$30</f>
        <v>0.80583665399999982</v>
      </c>
      <c r="J41" s="33">
        <f>Projection!$AB$28</f>
        <v>1.0959093599999998</v>
      </c>
      <c r="K41" s="33">
        <f>Projection!$AB$26</f>
        <v>4.3368000000000002</v>
      </c>
      <c r="L41" s="33">
        <f>Projection!$AB$25</f>
        <v>0</v>
      </c>
      <c r="M41" s="33">
        <f>Projection!$AB$23</f>
        <v>5.8379999999999994E-2</v>
      </c>
      <c r="N41" s="34">
        <f>Projection!$AB$23</f>
        <v>5.8379999999999994E-2</v>
      </c>
      <c r="O41" s="26">
        <v>15.77</v>
      </c>
      <c r="P41" s="27">
        <v>15.77</v>
      </c>
      <c r="Q41" s="27">
        <v>15.77</v>
      </c>
      <c r="R41" s="27">
        <v>15.77</v>
      </c>
      <c r="S41" s="27">
        <f>Projection!$AB$28</f>
        <v>1.0959093599999998</v>
      </c>
      <c r="T41" s="38">
        <f>Projection!$AB$28</f>
        <v>1.0959093599999998</v>
      </c>
      <c r="U41" s="26">
        <f>Projection!$AB$27</f>
        <v>0.21934999999999999</v>
      </c>
      <c r="V41" s="27">
        <f>Projection!$AB$27</f>
        <v>0.21934999999999999</v>
      </c>
      <c r="W41" s="27">
        <f>Projection!$AB$22</f>
        <v>1.1625000000000001</v>
      </c>
      <c r="X41" s="27">
        <f>Projection!$AB$22</f>
        <v>1.1625000000000001</v>
      </c>
      <c r="Y41" s="27">
        <f>Projection!$AB$31</f>
        <v>2.1834120000000001</v>
      </c>
      <c r="Z41" s="27">
        <f>Projection!$AB$31</f>
        <v>2.1834120000000001</v>
      </c>
      <c r="AA41" s="28">
        <v>0</v>
      </c>
      <c r="AB41" s="41">
        <f>Projection!$AB$27</f>
        <v>0.21934999999999999</v>
      </c>
      <c r="AC41" s="41">
        <f>Projection!$AB$30</f>
        <v>0.80583665399999982</v>
      </c>
      <c r="AD41" s="279">
        <f>SUM(AD8:AD38)</f>
        <v>515.43960188329197</v>
      </c>
      <c r="AE41" s="279">
        <f>SUM(AE8:AE38)</f>
        <v>457.77209877040571</v>
      </c>
      <c r="AF41" s="279">
        <f>SUM(AF8:AF38)</f>
        <v>48.91134877231886</v>
      </c>
      <c r="AG41" s="279">
        <f>IF(SUM(AE41:AF41)&gt;0, AE41/(AE41+AF41), "")</f>
        <v>0.90346764037877003</v>
      </c>
      <c r="AH41" s="315">
        <v>7.0000000000000007E-2</v>
      </c>
      <c r="AI41" s="315">
        <f t="shared" ref="AI41:AQ41" si="1">$AH$41</f>
        <v>7.0000000000000007E-2</v>
      </c>
      <c r="AJ41" s="315">
        <f t="shared" si="1"/>
        <v>7.0000000000000007E-2</v>
      </c>
      <c r="AK41" s="315">
        <f t="shared" si="1"/>
        <v>7.0000000000000007E-2</v>
      </c>
      <c r="AL41" s="315">
        <f t="shared" si="1"/>
        <v>7.0000000000000007E-2</v>
      </c>
      <c r="AM41" s="315">
        <f t="shared" si="1"/>
        <v>7.0000000000000007E-2</v>
      </c>
      <c r="AN41" s="315">
        <f t="shared" si="1"/>
        <v>7.0000000000000007E-2</v>
      </c>
      <c r="AO41" s="315">
        <f t="shared" si="1"/>
        <v>7.0000000000000007E-2</v>
      </c>
      <c r="AP41" s="315">
        <f t="shared" si="1"/>
        <v>7.0000000000000007E-2</v>
      </c>
      <c r="AQ41" s="315">
        <f t="shared" si="1"/>
        <v>7.0000000000000007E-2</v>
      </c>
    </row>
    <row r="42" spans="1:43" ht="16.5" thickTop="1" thickBot="1" x14ac:dyDescent="0.3">
      <c r="A42" s="48" t="s">
        <v>26</v>
      </c>
      <c r="B42" s="35">
        <f t="shared" ref="B42:AC42" si="2">B41*B40</f>
        <v>0</v>
      </c>
      <c r="C42" s="36">
        <f t="shared" si="2"/>
        <v>1159.1841676501408</v>
      </c>
      <c r="D42" s="36">
        <f t="shared" si="2"/>
        <v>18826.082266989964</v>
      </c>
      <c r="E42" s="36">
        <f t="shared" si="2"/>
        <v>866.67600465576106</v>
      </c>
      <c r="F42" s="36">
        <f t="shared" si="2"/>
        <v>0</v>
      </c>
      <c r="G42" s="36">
        <f t="shared" si="2"/>
        <v>1228.0799210121882</v>
      </c>
      <c r="H42" s="37">
        <f t="shared" si="2"/>
        <v>1573.1043529325664</v>
      </c>
      <c r="I42" s="35">
        <f t="shared" si="2"/>
        <v>9285.474280324268</v>
      </c>
      <c r="J42" s="36">
        <f t="shared" si="2"/>
        <v>30313.902887104756</v>
      </c>
      <c r="K42" s="36">
        <f t="shared" si="2"/>
        <v>4469.024099263057</v>
      </c>
      <c r="L42" s="36">
        <f t="shared" si="2"/>
        <v>0</v>
      </c>
      <c r="M42" s="36">
        <f t="shared" si="2"/>
        <v>0</v>
      </c>
      <c r="N42" s="37">
        <f t="shared" si="2"/>
        <v>0</v>
      </c>
      <c r="O42" s="269">
        <f t="shared" si="2"/>
        <v>0</v>
      </c>
      <c r="P42" s="270">
        <f t="shared" si="2"/>
        <v>0</v>
      </c>
      <c r="Q42" s="270">
        <f t="shared" si="2"/>
        <v>0</v>
      </c>
      <c r="R42" s="270">
        <f t="shared" si="2"/>
        <v>0</v>
      </c>
      <c r="S42" s="270">
        <f t="shared" si="2"/>
        <v>0</v>
      </c>
      <c r="T42" s="271">
        <f t="shared" si="2"/>
        <v>0</v>
      </c>
      <c r="U42" s="269">
        <f t="shared" si="2"/>
        <v>2461.1460462161936</v>
      </c>
      <c r="V42" s="270">
        <f t="shared" si="2"/>
        <v>263.45310550587163</v>
      </c>
      <c r="W42" s="270">
        <f t="shared" si="2"/>
        <v>1179.7578570780636</v>
      </c>
      <c r="X42" s="270">
        <f t="shared" si="2"/>
        <v>125.95707912872381</v>
      </c>
      <c r="Y42" s="270">
        <f t="shared" si="2"/>
        <v>16505.899115188313</v>
      </c>
      <c r="Z42" s="270">
        <f t="shared" si="2"/>
        <v>1793.4369878024938</v>
      </c>
      <c r="AA42" s="274">
        <f t="shared" si="2"/>
        <v>0</v>
      </c>
      <c r="AB42" s="277">
        <f t="shared" si="2"/>
        <v>268.86557613577315</v>
      </c>
      <c r="AC42" s="277">
        <f t="shared" si="2"/>
        <v>0</v>
      </c>
      <c r="AH42" s="280">
        <f t="shared" ref="AH42:AQ42" si="3">AH41*AH40</f>
        <v>454.5741635018191</v>
      </c>
      <c r="AI42" s="280">
        <f t="shared" si="3"/>
        <v>1627.1872718032207</v>
      </c>
      <c r="AJ42" s="280">
        <f t="shared" si="3"/>
        <v>6796.9574931971229</v>
      </c>
      <c r="AK42" s="280">
        <f t="shared" si="3"/>
        <v>1431.7502231090862</v>
      </c>
      <c r="AL42" s="280">
        <f t="shared" si="3"/>
        <v>4359.9657712376911</v>
      </c>
      <c r="AM42" s="280">
        <f t="shared" si="3"/>
        <v>5092.4936399523413</v>
      </c>
      <c r="AN42" s="280">
        <f t="shared" si="3"/>
        <v>1348.8404129174553</v>
      </c>
      <c r="AO42" s="280">
        <f t="shared" si="3"/>
        <v>5260.7927365353908</v>
      </c>
      <c r="AP42" s="280">
        <f t="shared" si="3"/>
        <v>774.17614422535917</v>
      </c>
      <c r="AQ42" s="280">
        <f t="shared" si="3"/>
        <v>1816.4791080042528</v>
      </c>
    </row>
    <row r="43" spans="1:43" ht="49.5" customHeight="1" thickTop="1" thickBot="1" x14ac:dyDescent="0.3">
      <c r="A43" s="564" t="s">
        <v>228</v>
      </c>
      <c r="B43" s="565"/>
      <c r="C43" s="565"/>
      <c r="D43" s="565"/>
      <c r="E43" s="565"/>
      <c r="F43" s="565"/>
      <c r="G43" s="565"/>
      <c r="H43" s="565"/>
      <c r="I43" s="565"/>
      <c r="J43" s="565"/>
      <c r="K43" s="549"/>
      <c r="L43" s="44"/>
      <c r="M43" s="44"/>
      <c r="N43" s="44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G43" s="298" t="s">
        <v>186</v>
      </c>
      <c r="AH43" s="297">
        <v>702.49</v>
      </c>
      <c r="AI43" s="280" t="s">
        <v>199</v>
      </c>
      <c r="AJ43" s="280">
        <v>1815.06</v>
      </c>
      <c r="AK43" s="280">
        <v>509.53</v>
      </c>
      <c r="AL43" s="280">
        <v>980.96</v>
      </c>
      <c r="AM43" s="280">
        <v>3884.77</v>
      </c>
      <c r="AN43" s="280">
        <v>868.09</v>
      </c>
      <c r="AO43" s="280" t="s">
        <v>199</v>
      </c>
      <c r="AP43" s="280">
        <v>171.63</v>
      </c>
      <c r="AQ43" s="280">
        <v>388.41</v>
      </c>
    </row>
    <row r="44" spans="1:43" ht="38.25" customHeight="1" thickTop="1" thickBot="1" x14ac:dyDescent="0.3">
      <c r="A44" s="552" t="s">
        <v>49</v>
      </c>
      <c r="B44" s="548"/>
      <c r="C44" s="291"/>
      <c r="D44" s="548" t="s">
        <v>47</v>
      </c>
      <c r="E44" s="548"/>
      <c r="F44" s="291"/>
      <c r="G44" s="548" t="s">
        <v>48</v>
      </c>
      <c r="H44" s="548"/>
      <c r="I44" s="292"/>
      <c r="J44" s="548" t="s">
        <v>50</v>
      </c>
      <c r="K44" s="549"/>
      <c r="L44" s="44"/>
      <c r="M44" s="44"/>
      <c r="N44" s="44"/>
      <c r="O44" s="45"/>
      <c r="P44" s="45"/>
      <c r="Q44" s="45"/>
      <c r="R44" s="558" t="s">
        <v>168</v>
      </c>
      <c r="S44" s="559"/>
      <c r="T44" s="559"/>
      <c r="U44" s="560"/>
      <c r="AC44" s="45"/>
    </row>
    <row r="45" spans="1:43" ht="24.75" thickTop="1" thickBot="1" x14ac:dyDescent="0.3">
      <c r="A45" s="284" t="s">
        <v>135</v>
      </c>
      <c r="B45" s="285">
        <f>SUM(B42:AC42)</f>
        <v>90320.043746988114</v>
      </c>
      <c r="C45" s="12"/>
      <c r="D45" s="284" t="s">
        <v>135</v>
      </c>
      <c r="E45" s="285">
        <f>SUM(B42:H42)+P42+R42+T42+V42+X42+Z42</f>
        <v>25835.973885677711</v>
      </c>
      <c r="F45" s="12"/>
      <c r="G45" s="284" t="s">
        <v>135</v>
      </c>
      <c r="H45" s="285">
        <f>SUM(I42:N42)+O42+Q42+S42+U42+W42+Y42</f>
        <v>64215.204285174652</v>
      </c>
      <c r="I45" s="12"/>
      <c r="J45" s="284" t="s">
        <v>200</v>
      </c>
      <c r="K45" s="285">
        <v>141089.95000000001</v>
      </c>
      <c r="L45" s="12"/>
      <c r="M45" s="12"/>
      <c r="N45" s="12"/>
      <c r="O45" s="12"/>
      <c r="P45" s="12"/>
      <c r="Q45" s="12"/>
      <c r="R45" s="322" t="s">
        <v>135</v>
      </c>
      <c r="S45" s="323"/>
      <c r="T45" s="316" t="s">
        <v>169</v>
      </c>
      <c r="U45" s="257" t="s">
        <v>170</v>
      </c>
    </row>
    <row r="46" spans="1:43" ht="24" thickBot="1" x14ac:dyDescent="0.4">
      <c r="A46" s="286" t="s">
        <v>185</v>
      </c>
      <c r="B46" s="287">
        <f>SUM(AH42:AQ42)</f>
        <v>28963.216964483738</v>
      </c>
      <c r="C46" s="12"/>
      <c r="D46" s="286" t="s">
        <v>185</v>
      </c>
      <c r="E46" s="287">
        <f>AH42*(1-$AG$41)+AI42+AJ42*0.5+AL42+AM42*(1-$AG$41)+AN42*(1-$AG$41)+AO42*(1-$AG$41)+AP42*0.5+AQ42*0.5</f>
        <v>11854.474443948047</v>
      </c>
      <c r="F46" s="24"/>
      <c r="G46" s="286" t="s">
        <v>185</v>
      </c>
      <c r="H46" s="287">
        <f>AH42*AG41+AJ42*0.5+AK42+AM42*AG41+AN42*AG41+AO42*AG41+AP42*0.5+AQ42*0.5</f>
        <v>17108.742520535692</v>
      </c>
      <c r="I46" s="12"/>
      <c r="J46" s="12"/>
      <c r="K46" s="290"/>
      <c r="L46" s="12"/>
      <c r="M46" s="12"/>
      <c r="N46" s="12"/>
      <c r="O46" s="12"/>
      <c r="P46" s="12"/>
      <c r="Q46" s="12"/>
      <c r="R46" s="320" t="s">
        <v>141</v>
      </c>
      <c r="S46" s="321"/>
      <c r="T46" s="256">
        <f>$W$40+$X$40</f>
        <v>1123.1956440488493</v>
      </c>
      <c r="U46" s="258">
        <f>(T46*8.34*0.895)/27000</f>
        <v>0.31051367577310468</v>
      </c>
    </row>
    <row r="47" spans="1:43" ht="32.25" thickBot="1" x14ac:dyDescent="0.3">
      <c r="A47" s="288" t="s">
        <v>186</v>
      </c>
      <c r="B47" s="289">
        <f>SUM(AH43:AQ43)</f>
        <v>9320.9399999999987</v>
      </c>
      <c r="C47" s="12"/>
      <c r="D47" s="288" t="s">
        <v>186</v>
      </c>
      <c r="E47" s="289">
        <f>AH43*(1-$AG$41)+AJ43*0.5+AL43+AM43*(1-$AG$41)+AN43*(1-$AG$41)+AP43*0.5+AQ43*0.5</f>
        <v>2695.1278080596767</v>
      </c>
      <c r="F47" s="23"/>
      <c r="G47" s="288" t="s">
        <v>186</v>
      </c>
      <c r="H47" s="289">
        <f>AH43*AG41+AJ43*0.5+AK43+AM43*AG41+AN43*AG41+AP43*0.5+AQ43*0.5</f>
        <v>6625.8121919403229</v>
      </c>
      <c r="I47" s="12"/>
      <c r="J47" s="550" t="s">
        <v>201</v>
      </c>
      <c r="K47" s="551"/>
      <c r="L47" s="12"/>
      <c r="M47" s="12"/>
      <c r="N47" s="12"/>
      <c r="O47" s="12"/>
      <c r="P47" s="12"/>
      <c r="Q47" s="12"/>
      <c r="R47" s="320" t="s">
        <v>145</v>
      </c>
      <c r="S47" s="321"/>
      <c r="T47" s="256">
        <f>$M$40+$N$40+$F$40</f>
        <v>0</v>
      </c>
      <c r="U47" s="259">
        <f>(((T47*8.34)*0.005)/(8.34*1.055))/400</f>
        <v>0</v>
      </c>
    </row>
    <row r="48" spans="1:43" ht="24.75" thickTop="1" thickBot="1" x14ac:dyDescent="0.4">
      <c r="A48" s="288" t="s">
        <v>187</v>
      </c>
      <c r="B48" s="289">
        <f>K45</f>
        <v>141089.95000000001</v>
      </c>
      <c r="C48" s="12"/>
      <c r="D48" s="288" t="s">
        <v>189</v>
      </c>
      <c r="E48" s="289">
        <f>K45*0.5</f>
        <v>70544.975000000006</v>
      </c>
      <c r="F48" s="24"/>
      <c r="G48" s="288" t="s">
        <v>187</v>
      </c>
      <c r="H48" s="289">
        <f>K45*0.5</f>
        <v>70544.975000000006</v>
      </c>
      <c r="I48" s="12"/>
      <c r="J48" s="284" t="s">
        <v>200</v>
      </c>
      <c r="K48" s="285">
        <v>49791</v>
      </c>
      <c r="L48" s="12"/>
      <c r="M48" s="12"/>
      <c r="N48" s="12"/>
      <c r="O48" s="12"/>
      <c r="P48" s="12"/>
      <c r="Q48" s="12"/>
      <c r="R48" s="320" t="s">
        <v>148</v>
      </c>
      <c r="S48" s="321"/>
      <c r="T48" s="256">
        <f>$G$40</f>
        <v>22280.114677289337</v>
      </c>
      <c r="U48" s="258">
        <f>T48/40000</f>
        <v>0.55700286693223344</v>
      </c>
    </row>
    <row r="49" spans="1:25" ht="24" thickBot="1" x14ac:dyDescent="0.3">
      <c r="A49" s="288" t="s">
        <v>188</v>
      </c>
      <c r="B49" s="289">
        <f>K48</f>
        <v>49791</v>
      </c>
      <c r="C49" s="12"/>
      <c r="D49" s="288" t="s">
        <v>188</v>
      </c>
      <c r="E49" s="289">
        <f>K48*0.5</f>
        <v>24895.5</v>
      </c>
      <c r="F49" s="23"/>
      <c r="G49" s="288" t="s">
        <v>188</v>
      </c>
      <c r="H49" s="289">
        <f>K48*0.5</f>
        <v>24895.5</v>
      </c>
      <c r="I49" s="12"/>
      <c r="J49" s="12"/>
      <c r="K49" s="86"/>
      <c r="L49" s="12"/>
      <c r="M49" s="12"/>
      <c r="N49" s="12"/>
      <c r="O49" s="12"/>
      <c r="P49" s="12"/>
      <c r="Q49" s="12"/>
      <c r="R49" s="320" t="s">
        <v>150</v>
      </c>
      <c r="S49" s="321"/>
      <c r="T49" s="256">
        <f>$L$40</f>
        <v>0</v>
      </c>
      <c r="U49" s="258">
        <f>T49*9.34*0.107</f>
        <v>0</v>
      </c>
    </row>
    <row r="50" spans="1:25" ht="48" thickTop="1" thickBot="1" x14ac:dyDescent="0.3">
      <c r="A50" s="293" t="s">
        <v>196</v>
      </c>
      <c r="B50" s="294">
        <f>AD41</f>
        <v>515.43960188329197</v>
      </c>
      <c r="C50" s="12"/>
      <c r="D50" s="293" t="s">
        <v>197</v>
      </c>
      <c r="E50" s="294">
        <f>AF41</f>
        <v>48.91134877231886</v>
      </c>
      <c r="F50" s="23"/>
      <c r="G50" s="293" t="s">
        <v>198</v>
      </c>
      <c r="H50" s="294">
        <f>AE41</f>
        <v>457.77209877040571</v>
      </c>
      <c r="I50" s="12"/>
      <c r="J50" s="12"/>
      <c r="K50" s="86"/>
      <c r="L50" s="12"/>
      <c r="M50" s="12"/>
      <c r="N50" s="12"/>
      <c r="O50" s="12"/>
      <c r="P50" s="12"/>
      <c r="Q50" s="12"/>
      <c r="R50" s="320" t="s">
        <v>152</v>
      </c>
      <c r="S50" s="321"/>
      <c r="T50" s="256">
        <f>$E$40+$K$40</f>
        <v>1230.3311436817048</v>
      </c>
      <c r="U50" s="258">
        <f>(T50*8.34*1.04)/45000</f>
        <v>0.23714222684083633</v>
      </c>
    </row>
    <row r="51" spans="1:25" ht="48" thickTop="1" thickBot="1" x14ac:dyDescent="0.3">
      <c r="A51" s="293" t="s">
        <v>192</v>
      </c>
      <c r="B51" s="295">
        <f>(SUM(B45:B49)/AD41)</f>
        <v>619.83043123607536</v>
      </c>
      <c r="C51" s="12"/>
      <c r="D51" s="293" t="s">
        <v>190</v>
      </c>
      <c r="E51" s="295">
        <f>SUM(E45:E49)/AF41</f>
        <v>2776.984371662953</v>
      </c>
      <c r="F51" s="23"/>
      <c r="G51" s="293" t="s">
        <v>191</v>
      </c>
      <c r="H51" s="295">
        <f>SUM(H45:H49)/AE41</f>
        <v>400.61470432611389</v>
      </c>
      <c r="I51" s="12"/>
      <c r="J51" s="12"/>
      <c r="K51" s="86"/>
      <c r="L51" s="12"/>
      <c r="M51" s="12"/>
      <c r="N51" s="12"/>
      <c r="O51" s="12"/>
      <c r="P51" s="12"/>
      <c r="Q51" s="12"/>
      <c r="R51" s="320" t="s">
        <v>153</v>
      </c>
      <c r="S51" s="321"/>
      <c r="T51" s="256">
        <f>$U$40+$V$40+$AB$40</f>
        <v>13646.978472112325</v>
      </c>
      <c r="U51" s="258">
        <f>T51/2000/8</f>
        <v>0.85293615450702032</v>
      </c>
    </row>
    <row r="52" spans="1:25" ht="57" customHeight="1" thickTop="1" thickBot="1" x14ac:dyDescent="0.3">
      <c r="A52" s="283" t="s">
        <v>193</v>
      </c>
      <c r="B52" s="296">
        <f>B51/1000</f>
        <v>0.6198304312360754</v>
      </c>
      <c r="C52" s="12"/>
      <c r="D52" s="283" t="s">
        <v>194</v>
      </c>
      <c r="E52" s="296">
        <f>E51/1000</f>
        <v>2.776984371662953</v>
      </c>
      <c r="F52" s="12"/>
      <c r="G52" s="283" t="s">
        <v>195</v>
      </c>
      <c r="H52" s="296">
        <f>H51/1000</f>
        <v>0.4006147043261139</v>
      </c>
      <c r="I52" s="12"/>
      <c r="J52" s="12"/>
      <c r="K52" s="86"/>
      <c r="L52" s="12"/>
      <c r="M52" s="12"/>
      <c r="N52" s="12"/>
      <c r="O52" s="12"/>
      <c r="P52" s="12"/>
      <c r="Q52" s="12"/>
      <c r="R52" s="320" t="s">
        <v>154</v>
      </c>
      <c r="S52" s="321"/>
      <c r="T52" s="256">
        <f>$C$40+$J$40+$S$40+$T$40</f>
        <v>28718.695362502334</v>
      </c>
      <c r="U52" s="258">
        <f>(T52*8.34*1.4)/45000</f>
        <v>7.451544156723938</v>
      </c>
    </row>
    <row r="53" spans="1:25" ht="16.5" thickTop="1" thickBot="1" x14ac:dyDescent="0.3">
      <c r="A53" s="305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20" t="s">
        <v>155</v>
      </c>
      <c r="S53" s="321"/>
      <c r="T53" s="256">
        <f>$H$40</f>
        <v>457.81392228702686</v>
      </c>
      <c r="U53" s="258">
        <f>(T53*8.34*1.135)/45000</f>
        <v>9.6302684599483712E-2</v>
      </c>
    </row>
    <row r="54" spans="1:25" ht="48" customHeight="1" thickTop="1" thickBot="1" x14ac:dyDescent="0.3">
      <c r="A54" s="561" t="s">
        <v>51</v>
      </c>
      <c r="B54" s="562"/>
      <c r="C54" s="562"/>
      <c r="D54" s="562"/>
      <c r="E54" s="563"/>
      <c r="F54" s="12"/>
      <c r="G54" s="12"/>
      <c r="H54" s="12"/>
      <c r="I54" s="373">
        <f>E45/E50</f>
        <v>528.22043419705199</v>
      </c>
      <c r="J54" s="12"/>
      <c r="K54" s="86"/>
      <c r="L54" s="12"/>
      <c r="M54" s="12"/>
      <c r="N54" s="12"/>
      <c r="O54" s="12"/>
      <c r="P54" s="12"/>
      <c r="Q54" s="12"/>
      <c r="R54" s="320" t="s">
        <v>156</v>
      </c>
      <c r="S54" s="321"/>
      <c r="T54" s="256">
        <f>$B$40+$I$40+$AC$40</f>
        <v>11522.774788455168</v>
      </c>
      <c r="U54" s="258">
        <f>(T54*8.34*1.029*0.03)/3300</f>
        <v>0.89897127314592595</v>
      </c>
    </row>
    <row r="55" spans="1:25" ht="45.75" customHeight="1" thickBot="1" x14ac:dyDescent="0.3">
      <c r="A55" s="545" t="s">
        <v>202</v>
      </c>
      <c r="B55" s="546"/>
      <c r="C55" s="546"/>
      <c r="D55" s="546"/>
      <c r="E55" s="547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555" t="s">
        <v>158</v>
      </c>
      <c r="S55" s="556"/>
      <c r="T55" s="260">
        <f>$D$40+$Y$40+$Z$40</f>
        <v>17003.39577229619</v>
      </c>
      <c r="U55" s="261">
        <f>(T55*1.54*8.34)/45000</f>
        <v>4.8529958653569629</v>
      </c>
    </row>
    <row r="56" spans="1:25" ht="24" thickTop="1" x14ac:dyDescent="0.25">
      <c r="A56" s="591"/>
      <c r="B56" s="59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593"/>
      <c r="B57" s="59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589"/>
      <c r="B58" s="59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590"/>
      <c r="B59" s="59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589"/>
      <c r="B60" s="59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590"/>
      <c r="B61" s="59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  <row r="65" spans="1:3" x14ac:dyDescent="0.25">
      <c r="A65" s="12"/>
      <c r="B65" s="12"/>
      <c r="C65" s="12"/>
    </row>
  </sheetData>
  <sheetProtection algorithmName="SHA-512" hashValue="qgNgHIOt7FnRx47N/9CBh42xpzwpG65CoS7m9T0qRkiNUQYQ4JJ8L8IswUnumWOPT72nv7fwTUCTfjLHETke7Q==" saltValue="dSPcLsWOA0HBBGGLtQO+vA==" spinCount="100000" sheet="1" objects="1" scenarios="1" selectLockedCells="1" selectUnlockedCells="1"/>
  <mergeCells count="34">
    <mergeCell ref="R44:U44"/>
    <mergeCell ref="A54:E54"/>
    <mergeCell ref="A55:E55"/>
    <mergeCell ref="R55:S55"/>
    <mergeCell ref="AM4:AM5"/>
    <mergeCell ref="A43:K43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8:B59"/>
    <mergeCell ref="A60:B61"/>
    <mergeCell ref="A56:B56"/>
    <mergeCell ref="A57:B57"/>
    <mergeCell ref="J44:K44"/>
    <mergeCell ref="J47:K47"/>
    <mergeCell ref="A44:B44"/>
    <mergeCell ref="D44:E44"/>
    <mergeCell ref="G44:H44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Conte, Chris</cp:lastModifiedBy>
  <cp:lastPrinted>2014-10-07T18:10:09Z</cp:lastPrinted>
  <dcterms:created xsi:type="dcterms:W3CDTF">2010-10-11T23:47:50Z</dcterms:created>
  <dcterms:modified xsi:type="dcterms:W3CDTF">2017-02-17T20:42:16Z</dcterms:modified>
</cp:coreProperties>
</file>