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"/>
    </mc:Choice>
  </mc:AlternateContent>
  <bookViews>
    <workbookView xWindow="2445" yWindow="1140" windowWidth="19320" windowHeight="12120" activeTab="1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APRIL!$A$42:$K$54</definedName>
    <definedName name="_xlnm.Print_Area" localSheetId="11">AUGUST!$A$42:$K$54</definedName>
    <definedName name="_xlnm.Print_Area" localSheetId="15">DECEMBER!$A$42:$K$54</definedName>
    <definedName name="_xlnm.Print_Area" localSheetId="5">FEBRUARY!$A$42:$K$54</definedName>
    <definedName name="_xlnm.Print_Area" localSheetId="4">JANUARY!$A$42:$K$54</definedName>
    <definedName name="_xlnm.Print_Area" localSheetId="10">JULY!$A$42:$K$54</definedName>
    <definedName name="_xlnm.Print_Area" localSheetId="9">JUNE!$A$42:$K$54</definedName>
    <definedName name="_xlnm.Print_Area" localSheetId="6">MARCH!$A$42:$K$54</definedName>
    <definedName name="_xlnm.Print_Area" localSheetId="8">MAY!$A$42:$K$54</definedName>
    <definedName name="_xlnm.Print_Area" localSheetId="14">NOVEMBER!$A$42:$K$54</definedName>
    <definedName name="_xlnm.Print_Area" localSheetId="13">OCTOBER!$A$42:$K$54</definedName>
    <definedName name="_xlnm.Print_Area" localSheetId="12">SEPTEMBER!$A$42:$K$54</definedName>
  </definedNames>
  <calcPr calcId="152511"/>
</workbook>
</file>

<file path=xl/calcChain.xml><?xml version="1.0" encoding="utf-8"?>
<calcChain xmlns="http://schemas.openxmlformats.org/spreadsheetml/2006/main">
  <c r="I52" i="16" l="1"/>
  <c r="AI22" i="28" l="1"/>
  <c r="AH22" i="28"/>
  <c r="AG22" i="28"/>
  <c r="AF22" i="28"/>
  <c r="AB28" i="28" l="1"/>
  <c r="S40" i="17" s="1"/>
  <c r="J40" i="19" l="1"/>
  <c r="T40" i="19"/>
  <c r="J40" i="18"/>
  <c r="T40" i="18"/>
  <c r="J40" i="17"/>
  <c r="T40" i="17"/>
  <c r="C40" i="19"/>
  <c r="S40" i="19"/>
  <c r="C40" i="18"/>
  <c r="S40" i="18"/>
  <c r="C40" i="17"/>
  <c r="AH19" i="28"/>
  <c r="AF19" i="28"/>
  <c r="AI10" i="28"/>
  <c r="AG10" i="28"/>
  <c r="E41" i="27" l="1"/>
  <c r="AF40" i="24"/>
  <c r="E49" i="24" s="1"/>
  <c r="AE40" i="24"/>
  <c r="AD40" i="24"/>
  <c r="B49" i="24" s="1"/>
  <c r="H48" i="26"/>
  <c r="E48" i="26"/>
  <c r="B48" i="26"/>
  <c r="H47" i="26"/>
  <c r="E47" i="26"/>
  <c r="B47" i="26"/>
  <c r="B46" i="26"/>
  <c r="AQ40" i="26"/>
  <c r="AP40" i="26"/>
  <c r="AO40" i="26"/>
  <c r="AN40" i="26"/>
  <c r="AM40" i="26"/>
  <c r="AL40" i="26"/>
  <c r="AK40" i="26"/>
  <c r="AJ40" i="26"/>
  <c r="AI40" i="26"/>
  <c r="AF40" i="26"/>
  <c r="E49" i="26" s="1"/>
  <c r="AE40" i="26"/>
  <c r="AD40" i="26"/>
  <c r="B49" i="26" s="1"/>
  <c r="AQ39" i="26"/>
  <c r="AP39" i="26"/>
  <c r="AO39" i="26"/>
  <c r="AN39" i="26"/>
  <c r="AM39" i="26"/>
  <c r="AL39" i="26"/>
  <c r="AK39" i="26"/>
  <c r="AJ39" i="26"/>
  <c r="AI39" i="26"/>
  <c r="AH39" i="26"/>
  <c r="AH41" i="26" s="1"/>
  <c r="AC39" i="26"/>
  <c r="AB39" i="26"/>
  <c r="AA39" i="26"/>
  <c r="AA41" i="26" s="1"/>
  <c r="Z39" i="26"/>
  <c r="Y39" i="26"/>
  <c r="X39" i="26"/>
  <c r="W39" i="26"/>
  <c r="V39" i="26"/>
  <c r="U39" i="26"/>
  <c r="T39" i="26"/>
  <c r="S39" i="26"/>
  <c r="R39" i="26"/>
  <c r="R41" i="26" s="1"/>
  <c r="Q39" i="26"/>
  <c r="Q41" i="26" s="1"/>
  <c r="P39" i="26"/>
  <c r="P41" i="26" s="1"/>
  <c r="O39" i="26"/>
  <c r="O41" i="26" s="1"/>
  <c r="N39" i="26"/>
  <c r="M39" i="26"/>
  <c r="L39" i="26"/>
  <c r="K39" i="26"/>
  <c r="J39" i="26"/>
  <c r="I39" i="26"/>
  <c r="H39" i="26"/>
  <c r="T52" i="26" s="1"/>
  <c r="U52" i="26" s="1"/>
  <c r="G39" i="26"/>
  <c r="T47" i="26" s="1"/>
  <c r="U47" i="26" s="1"/>
  <c r="F39" i="26"/>
  <c r="E39" i="26"/>
  <c r="D39" i="26"/>
  <c r="C39" i="26"/>
  <c r="B39" i="26"/>
  <c r="H48" i="25"/>
  <c r="E48" i="25"/>
  <c r="B48" i="25"/>
  <c r="H47" i="25"/>
  <c r="E47" i="25"/>
  <c r="B47" i="25"/>
  <c r="B46" i="25"/>
  <c r="AQ40" i="25"/>
  <c r="AP40" i="25"/>
  <c r="AO40" i="25"/>
  <c r="AN40" i="25"/>
  <c r="AM40" i="25"/>
  <c r="AL40" i="25"/>
  <c r="AK40" i="25"/>
  <c r="AJ40" i="25"/>
  <c r="AI40" i="25"/>
  <c r="AF40" i="25"/>
  <c r="E49" i="25" s="1"/>
  <c r="AE40" i="25"/>
  <c r="AD40" i="25"/>
  <c r="B49" i="25" s="1"/>
  <c r="AQ39" i="25"/>
  <c r="AP39" i="25"/>
  <c r="AO39" i="25"/>
  <c r="AN39" i="25"/>
  <c r="AM39" i="25"/>
  <c r="AL39" i="25"/>
  <c r="AK39" i="25"/>
  <c r="AJ39" i="25"/>
  <c r="AI39" i="25"/>
  <c r="AH39" i="25"/>
  <c r="AH41" i="25" s="1"/>
  <c r="AC39" i="25"/>
  <c r="AB39" i="25"/>
  <c r="AA39" i="25"/>
  <c r="AA41" i="25" s="1"/>
  <c r="Z39" i="25"/>
  <c r="Y39" i="25"/>
  <c r="X39" i="25"/>
  <c r="W39" i="25"/>
  <c r="V39" i="25"/>
  <c r="U39" i="25"/>
  <c r="T39" i="25"/>
  <c r="S39" i="25"/>
  <c r="R39" i="25"/>
  <c r="R41" i="25" s="1"/>
  <c r="Q39" i="25"/>
  <c r="Q41" i="25" s="1"/>
  <c r="P39" i="25"/>
  <c r="P41" i="25" s="1"/>
  <c r="O39" i="25"/>
  <c r="O41" i="25" s="1"/>
  <c r="N39" i="25"/>
  <c r="M39" i="25"/>
  <c r="L39" i="25"/>
  <c r="K39" i="25"/>
  <c r="J39" i="25"/>
  <c r="I39" i="25"/>
  <c r="H39" i="25"/>
  <c r="T52" i="25" s="1"/>
  <c r="U52" i="25" s="1"/>
  <c r="G39" i="25"/>
  <c r="T47" i="25" s="1"/>
  <c r="U47" i="25" s="1"/>
  <c r="F39" i="25"/>
  <c r="E39" i="25"/>
  <c r="D39" i="25"/>
  <c r="C39" i="25"/>
  <c r="B39" i="25"/>
  <c r="H48" i="6"/>
  <c r="E48" i="6"/>
  <c r="B48" i="6"/>
  <c r="H47" i="6"/>
  <c r="E47" i="6"/>
  <c r="B47" i="6"/>
  <c r="B46" i="6"/>
  <c r="AQ40" i="6"/>
  <c r="AP40" i="6"/>
  <c r="AO40" i="6"/>
  <c r="AN40" i="6"/>
  <c r="AM40" i="6"/>
  <c r="AL40" i="6"/>
  <c r="AK40" i="6"/>
  <c r="AJ40" i="6"/>
  <c r="AI40" i="6"/>
  <c r="AF40" i="6"/>
  <c r="E49" i="6" s="1"/>
  <c r="AE40" i="6"/>
  <c r="AD40" i="6"/>
  <c r="B49" i="6" s="1"/>
  <c r="AQ39" i="6"/>
  <c r="AP39" i="6"/>
  <c r="AO39" i="6"/>
  <c r="AN39" i="6"/>
  <c r="AM39" i="6"/>
  <c r="AL39" i="6"/>
  <c r="AK39" i="6"/>
  <c r="AJ39" i="6"/>
  <c r="AI39" i="6"/>
  <c r="AH39" i="6"/>
  <c r="AH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K39" i="6"/>
  <c r="J39" i="6"/>
  <c r="I39" i="6"/>
  <c r="H39" i="6"/>
  <c r="T52" i="6" s="1"/>
  <c r="U52" i="6" s="1"/>
  <c r="G39" i="6"/>
  <c r="T47" i="6" s="1"/>
  <c r="U47" i="6" s="1"/>
  <c r="F39" i="6"/>
  <c r="E39" i="6"/>
  <c r="D39" i="6"/>
  <c r="C39" i="6"/>
  <c r="B39" i="6"/>
  <c r="AF40" i="23"/>
  <c r="E49" i="23" s="1"/>
  <c r="AE40" i="23"/>
  <c r="AD40" i="23"/>
  <c r="B49" i="23" s="1"/>
  <c r="H48" i="23"/>
  <c r="E48" i="23"/>
  <c r="B48" i="23"/>
  <c r="H47" i="23"/>
  <c r="E47" i="23"/>
  <c r="B47" i="23"/>
  <c r="B46" i="23"/>
  <c r="AQ40" i="23"/>
  <c r="AP40" i="23"/>
  <c r="AO40" i="23"/>
  <c r="AN40" i="23"/>
  <c r="AM40" i="23"/>
  <c r="AL40" i="23"/>
  <c r="AK40" i="23"/>
  <c r="AJ40" i="23"/>
  <c r="AI40" i="23"/>
  <c r="AQ39" i="23"/>
  <c r="AP39" i="23"/>
  <c r="AO39" i="23"/>
  <c r="AN39" i="23"/>
  <c r="AM39" i="23"/>
  <c r="AL39" i="23"/>
  <c r="AK39" i="23"/>
  <c r="AJ39" i="23"/>
  <c r="AI39" i="23"/>
  <c r="AH39" i="23"/>
  <c r="AH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2" i="23" s="1"/>
  <c r="U52" i="23" s="1"/>
  <c r="G39" i="23"/>
  <c r="T47" i="23" s="1"/>
  <c r="U47" i="23" s="1"/>
  <c r="F39" i="23"/>
  <c r="E39" i="23"/>
  <c r="D39" i="23"/>
  <c r="C39" i="23"/>
  <c r="B39" i="23"/>
  <c r="H48" i="24"/>
  <c r="E48" i="24"/>
  <c r="B48" i="24"/>
  <c r="H47" i="24"/>
  <c r="E47" i="24"/>
  <c r="B47" i="24"/>
  <c r="B46" i="24"/>
  <c r="AQ40" i="24"/>
  <c r="AP40" i="24"/>
  <c r="AO40" i="24"/>
  <c r="AN40" i="24"/>
  <c r="AM40" i="24"/>
  <c r="AL40" i="24"/>
  <c r="AK40" i="24"/>
  <c r="AJ40" i="24"/>
  <c r="AI40" i="24"/>
  <c r="AQ39" i="24"/>
  <c r="AP39" i="24"/>
  <c r="AO39" i="24"/>
  <c r="AN39" i="24"/>
  <c r="AM39" i="24"/>
  <c r="AL39" i="24"/>
  <c r="AK39" i="24"/>
  <c r="AJ39" i="24"/>
  <c r="AI39" i="24"/>
  <c r="AH39" i="24"/>
  <c r="AH41" i="24" s="1"/>
  <c r="AC39" i="24"/>
  <c r="AB39" i="24"/>
  <c r="AA39" i="24"/>
  <c r="AA41" i="24" s="1"/>
  <c r="Z39" i="24"/>
  <c r="Y39" i="24"/>
  <c r="X39" i="24"/>
  <c r="W39" i="24"/>
  <c r="V39" i="24"/>
  <c r="U39" i="24"/>
  <c r="T39" i="24"/>
  <c r="S39" i="24"/>
  <c r="R39" i="24"/>
  <c r="R41" i="24" s="1"/>
  <c r="Q39" i="24"/>
  <c r="Q41" i="24" s="1"/>
  <c r="P39" i="24"/>
  <c r="P41" i="24" s="1"/>
  <c r="O39" i="24"/>
  <c r="O41" i="24" s="1"/>
  <c r="N39" i="24"/>
  <c r="M39" i="24"/>
  <c r="L39" i="24"/>
  <c r="K39" i="24"/>
  <c r="J39" i="24"/>
  <c r="I39" i="24"/>
  <c r="H39" i="24"/>
  <c r="T52" i="24" s="1"/>
  <c r="U52" i="24" s="1"/>
  <c r="G39" i="24"/>
  <c r="T47" i="24" s="1"/>
  <c r="U47" i="24" s="1"/>
  <c r="F39" i="24"/>
  <c r="E39" i="24"/>
  <c r="D39" i="24"/>
  <c r="C39" i="24"/>
  <c r="B39" i="24"/>
  <c r="H48" i="17"/>
  <c r="E48" i="17"/>
  <c r="B48" i="17"/>
  <c r="H47" i="17"/>
  <c r="E47" i="17"/>
  <c r="B47" i="17"/>
  <c r="B46" i="17"/>
  <c r="AQ40" i="17"/>
  <c r="AP40" i="17"/>
  <c r="AO40" i="17"/>
  <c r="AN40" i="17"/>
  <c r="AM40" i="17"/>
  <c r="AL40" i="17"/>
  <c r="AK40" i="17"/>
  <c r="AJ40" i="17"/>
  <c r="AI40" i="17"/>
  <c r="AF40" i="17"/>
  <c r="E49" i="17" s="1"/>
  <c r="AE40" i="17"/>
  <c r="AD40" i="17"/>
  <c r="B49" i="17" s="1"/>
  <c r="AQ39" i="17"/>
  <c r="AP39" i="17"/>
  <c r="AO39" i="17"/>
  <c r="AN39" i="17"/>
  <c r="AM39" i="17"/>
  <c r="AL39" i="17"/>
  <c r="AK39" i="17"/>
  <c r="AJ39" i="17"/>
  <c r="AI39" i="17"/>
  <c r="AH39" i="17"/>
  <c r="AH41" i="17" s="1"/>
  <c r="AC39" i="17"/>
  <c r="AB39" i="17"/>
  <c r="AA39" i="17"/>
  <c r="AA41" i="17" s="1"/>
  <c r="Z39" i="17"/>
  <c r="Y39" i="17"/>
  <c r="X39" i="17"/>
  <c r="W39" i="17"/>
  <c r="T45" i="17" s="1"/>
  <c r="U45" i="17" s="1"/>
  <c r="V39" i="17"/>
  <c r="U39" i="17"/>
  <c r="T39" i="17"/>
  <c r="T41" i="17" s="1"/>
  <c r="S39" i="17"/>
  <c r="S41" i="17" s="1"/>
  <c r="R39" i="17"/>
  <c r="R41" i="17" s="1"/>
  <c r="Q39" i="17"/>
  <c r="Q41" i="17" s="1"/>
  <c r="P39" i="17"/>
  <c r="P41" i="17" s="1"/>
  <c r="O39" i="17"/>
  <c r="O41" i="17" s="1"/>
  <c r="N39" i="17"/>
  <c r="M39" i="17"/>
  <c r="L39" i="17"/>
  <c r="K39" i="17"/>
  <c r="J39" i="17"/>
  <c r="J41" i="17" s="1"/>
  <c r="I39" i="17"/>
  <c r="H39" i="17"/>
  <c r="T52" i="17" s="1"/>
  <c r="U52" i="17" s="1"/>
  <c r="G39" i="17"/>
  <c r="T47" i="17" s="1"/>
  <c r="U47" i="17" s="1"/>
  <c r="F39" i="17"/>
  <c r="E39" i="17"/>
  <c r="D39" i="17"/>
  <c r="C39" i="17"/>
  <c r="B39" i="17"/>
  <c r="H48" i="18"/>
  <c r="E48" i="18"/>
  <c r="B48" i="18"/>
  <c r="H47" i="18"/>
  <c r="E47" i="18"/>
  <c r="B47" i="18"/>
  <c r="B46" i="18"/>
  <c r="AQ40" i="18"/>
  <c r="AP40" i="18"/>
  <c r="AO40" i="18"/>
  <c r="AN40" i="18"/>
  <c r="AM40" i="18"/>
  <c r="AL40" i="18"/>
  <c r="AK40" i="18"/>
  <c r="AJ40" i="18"/>
  <c r="AI40" i="18"/>
  <c r="AF40" i="18"/>
  <c r="E49" i="18" s="1"/>
  <c r="AE40" i="18"/>
  <c r="H49" i="18" s="1"/>
  <c r="AD40" i="18"/>
  <c r="B49" i="18" s="1"/>
  <c r="AQ39" i="18"/>
  <c r="AP39" i="18"/>
  <c r="AO39" i="18"/>
  <c r="AN39" i="18"/>
  <c r="AM39" i="18"/>
  <c r="AL39" i="18"/>
  <c r="AK39" i="18"/>
  <c r="AJ39" i="18"/>
  <c r="AI39" i="18"/>
  <c r="AH39" i="18"/>
  <c r="AH41" i="18" s="1"/>
  <c r="AC39" i="18"/>
  <c r="AB39" i="18"/>
  <c r="AA39" i="18"/>
  <c r="AA41" i="18" s="1"/>
  <c r="Z39" i="18"/>
  <c r="Y39" i="18"/>
  <c r="X39" i="18"/>
  <c r="W39" i="18"/>
  <c r="V39" i="18"/>
  <c r="U39" i="18"/>
  <c r="T39" i="18"/>
  <c r="T41" i="18" s="1"/>
  <c r="S39" i="18"/>
  <c r="S41" i="18" s="1"/>
  <c r="R39" i="18"/>
  <c r="R41" i="18" s="1"/>
  <c r="Q39" i="18"/>
  <c r="Q41" i="18" s="1"/>
  <c r="P39" i="18"/>
  <c r="P41" i="18" s="1"/>
  <c r="O39" i="18"/>
  <c r="O41" i="18" s="1"/>
  <c r="N39" i="18"/>
  <c r="M39" i="18"/>
  <c r="L39" i="18"/>
  <c r="K39" i="18"/>
  <c r="J39" i="18"/>
  <c r="J41" i="18" s="1"/>
  <c r="I39" i="18"/>
  <c r="H39" i="18"/>
  <c r="T52" i="18" s="1"/>
  <c r="U52" i="18" s="1"/>
  <c r="G39" i="18"/>
  <c r="T47" i="18" s="1"/>
  <c r="U47" i="18" s="1"/>
  <c r="F39" i="18"/>
  <c r="E39" i="18"/>
  <c r="D39" i="18"/>
  <c r="T54" i="18" s="1"/>
  <c r="U54" i="18" s="1"/>
  <c r="C39" i="18"/>
  <c r="B39" i="18"/>
  <c r="H48" i="19"/>
  <c r="E48" i="19"/>
  <c r="B48" i="19"/>
  <c r="H47" i="19"/>
  <c r="E47" i="19"/>
  <c r="B47" i="19"/>
  <c r="H46" i="19"/>
  <c r="E46" i="19"/>
  <c r="B46" i="19"/>
  <c r="AQ40" i="19"/>
  <c r="AP40" i="19"/>
  <c r="AO40" i="19"/>
  <c r="AN40" i="19"/>
  <c r="AM40" i="19"/>
  <c r="AL40" i="19"/>
  <c r="AK40" i="19"/>
  <c r="AJ40" i="19"/>
  <c r="AI40" i="19"/>
  <c r="AF40" i="19"/>
  <c r="E49" i="19" s="1"/>
  <c r="AE40" i="19"/>
  <c r="H49" i="19" s="1"/>
  <c r="AD40" i="19"/>
  <c r="B49" i="19" s="1"/>
  <c r="AQ39" i="19"/>
  <c r="AP39" i="19"/>
  <c r="AO39" i="19"/>
  <c r="AN39" i="19"/>
  <c r="AM39" i="19"/>
  <c r="AL39" i="19"/>
  <c r="AK39" i="19"/>
  <c r="AJ39" i="19"/>
  <c r="AI39" i="19"/>
  <c r="AH39" i="19"/>
  <c r="AH41" i="19" s="1"/>
  <c r="AC39" i="19"/>
  <c r="AB39" i="19"/>
  <c r="AA39" i="19"/>
  <c r="AA41" i="19" s="1"/>
  <c r="Z39" i="19"/>
  <c r="Y39" i="19"/>
  <c r="X39" i="19"/>
  <c r="W39" i="19"/>
  <c r="T45" i="19" s="1"/>
  <c r="U45" i="19" s="1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2" i="19" s="1"/>
  <c r="U52" i="19" s="1"/>
  <c r="G39" i="19"/>
  <c r="T47" i="19" s="1"/>
  <c r="U47" i="19" s="1"/>
  <c r="F39" i="19"/>
  <c r="E39" i="19"/>
  <c r="D39" i="19"/>
  <c r="C39" i="19"/>
  <c r="B39" i="19"/>
  <c r="H48" i="20"/>
  <c r="E48" i="20"/>
  <c r="B48" i="20"/>
  <c r="H47" i="20"/>
  <c r="E47" i="20"/>
  <c r="B47" i="20"/>
  <c r="H46" i="20"/>
  <c r="E46" i="20"/>
  <c r="B46" i="20"/>
  <c r="AQ40" i="20"/>
  <c r="AP40" i="20"/>
  <c r="AO40" i="20"/>
  <c r="AN40" i="20"/>
  <c r="AM40" i="20"/>
  <c r="AL40" i="20"/>
  <c r="AK40" i="20"/>
  <c r="AJ40" i="20"/>
  <c r="AI40" i="20"/>
  <c r="AF40" i="20"/>
  <c r="E49" i="20" s="1"/>
  <c r="AE40" i="20"/>
  <c r="H49" i="20" s="1"/>
  <c r="AD40" i="20"/>
  <c r="B49" i="20" s="1"/>
  <c r="AQ39" i="20"/>
  <c r="AP39" i="20"/>
  <c r="AO39" i="20"/>
  <c r="AN39" i="20"/>
  <c r="AM39" i="20"/>
  <c r="AL39" i="20"/>
  <c r="AK39" i="20"/>
  <c r="AJ39" i="20"/>
  <c r="AI39" i="20"/>
  <c r="AH39" i="20"/>
  <c r="AH41" i="20" s="1"/>
  <c r="AC39" i="20"/>
  <c r="AB39" i="20"/>
  <c r="AA39" i="20"/>
  <c r="AA41" i="20" s="1"/>
  <c r="Z39" i="20"/>
  <c r="Y39" i="20"/>
  <c r="X39" i="20"/>
  <c r="W39" i="20"/>
  <c r="T45" i="20" s="1"/>
  <c r="U45" i="20" s="1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2" i="20" s="1"/>
  <c r="U52" i="20" s="1"/>
  <c r="G39" i="20"/>
  <c r="T47" i="20" s="1"/>
  <c r="U47" i="20" s="1"/>
  <c r="F39" i="20"/>
  <c r="E39" i="20"/>
  <c r="D39" i="20"/>
  <c r="C39" i="20"/>
  <c r="B39" i="20"/>
  <c r="H46" i="26" l="1"/>
  <c r="T49" i="25"/>
  <c r="U49" i="25" s="1"/>
  <c r="T54" i="26"/>
  <c r="U54" i="26" s="1"/>
  <c r="T53" i="20"/>
  <c r="U53" i="20" s="1"/>
  <c r="T51" i="19"/>
  <c r="U51" i="19" s="1"/>
  <c r="T51" i="17"/>
  <c r="U51" i="17" s="1"/>
  <c r="T53" i="24"/>
  <c r="U53" i="24" s="1"/>
  <c r="T53" i="6"/>
  <c r="U53" i="6" s="1"/>
  <c r="T54" i="19"/>
  <c r="U54" i="19" s="1"/>
  <c r="T49" i="18"/>
  <c r="U49" i="18" s="1"/>
  <c r="T49" i="26"/>
  <c r="U49" i="26" s="1"/>
  <c r="AG40" i="17"/>
  <c r="H46" i="17" s="1"/>
  <c r="T51" i="20"/>
  <c r="U51" i="20" s="1"/>
  <c r="T51" i="6"/>
  <c r="U51" i="6" s="1"/>
  <c r="T54" i="20"/>
  <c r="U54" i="20" s="1"/>
  <c r="T49" i="19"/>
  <c r="U49" i="19" s="1"/>
  <c r="T53" i="18"/>
  <c r="U53" i="18" s="1"/>
  <c r="T49" i="17"/>
  <c r="U49" i="17" s="1"/>
  <c r="T50" i="17"/>
  <c r="U50" i="17" s="1"/>
  <c r="T49" i="23"/>
  <c r="U49" i="23" s="1"/>
  <c r="T54" i="6"/>
  <c r="U54" i="6" s="1"/>
  <c r="T53" i="26"/>
  <c r="U53" i="26" s="1"/>
  <c r="T49" i="20"/>
  <c r="U49" i="20" s="1"/>
  <c r="T50" i="20"/>
  <c r="U50" i="20" s="1"/>
  <c r="T53" i="19"/>
  <c r="U53" i="19" s="1"/>
  <c r="T51" i="18"/>
  <c r="U51" i="18" s="1"/>
  <c r="T45" i="18"/>
  <c r="U45" i="18" s="1"/>
  <c r="T49" i="24"/>
  <c r="U49" i="24" s="1"/>
  <c r="T49" i="6"/>
  <c r="U49" i="6" s="1"/>
  <c r="H46" i="6"/>
  <c r="T51" i="26"/>
  <c r="U51" i="26" s="1"/>
  <c r="T51" i="23"/>
  <c r="U51" i="23" s="1"/>
  <c r="T54" i="23"/>
  <c r="U54" i="23" s="1"/>
  <c r="T50" i="23"/>
  <c r="U50" i="23" s="1"/>
  <c r="T45" i="23"/>
  <c r="U45" i="23" s="1"/>
  <c r="AG40" i="23"/>
  <c r="E46" i="23" s="1"/>
  <c r="T53" i="23"/>
  <c r="U53" i="23" s="1"/>
  <c r="H49" i="23"/>
  <c r="AG40" i="24"/>
  <c r="T54" i="24"/>
  <c r="U54" i="24" s="1"/>
  <c r="T50" i="24"/>
  <c r="U50" i="24" s="1"/>
  <c r="T51" i="24"/>
  <c r="U51" i="24" s="1"/>
  <c r="T45" i="24"/>
  <c r="U45" i="24" s="1"/>
  <c r="T53" i="17"/>
  <c r="U53" i="17" s="1"/>
  <c r="T54" i="17"/>
  <c r="U54" i="17" s="1"/>
  <c r="T50" i="18"/>
  <c r="U50" i="18" s="1"/>
  <c r="T50" i="19"/>
  <c r="U50" i="19" s="1"/>
  <c r="AG40" i="18"/>
  <c r="T46" i="19"/>
  <c r="U46" i="19" s="1"/>
  <c r="T46" i="20"/>
  <c r="U46" i="20" s="1"/>
  <c r="T50" i="26"/>
  <c r="U50" i="26" s="1"/>
  <c r="T45" i="26"/>
  <c r="U45" i="26" s="1"/>
  <c r="T46" i="26"/>
  <c r="U46" i="26" s="1"/>
  <c r="AJ41" i="26"/>
  <c r="AL41" i="26"/>
  <c r="AN41" i="26"/>
  <c r="AP41" i="26"/>
  <c r="AI41" i="26"/>
  <c r="AK41" i="26"/>
  <c r="AM41" i="26"/>
  <c r="AO41" i="26"/>
  <c r="AQ41" i="26"/>
  <c r="T50" i="25"/>
  <c r="U50" i="25" s="1"/>
  <c r="T45" i="25"/>
  <c r="U45" i="25" s="1"/>
  <c r="T51" i="25"/>
  <c r="U51" i="25" s="1"/>
  <c r="T53" i="25"/>
  <c r="U53" i="25" s="1"/>
  <c r="T54" i="25"/>
  <c r="U54" i="25" s="1"/>
  <c r="T46" i="25"/>
  <c r="U46" i="25" s="1"/>
  <c r="AJ41" i="25"/>
  <c r="AL41" i="25"/>
  <c r="AN41" i="25"/>
  <c r="AP41" i="25"/>
  <c r="E46" i="25"/>
  <c r="AI41" i="25"/>
  <c r="AK41" i="25"/>
  <c r="AM41" i="25"/>
  <c r="AO41" i="25"/>
  <c r="AQ41" i="25"/>
  <c r="T50" i="6"/>
  <c r="U50" i="6" s="1"/>
  <c r="T45" i="6"/>
  <c r="U45" i="6" s="1"/>
  <c r="AJ41" i="6"/>
  <c r="AL41" i="6"/>
  <c r="AN41" i="6"/>
  <c r="AP41" i="6"/>
  <c r="AI41" i="6"/>
  <c r="AK41" i="6"/>
  <c r="AM41" i="6"/>
  <c r="AO41" i="6"/>
  <c r="AQ41" i="6"/>
  <c r="AJ41" i="23"/>
  <c r="AL41" i="23"/>
  <c r="AN41" i="23"/>
  <c r="AP41" i="23"/>
  <c r="AI41" i="23"/>
  <c r="AK41" i="23"/>
  <c r="AM41" i="23"/>
  <c r="AO41" i="23"/>
  <c r="AQ41" i="23"/>
  <c r="AJ41" i="24"/>
  <c r="AL41" i="24"/>
  <c r="AN41" i="24"/>
  <c r="AP41" i="24"/>
  <c r="AI41" i="24"/>
  <c r="AK41" i="24"/>
  <c r="AM41" i="24"/>
  <c r="AO41" i="24"/>
  <c r="AQ41" i="24"/>
  <c r="AJ41" i="17"/>
  <c r="AL41" i="17"/>
  <c r="AN41" i="17"/>
  <c r="AP41" i="17"/>
  <c r="AI41" i="17"/>
  <c r="AK41" i="17"/>
  <c r="AM41" i="17"/>
  <c r="AO41" i="17"/>
  <c r="AQ41" i="17"/>
  <c r="AI41" i="19"/>
  <c r="AK41" i="19"/>
  <c r="AM41" i="19"/>
  <c r="AO41" i="19"/>
  <c r="AQ41" i="19"/>
  <c r="AJ41" i="19"/>
  <c r="AL41" i="19"/>
  <c r="AN41" i="19"/>
  <c r="AP41" i="19"/>
  <c r="AJ41" i="20"/>
  <c r="AL41" i="20"/>
  <c r="AN41" i="20"/>
  <c r="AP41" i="20"/>
  <c r="AI41" i="20"/>
  <c r="AK41" i="20"/>
  <c r="AM41" i="20"/>
  <c r="AO41" i="20"/>
  <c r="AQ41" i="20"/>
  <c r="T48" i="26"/>
  <c r="U48" i="26" s="1"/>
  <c r="H49" i="26"/>
  <c r="T48" i="25"/>
  <c r="U48" i="25" s="1"/>
  <c r="H49" i="25"/>
  <c r="T46" i="6"/>
  <c r="U46" i="6" s="1"/>
  <c r="E46" i="6"/>
  <c r="T48" i="6"/>
  <c r="U48" i="6" s="1"/>
  <c r="H49" i="6"/>
  <c r="T46" i="23"/>
  <c r="U46" i="23" s="1"/>
  <c r="T48" i="23"/>
  <c r="U48" i="23" s="1"/>
  <c r="T46" i="24"/>
  <c r="U46" i="24" s="1"/>
  <c r="E46" i="24"/>
  <c r="T48" i="24"/>
  <c r="U48" i="24" s="1"/>
  <c r="H49" i="24"/>
  <c r="T46" i="17"/>
  <c r="U46" i="17" s="1"/>
  <c r="B45" i="17"/>
  <c r="E46" i="17"/>
  <c r="C41" i="17"/>
  <c r="T48" i="17"/>
  <c r="U48" i="17" s="1"/>
  <c r="H49" i="17"/>
  <c r="AI41" i="18"/>
  <c r="AK41" i="18"/>
  <c r="AM41" i="18"/>
  <c r="AO41" i="18"/>
  <c r="AQ41" i="18"/>
  <c r="T46" i="18"/>
  <c r="U46" i="18" s="1"/>
  <c r="AJ41" i="18"/>
  <c r="AL41" i="18"/>
  <c r="AN41" i="18"/>
  <c r="AP41" i="18"/>
  <c r="C41" i="18"/>
  <c r="T48" i="18"/>
  <c r="U48" i="18" s="1"/>
  <c r="C41" i="19"/>
  <c r="T48" i="19"/>
  <c r="U48" i="19" s="1"/>
  <c r="H45" i="20"/>
  <c r="T48" i="20"/>
  <c r="U48" i="20" s="1"/>
  <c r="E46" i="26" l="1"/>
  <c r="E45" i="24"/>
  <c r="H45" i="6"/>
  <c r="H46" i="24"/>
  <c r="E45" i="6"/>
  <c r="E45" i="26"/>
  <c r="B45" i="24"/>
  <c r="H45" i="24"/>
  <c r="B45" i="19"/>
  <c r="B45" i="20"/>
  <c r="E45" i="17"/>
  <c r="B45" i="6"/>
  <c r="B45" i="23"/>
  <c r="E45" i="23"/>
  <c r="H46" i="23"/>
  <c r="E45" i="19"/>
  <c r="H45" i="19"/>
  <c r="E45" i="20"/>
  <c r="E46" i="18"/>
  <c r="H46" i="18"/>
  <c r="B45" i="26"/>
  <c r="H45" i="26"/>
  <c r="E45" i="25"/>
  <c r="B45" i="25"/>
  <c r="H45" i="25"/>
  <c r="H46" i="25"/>
  <c r="H45" i="23"/>
  <c r="H45" i="17"/>
  <c r="E45" i="18"/>
  <c r="B45" i="18"/>
  <c r="H45" i="18"/>
  <c r="H48" i="21" l="1"/>
  <c r="E48" i="21"/>
  <c r="B48" i="21"/>
  <c r="H47" i="21"/>
  <c r="E47" i="21"/>
  <c r="B47" i="21"/>
  <c r="B46" i="21"/>
  <c r="AQ40" i="21"/>
  <c r="AP40" i="21"/>
  <c r="AO40" i="21"/>
  <c r="AN40" i="21"/>
  <c r="AM40" i="21"/>
  <c r="AL40" i="21"/>
  <c r="AK40" i="21"/>
  <c r="AJ40" i="21"/>
  <c r="AI40" i="21"/>
  <c r="AF40" i="21"/>
  <c r="E49" i="21" s="1"/>
  <c r="AE40" i="21"/>
  <c r="AD40" i="21"/>
  <c r="B49" i="21" s="1"/>
  <c r="AQ39" i="21"/>
  <c r="AP39" i="21"/>
  <c r="AO39" i="21"/>
  <c r="AN39" i="21"/>
  <c r="AM39" i="21"/>
  <c r="AL39" i="21"/>
  <c r="AK39" i="21"/>
  <c r="AJ39" i="21"/>
  <c r="AI39" i="21"/>
  <c r="AH39" i="21"/>
  <c r="AH41" i="21" s="1"/>
  <c r="AC39" i="21"/>
  <c r="AB39" i="21"/>
  <c r="AA39" i="21"/>
  <c r="AA41" i="21" s="1"/>
  <c r="Z39" i="21"/>
  <c r="Y39" i="21"/>
  <c r="X39" i="21"/>
  <c r="W39" i="21"/>
  <c r="V39" i="21"/>
  <c r="U39" i="21"/>
  <c r="T39" i="21"/>
  <c r="S39" i="21"/>
  <c r="R39" i="21"/>
  <c r="R41" i="21" s="1"/>
  <c r="Q39" i="21"/>
  <c r="Q41" i="21" s="1"/>
  <c r="P39" i="21"/>
  <c r="P41" i="21" s="1"/>
  <c r="O39" i="21"/>
  <c r="O41" i="21" s="1"/>
  <c r="N39" i="21"/>
  <c r="M39" i="21"/>
  <c r="L39" i="21"/>
  <c r="K39" i="21"/>
  <c r="J39" i="21"/>
  <c r="I39" i="21"/>
  <c r="H39" i="21"/>
  <c r="T52" i="21" s="1"/>
  <c r="U52" i="21" s="1"/>
  <c r="G39" i="21"/>
  <c r="T47" i="21" s="1"/>
  <c r="U47" i="21" s="1"/>
  <c r="F39" i="21"/>
  <c r="E39" i="21"/>
  <c r="D39" i="21"/>
  <c r="C39" i="21"/>
  <c r="B39" i="21"/>
  <c r="T51" i="21" l="1"/>
  <c r="U51" i="21" s="1"/>
  <c r="T54" i="21"/>
  <c r="U54" i="21" s="1"/>
  <c r="T49" i="21"/>
  <c r="U49" i="21" s="1"/>
  <c r="T53" i="21"/>
  <c r="U53" i="21" s="1"/>
  <c r="T50" i="21"/>
  <c r="U50" i="21" s="1"/>
  <c r="AJ41" i="21"/>
  <c r="AL41" i="21"/>
  <c r="AN41" i="21"/>
  <c r="AP41" i="21"/>
  <c r="AI41" i="21"/>
  <c r="AK41" i="21"/>
  <c r="AM41" i="21"/>
  <c r="AO41" i="21"/>
  <c r="AQ41" i="21"/>
  <c r="T46" i="21"/>
  <c r="U46" i="21" s="1"/>
  <c r="T45" i="21"/>
  <c r="U45" i="21" s="1"/>
  <c r="H46" i="21"/>
  <c r="E46" i="21"/>
  <c r="T48" i="21"/>
  <c r="U48" i="21" s="1"/>
  <c r="H49" i="21"/>
  <c r="E45" i="21" l="1"/>
  <c r="B45" i="21"/>
  <c r="H45" i="21"/>
  <c r="H48" i="22" l="1"/>
  <c r="E48" i="22"/>
  <c r="B48" i="22"/>
  <c r="H47" i="22"/>
  <c r="E47" i="22"/>
  <c r="B47" i="22"/>
  <c r="B46" i="22"/>
  <c r="AQ40" i="22"/>
  <c r="AP40" i="22"/>
  <c r="AO40" i="22"/>
  <c r="AN40" i="22"/>
  <c r="AM40" i="22"/>
  <c r="AL40" i="22"/>
  <c r="AK40" i="22"/>
  <c r="AJ40" i="22"/>
  <c r="AI40" i="22"/>
  <c r="AF40" i="22"/>
  <c r="E49" i="22" s="1"/>
  <c r="AE40" i="22"/>
  <c r="AD40" i="22"/>
  <c r="B49" i="22" s="1"/>
  <c r="AQ39" i="22"/>
  <c r="AP39" i="22"/>
  <c r="AO39" i="22"/>
  <c r="AN39" i="22"/>
  <c r="AM39" i="22"/>
  <c r="AL39" i="22"/>
  <c r="AK39" i="22"/>
  <c r="AJ39" i="22"/>
  <c r="AI39" i="22"/>
  <c r="AH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2" i="22" s="1"/>
  <c r="U52" i="22" s="1"/>
  <c r="G39" i="22"/>
  <c r="T47" i="22" s="1"/>
  <c r="U47" i="22" s="1"/>
  <c r="F39" i="22"/>
  <c r="E39" i="22"/>
  <c r="D39" i="22"/>
  <c r="C39" i="22"/>
  <c r="B39" i="22"/>
  <c r="T49" i="22" l="1"/>
  <c r="U49" i="22" s="1"/>
  <c r="AH41" i="22"/>
  <c r="T53" i="22"/>
  <c r="U53" i="22" s="1"/>
  <c r="T54" i="22"/>
  <c r="U54" i="22" s="1"/>
  <c r="T51" i="22"/>
  <c r="U51" i="22" s="1"/>
  <c r="T50" i="22"/>
  <c r="U50" i="22" s="1"/>
  <c r="T45" i="22"/>
  <c r="U45" i="22" s="1"/>
  <c r="AG40" i="22"/>
  <c r="H46" i="22" s="1"/>
  <c r="AJ41" i="22"/>
  <c r="AL41" i="22"/>
  <c r="AN41" i="22"/>
  <c r="AP41" i="22"/>
  <c r="AI41" i="22"/>
  <c r="AK41" i="22"/>
  <c r="AM41" i="22"/>
  <c r="AO41" i="22"/>
  <c r="AQ41" i="22"/>
  <c r="T46" i="22"/>
  <c r="U46" i="22" s="1"/>
  <c r="T48" i="22"/>
  <c r="U48" i="22" s="1"/>
  <c r="H49" i="22"/>
  <c r="H48" i="16"/>
  <c r="E48" i="16"/>
  <c r="B48" i="16"/>
  <c r="E46" i="22" l="1"/>
  <c r="B45" i="22"/>
  <c r="H45" i="22"/>
  <c r="E45" i="22"/>
  <c r="B46" i="16"/>
  <c r="B47" i="16" l="1"/>
  <c r="AQ40" i="16"/>
  <c r="AP40" i="16"/>
  <c r="AO40" i="16"/>
  <c r="AN40" i="16"/>
  <c r="AM40" i="16"/>
  <c r="AL40" i="16"/>
  <c r="AK40" i="16"/>
  <c r="AJ40" i="16"/>
  <c r="AI40" i="16"/>
  <c r="AQ39" i="16"/>
  <c r="AP39" i="16"/>
  <c r="AO39" i="16"/>
  <c r="AN39" i="16"/>
  <c r="AM39" i="16"/>
  <c r="AL39" i="16"/>
  <c r="AK39" i="16"/>
  <c r="AJ39" i="16"/>
  <c r="AI39" i="16"/>
  <c r="AH39" i="16"/>
  <c r="H47" i="16"/>
  <c r="E47" i="16"/>
  <c r="AH41" i="16" l="1"/>
  <c r="C54" i="27"/>
  <c r="AL41" i="16"/>
  <c r="AQ41" i="16"/>
  <c r="AP41" i="16"/>
  <c r="AN41" i="16"/>
  <c r="AM41" i="16"/>
  <c r="AK41" i="16"/>
  <c r="AJ41" i="16"/>
  <c r="AI41" i="16"/>
  <c r="AO41" i="16" l="1"/>
  <c r="B45" i="16" s="1"/>
  <c r="AB26" i="28"/>
  <c r="AC26" i="28"/>
  <c r="AD26" i="28"/>
  <c r="AA26" i="28"/>
  <c r="K40" i="20" l="1"/>
  <c r="K41" i="20" s="1"/>
  <c r="K40" i="21"/>
  <c r="K41" i="21" s="1"/>
  <c r="L19" i="27" s="1"/>
  <c r="K40" i="22"/>
  <c r="K41" i="22" s="1"/>
  <c r="L18" i="27" s="1"/>
  <c r="E40" i="20"/>
  <c r="E41" i="20" s="1"/>
  <c r="F20" i="27" s="1"/>
  <c r="E40" i="21"/>
  <c r="E41" i="21" s="1"/>
  <c r="E40" i="22"/>
  <c r="E41" i="22" s="1"/>
  <c r="F18" i="27" s="1"/>
  <c r="K40" i="16"/>
  <c r="K40" i="23"/>
  <c r="K41" i="23" s="1"/>
  <c r="L25" i="27" s="1"/>
  <c r="K40" i="24"/>
  <c r="K41" i="24" s="1"/>
  <c r="E40" i="16"/>
  <c r="E40" i="23"/>
  <c r="E41" i="23" s="1"/>
  <c r="F25" i="27" s="1"/>
  <c r="E40" i="24"/>
  <c r="E41" i="24" s="1"/>
  <c r="F24" i="27" s="1"/>
  <c r="K40" i="26"/>
  <c r="K41" i="26" s="1"/>
  <c r="K40" i="25"/>
  <c r="K41" i="25" s="1"/>
  <c r="K40" i="6"/>
  <c r="K41" i="6" s="1"/>
  <c r="E40" i="26"/>
  <c r="E41" i="26" s="1"/>
  <c r="E40" i="25"/>
  <c r="E41" i="25" s="1"/>
  <c r="E40" i="6"/>
  <c r="E41" i="6" s="1"/>
  <c r="K40" i="17"/>
  <c r="K41" i="17" s="1"/>
  <c r="L23" i="27" s="1"/>
  <c r="K40" i="18"/>
  <c r="K41" i="18" s="1"/>
  <c r="L22" i="27" s="1"/>
  <c r="K40" i="19"/>
  <c r="K41" i="19" s="1"/>
  <c r="E40" i="17"/>
  <c r="E41" i="17" s="1"/>
  <c r="F23" i="27" s="1"/>
  <c r="E40" i="18"/>
  <c r="E41" i="18" s="1"/>
  <c r="F22" i="27" s="1"/>
  <c r="E40" i="19"/>
  <c r="E41" i="19" s="1"/>
  <c r="F21" i="27" s="1"/>
  <c r="AG24" i="28"/>
  <c r="AH24" i="28"/>
  <c r="AI24" i="28"/>
  <c r="AF24" i="28"/>
  <c r="AI31" i="28"/>
  <c r="AH31" i="28"/>
  <c r="AG31" i="28"/>
  <c r="AF31" i="28"/>
  <c r="AD31" i="28"/>
  <c r="AC31" i="28"/>
  <c r="AB31" i="28"/>
  <c r="AA31" i="28"/>
  <c r="AI30" i="28"/>
  <c r="AH30" i="28"/>
  <c r="AG30" i="28"/>
  <c r="AF30" i="28"/>
  <c r="AD30" i="28"/>
  <c r="AC30" i="28"/>
  <c r="AB30" i="28"/>
  <c r="AA30" i="28"/>
  <c r="AI29" i="28"/>
  <c r="AH29" i="28"/>
  <c r="AG29" i="28"/>
  <c r="AF29" i="28"/>
  <c r="AD29" i="28"/>
  <c r="AC29" i="28"/>
  <c r="AB29" i="28"/>
  <c r="AA29" i="28"/>
  <c r="AI28" i="28"/>
  <c r="AH28" i="28"/>
  <c r="AG28" i="28"/>
  <c r="AF28" i="28"/>
  <c r="AD28" i="28"/>
  <c r="AC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I25" i="28"/>
  <c r="AH25" i="28"/>
  <c r="AG25" i="28"/>
  <c r="AF25" i="28"/>
  <c r="AD25" i="28"/>
  <c r="AC25" i="28"/>
  <c r="AB25" i="28"/>
  <c r="AA25" i="28"/>
  <c r="AD24" i="28"/>
  <c r="AC24" i="28"/>
  <c r="AB24" i="28"/>
  <c r="AA24" i="28"/>
  <c r="AI23" i="28"/>
  <c r="AH23" i="28"/>
  <c r="AG23" i="28"/>
  <c r="AF23" i="28"/>
  <c r="AD23" i="28"/>
  <c r="AC23" i="28"/>
  <c r="AB23" i="28"/>
  <c r="AA23" i="28"/>
  <c r="AD22" i="28"/>
  <c r="AC22" i="28"/>
  <c r="AB22" i="28"/>
  <c r="AA22" i="28"/>
  <c r="R20" i="28"/>
  <c r="AI19" i="28"/>
  <c r="AG19" i="28"/>
  <c r="T18" i="28"/>
  <c r="AB18" i="28" s="1"/>
  <c r="P18" i="28"/>
  <c r="A12" i="28"/>
  <c r="A20" i="28" s="1"/>
  <c r="AE7" i="28"/>
  <c r="AD7" i="28"/>
  <c r="AD9" i="28" s="1"/>
  <c r="P25" i="27"/>
  <c r="Q25" i="27"/>
  <c r="R25" i="27"/>
  <c r="S25" i="27"/>
  <c r="AB25" i="27"/>
  <c r="L24" i="27"/>
  <c r="P24" i="27"/>
  <c r="Q24" i="27"/>
  <c r="R24" i="27"/>
  <c r="S24" i="27"/>
  <c r="AB24" i="27"/>
  <c r="AE10" i="27"/>
  <c r="AF10" i="27"/>
  <c r="AG10" i="27"/>
  <c r="AH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K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E9" i="27"/>
  <c r="AF9" i="27"/>
  <c r="AG9" i="27"/>
  <c r="AH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8" i="27"/>
  <c r="AF8" i="27"/>
  <c r="AG8" i="27"/>
  <c r="AH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K21" i="27"/>
  <c r="L21" i="27"/>
  <c r="P21" i="27"/>
  <c r="Q21" i="27"/>
  <c r="R21" i="27"/>
  <c r="S21" i="27"/>
  <c r="T21" i="27"/>
  <c r="U21" i="27"/>
  <c r="AB21" i="27"/>
  <c r="AE7" i="27"/>
  <c r="AF7" i="27"/>
  <c r="AG7" i="27"/>
  <c r="AH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L20" i="27"/>
  <c r="P20" i="27"/>
  <c r="Q20" i="27"/>
  <c r="R20" i="27"/>
  <c r="S20" i="27"/>
  <c r="AB20" i="27"/>
  <c r="AE6" i="27"/>
  <c r="AF6" i="27"/>
  <c r="AG6" i="27"/>
  <c r="AH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F19" i="27"/>
  <c r="P19" i="27"/>
  <c r="Q19" i="27"/>
  <c r="R19" i="27"/>
  <c r="S19" i="27"/>
  <c r="AB19" i="27"/>
  <c r="AE5" i="27"/>
  <c r="AF5" i="27"/>
  <c r="AG5" i="27"/>
  <c r="AH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11" i="27"/>
  <c r="AF11" i="27"/>
  <c r="AG11" i="27"/>
  <c r="AH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AE30" i="27"/>
  <c r="AF30" i="27"/>
  <c r="AG30" i="27"/>
  <c r="AH30" i="27"/>
  <c r="AE4" i="27"/>
  <c r="AF4" i="27"/>
  <c r="AG4" i="27"/>
  <c r="AH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W40" i="20" l="1"/>
  <c r="W41" i="20" s="1"/>
  <c r="W40" i="21"/>
  <c r="W41" i="21" s="1"/>
  <c r="W40" i="22"/>
  <c r="W41" i="22" s="1"/>
  <c r="X40" i="20"/>
  <c r="X41" i="20" s="1"/>
  <c r="X40" i="22"/>
  <c r="X41" i="22" s="1"/>
  <c r="X40" i="21"/>
  <c r="X41" i="21" s="1"/>
  <c r="W40" i="16"/>
  <c r="W40" i="23"/>
  <c r="W41" i="23" s="1"/>
  <c r="X25" i="27" s="1"/>
  <c r="W40" i="24"/>
  <c r="W41" i="24" s="1"/>
  <c r="X40" i="16"/>
  <c r="X40" i="23"/>
  <c r="X41" i="23" s="1"/>
  <c r="Y25" i="27" s="1"/>
  <c r="X40" i="24"/>
  <c r="X41" i="24" s="1"/>
  <c r="N40" i="20"/>
  <c r="N41" i="20" s="1"/>
  <c r="F40" i="20"/>
  <c r="F41" i="20" s="1"/>
  <c r="M40" i="21"/>
  <c r="M41" i="21" s="1"/>
  <c r="N40" i="22"/>
  <c r="N41" i="22" s="1"/>
  <c r="O18" i="27" s="1"/>
  <c r="F40" i="22"/>
  <c r="F41" i="22" s="1"/>
  <c r="M40" i="20"/>
  <c r="M41" i="20" s="1"/>
  <c r="F40" i="21"/>
  <c r="F41" i="21" s="1"/>
  <c r="M40" i="22"/>
  <c r="M41" i="22" s="1"/>
  <c r="N40" i="21"/>
  <c r="N41" i="21" s="1"/>
  <c r="N40" i="16"/>
  <c r="F40" i="16"/>
  <c r="M40" i="23"/>
  <c r="M41" i="23" s="1"/>
  <c r="N25" i="27" s="1"/>
  <c r="N40" i="24"/>
  <c r="N41" i="24" s="1"/>
  <c r="F40" i="24"/>
  <c r="F41" i="24" s="1"/>
  <c r="N40" i="23"/>
  <c r="N41" i="23" s="1"/>
  <c r="O25" i="27" s="1"/>
  <c r="F40" i="23"/>
  <c r="F41" i="23" s="1"/>
  <c r="G25" i="27" s="1"/>
  <c r="M40" i="16"/>
  <c r="M40" i="24"/>
  <c r="M41" i="24" s="1"/>
  <c r="M40" i="26"/>
  <c r="M41" i="26" s="1"/>
  <c r="N40" i="26"/>
  <c r="N41" i="26" s="1"/>
  <c r="F40" i="26"/>
  <c r="F41" i="26" s="1"/>
  <c r="G40" i="21"/>
  <c r="G41" i="21" s="1"/>
  <c r="H19" i="27" s="1"/>
  <c r="G40" i="22"/>
  <c r="G41" i="22" s="1"/>
  <c r="H18" i="27" s="1"/>
  <c r="G40" i="20"/>
  <c r="G41" i="20" s="1"/>
  <c r="H20" i="27" s="1"/>
  <c r="G40" i="16"/>
  <c r="G40" i="24"/>
  <c r="G41" i="24" s="1"/>
  <c r="H24" i="27" s="1"/>
  <c r="G40" i="23"/>
  <c r="G41" i="23" s="1"/>
  <c r="H25" i="27" s="1"/>
  <c r="L40" i="21"/>
  <c r="L41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L40" i="16"/>
  <c r="L40" i="24"/>
  <c r="L41" i="24" s="1"/>
  <c r="M24" i="27" s="1"/>
  <c r="V40" i="20"/>
  <c r="V41" i="20" s="1"/>
  <c r="W20" i="27" s="1"/>
  <c r="AB40" i="21"/>
  <c r="AB41" i="21" s="1"/>
  <c r="AC19" i="27" s="1"/>
  <c r="U40" i="21"/>
  <c r="U41" i="21" s="1"/>
  <c r="V19" i="27" s="1"/>
  <c r="V40" i="22"/>
  <c r="V41" i="22" s="1"/>
  <c r="W18" i="27" s="1"/>
  <c r="AB40" i="20"/>
  <c r="AB41" i="20" s="1"/>
  <c r="AC20" i="27" s="1"/>
  <c r="U40" i="20"/>
  <c r="U41" i="20" s="1"/>
  <c r="V40" i="21"/>
  <c r="V41" i="21" s="1"/>
  <c r="W19" i="27" s="1"/>
  <c r="AB40" i="22"/>
  <c r="AB41" i="22" s="1"/>
  <c r="AC18" i="27" s="1"/>
  <c r="U40" i="22"/>
  <c r="U41" i="22" s="1"/>
  <c r="V18" i="27" s="1"/>
  <c r="V40" i="16"/>
  <c r="AB40" i="23"/>
  <c r="AB41" i="23" s="1"/>
  <c r="AC25" i="27" s="1"/>
  <c r="U40" i="23"/>
  <c r="U41" i="23" s="1"/>
  <c r="V25" i="27" s="1"/>
  <c r="V40" i="24"/>
  <c r="V41" i="24" s="1"/>
  <c r="W24" i="27" s="1"/>
  <c r="AB40" i="16"/>
  <c r="U40" i="16"/>
  <c r="V40" i="23"/>
  <c r="V41" i="23" s="1"/>
  <c r="W25" i="27" s="1"/>
  <c r="AB40" i="24"/>
  <c r="AB41" i="24" s="1"/>
  <c r="AC24" i="27" s="1"/>
  <c r="U40" i="24"/>
  <c r="U41" i="24" s="1"/>
  <c r="V24" i="27" s="1"/>
  <c r="T40" i="20"/>
  <c r="T41" i="20" s="1"/>
  <c r="J40" i="20"/>
  <c r="J41" i="20" s="1"/>
  <c r="K20" i="27" s="1"/>
  <c r="T40" i="21"/>
  <c r="T41" i="21" s="1"/>
  <c r="J40" i="21"/>
  <c r="J41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40" i="21"/>
  <c r="S41" i="21" s="1"/>
  <c r="C40" i="21"/>
  <c r="C41" i="21" s="1"/>
  <c r="D19" i="27" s="1"/>
  <c r="S40" i="22"/>
  <c r="S41" i="22" s="1"/>
  <c r="C40" i="22"/>
  <c r="C41" i="22" s="1"/>
  <c r="D18" i="27" s="1"/>
  <c r="S40" i="26"/>
  <c r="S41" i="26" s="1"/>
  <c r="C40" i="26"/>
  <c r="C41" i="26" s="1"/>
  <c r="S40" i="25"/>
  <c r="S41" i="25" s="1"/>
  <c r="C40" i="25"/>
  <c r="C41" i="25" s="1"/>
  <c r="S40" i="6"/>
  <c r="S41" i="6" s="1"/>
  <c r="C40" i="6"/>
  <c r="C41" i="6" s="1"/>
  <c r="T40" i="26"/>
  <c r="T41" i="26" s="1"/>
  <c r="J40" i="26"/>
  <c r="J41" i="26" s="1"/>
  <c r="T40" i="25"/>
  <c r="T41" i="25" s="1"/>
  <c r="J40" i="25"/>
  <c r="J41" i="25" s="1"/>
  <c r="T40" i="6"/>
  <c r="T41" i="6" s="1"/>
  <c r="J40" i="6"/>
  <c r="J41" i="6" s="1"/>
  <c r="H40" i="18"/>
  <c r="H41" i="18" s="1"/>
  <c r="I22" i="27" s="1"/>
  <c r="H40" i="17"/>
  <c r="H41" i="17" s="1"/>
  <c r="I23" i="27" s="1"/>
  <c r="H40" i="19"/>
  <c r="H41" i="19" s="1"/>
  <c r="I21" i="27" s="1"/>
  <c r="H40" i="25"/>
  <c r="H41" i="25" s="1"/>
  <c r="H40" i="26"/>
  <c r="H41" i="26" s="1"/>
  <c r="H40" i="6"/>
  <c r="H41" i="6" s="1"/>
  <c r="I40" i="17"/>
  <c r="I41" i="17" s="1"/>
  <c r="J23" i="27" s="1"/>
  <c r="AC40" i="18"/>
  <c r="AC41" i="18" s="1"/>
  <c r="AD22" i="27" s="1"/>
  <c r="B40" i="18"/>
  <c r="B41" i="18" s="1"/>
  <c r="I40" i="19"/>
  <c r="I41" i="19" s="1"/>
  <c r="J21" i="27" s="1"/>
  <c r="AC40" i="17"/>
  <c r="AC41" i="17" s="1"/>
  <c r="AD23" i="27" s="1"/>
  <c r="B40" i="17"/>
  <c r="B41" i="17" s="1"/>
  <c r="I40" i="18"/>
  <c r="I41" i="18" s="1"/>
  <c r="J22" i="27" s="1"/>
  <c r="AC40" i="19"/>
  <c r="AC41" i="19" s="1"/>
  <c r="AD21" i="27" s="1"/>
  <c r="B40" i="19"/>
  <c r="B41" i="19" s="1"/>
  <c r="I40" i="26"/>
  <c r="I41" i="26" s="1"/>
  <c r="AC40" i="25"/>
  <c r="AC41" i="25" s="1"/>
  <c r="B40" i="25"/>
  <c r="B41" i="25" s="1"/>
  <c r="I40" i="6"/>
  <c r="I41" i="6" s="1"/>
  <c r="AC40" i="26"/>
  <c r="AC41" i="26" s="1"/>
  <c r="B40" i="26"/>
  <c r="B41" i="26" s="1"/>
  <c r="I40" i="25"/>
  <c r="I41" i="25" s="1"/>
  <c r="AC40" i="6"/>
  <c r="AC41" i="6" s="1"/>
  <c r="B40" i="6"/>
  <c r="B41" i="6" s="1"/>
  <c r="Y40" i="17"/>
  <c r="Y41" i="17" s="1"/>
  <c r="Z23" i="27" s="1"/>
  <c r="Z40" i="18"/>
  <c r="Z41" i="18" s="1"/>
  <c r="AA22" i="27" s="1"/>
  <c r="D40" i="18"/>
  <c r="D41" i="18" s="1"/>
  <c r="E22" i="27" s="1"/>
  <c r="Y40" i="19"/>
  <c r="Y41" i="19" s="1"/>
  <c r="Z21" i="27" s="1"/>
  <c r="D40" i="17"/>
  <c r="D41" i="17" s="1"/>
  <c r="E23" i="27" s="1"/>
  <c r="Z40" i="17"/>
  <c r="Z41" i="17" s="1"/>
  <c r="AA23" i="27" s="1"/>
  <c r="Y40" i="18"/>
  <c r="Y41" i="18" s="1"/>
  <c r="Z22" i="27" s="1"/>
  <c r="Z40" i="19"/>
  <c r="Z41" i="19" s="1"/>
  <c r="AA21" i="27" s="1"/>
  <c r="D40" i="19"/>
  <c r="D41" i="19" s="1"/>
  <c r="E21" i="27" s="1"/>
  <c r="Y40" i="26"/>
  <c r="Y41" i="26" s="1"/>
  <c r="Z40" i="25"/>
  <c r="Z41" i="25" s="1"/>
  <c r="D40" i="25"/>
  <c r="D41" i="25" s="1"/>
  <c r="Z40" i="6"/>
  <c r="Z41" i="6" s="1"/>
  <c r="Z40" i="26"/>
  <c r="Z41" i="26" s="1"/>
  <c r="D40" i="26"/>
  <c r="D41" i="26" s="1"/>
  <c r="Y40" i="25"/>
  <c r="Y41" i="25" s="1"/>
  <c r="D40" i="6"/>
  <c r="D41" i="6" s="1"/>
  <c r="Y40" i="6"/>
  <c r="Y41" i="6" s="1"/>
  <c r="W40" i="17"/>
  <c r="W41" i="17" s="1"/>
  <c r="W40" i="18"/>
  <c r="W41" i="18" s="1"/>
  <c r="W40" i="19"/>
  <c r="W41" i="19" s="1"/>
  <c r="X40" i="17"/>
  <c r="X41" i="17" s="1"/>
  <c r="X40" i="18"/>
  <c r="X41" i="18" s="1"/>
  <c r="X40" i="19"/>
  <c r="X41" i="19" s="1"/>
  <c r="W40" i="26"/>
  <c r="W41" i="26" s="1"/>
  <c r="W40" i="25"/>
  <c r="W41" i="25" s="1"/>
  <c r="W40" i="6"/>
  <c r="W41" i="6" s="1"/>
  <c r="X40" i="25"/>
  <c r="X41" i="25" s="1"/>
  <c r="X40" i="26"/>
  <c r="X41" i="26" s="1"/>
  <c r="X40" i="6"/>
  <c r="X41" i="6" s="1"/>
  <c r="M40" i="17"/>
  <c r="M41" i="17" s="1"/>
  <c r="N40" i="18"/>
  <c r="N41" i="18" s="1"/>
  <c r="O22" i="27" s="1"/>
  <c r="F40" i="18"/>
  <c r="F41" i="18" s="1"/>
  <c r="M40" i="19"/>
  <c r="M41" i="19" s="1"/>
  <c r="F40" i="17"/>
  <c r="F41" i="17" s="1"/>
  <c r="N40" i="19"/>
  <c r="N41" i="19" s="1"/>
  <c r="O21" i="27" s="1"/>
  <c r="N40" i="17"/>
  <c r="N41" i="17" s="1"/>
  <c r="O23" i="27" s="1"/>
  <c r="M40" i="18"/>
  <c r="M41" i="18" s="1"/>
  <c r="F40" i="19"/>
  <c r="F41" i="19" s="1"/>
  <c r="N40" i="25"/>
  <c r="N41" i="25" s="1"/>
  <c r="F40" i="25"/>
  <c r="F41" i="25" s="1"/>
  <c r="M40" i="6"/>
  <c r="M41" i="6" s="1"/>
  <c r="M40" i="25"/>
  <c r="M41" i="25" s="1"/>
  <c r="F40" i="6"/>
  <c r="F41" i="6" s="1"/>
  <c r="N40" i="6"/>
  <c r="N41" i="6" s="1"/>
  <c r="G40" i="17"/>
  <c r="G41" i="17" s="1"/>
  <c r="H23" i="27" s="1"/>
  <c r="G40" i="19"/>
  <c r="G41" i="19" s="1"/>
  <c r="H21" i="27" s="1"/>
  <c r="G40" i="18"/>
  <c r="G41" i="18" s="1"/>
  <c r="H22" i="27" s="1"/>
  <c r="G40" i="26"/>
  <c r="G41" i="26" s="1"/>
  <c r="G40" i="6"/>
  <c r="G41" i="6" s="1"/>
  <c r="G40" i="25"/>
  <c r="G41" i="25" s="1"/>
  <c r="L40" i="17"/>
  <c r="L41" i="17" s="1"/>
  <c r="M23" i="27" s="1"/>
  <c r="L40" i="19"/>
  <c r="L41" i="19" s="1"/>
  <c r="M21" i="27" s="1"/>
  <c r="L40" i="18"/>
  <c r="L41" i="18" s="1"/>
  <c r="M22" i="27" s="1"/>
  <c r="L40" i="26"/>
  <c r="L41" i="26" s="1"/>
  <c r="L40" i="6"/>
  <c r="L41" i="6" s="1"/>
  <c r="L40" i="25"/>
  <c r="L41" i="25" s="1"/>
  <c r="AB40" i="17"/>
  <c r="AB41" i="17" s="1"/>
  <c r="AC23" i="27" s="1"/>
  <c r="U40" i="17"/>
  <c r="U41" i="17" s="1"/>
  <c r="V40" i="18"/>
  <c r="V41" i="18" s="1"/>
  <c r="AB40" i="19"/>
  <c r="AB41" i="19" s="1"/>
  <c r="AC21" i="27" s="1"/>
  <c r="U40" i="19"/>
  <c r="U41" i="19" s="1"/>
  <c r="V40" i="17"/>
  <c r="V41" i="17" s="1"/>
  <c r="AB40" i="18"/>
  <c r="AB41" i="18" s="1"/>
  <c r="AC22" i="27" s="1"/>
  <c r="U40" i="18"/>
  <c r="U41" i="18" s="1"/>
  <c r="V40" i="19"/>
  <c r="V41" i="19" s="1"/>
  <c r="AB40" i="26"/>
  <c r="AB41" i="26" s="1"/>
  <c r="U40" i="26"/>
  <c r="U41" i="26" s="1"/>
  <c r="V40" i="25"/>
  <c r="V41" i="25" s="1"/>
  <c r="AB40" i="6"/>
  <c r="AB41" i="6" s="1"/>
  <c r="U40" i="6"/>
  <c r="U41" i="6" s="1"/>
  <c r="V40" i="26"/>
  <c r="V41" i="26" s="1"/>
  <c r="AB40" i="25"/>
  <c r="AB41" i="25" s="1"/>
  <c r="U40" i="25"/>
  <c r="U41" i="25" s="1"/>
  <c r="V40" i="6"/>
  <c r="V41" i="6" s="1"/>
  <c r="S40" i="16"/>
  <c r="C40" i="16"/>
  <c r="S40" i="23"/>
  <c r="S41" i="23" s="1"/>
  <c r="C40" i="23"/>
  <c r="C41" i="23" s="1"/>
  <c r="D25" i="27" s="1"/>
  <c r="S40" i="24"/>
  <c r="S41" i="24" s="1"/>
  <c r="C40" i="24"/>
  <c r="C41" i="24" s="1"/>
  <c r="D24" i="27" s="1"/>
  <c r="T40" i="16"/>
  <c r="J40" i="16"/>
  <c r="T40" i="23"/>
  <c r="T41" i="23" s="1"/>
  <c r="J40" i="23"/>
  <c r="J41" i="23" s="1"/>
  <c r="K25" i="27" s="1"/>
  <c r="T40" i="24"/>
  <c r="T41" i="24" s="1"/>
  <c r="J40" i="24"/>
  <c r="J41" i="24" s="1"/>
  <c r="K24" i="27" s="1"/>
  <c r="H40" i="20"/>
  <c r="H41" i="20" s="1"/>
  <c r="I20" i="27" s="1"/>
  <c r="H40" i="22"/>
  <c r="H41" i="22" s="1"/>
  <c r="I18" i="27" s="1"/>
  <c r="H40" i="21"/>
  <c r="H41" i="21" s="1"/>
  <c r="I19" i="27" s="1"/>
  <c r="H40" i="16"/>
  <c r="H40" i="24"/>
  <c r="H41" i="24" s="1"/>
  <c r="I24" i="27" s="1"/>
  <c r="H40" i="23"/>
  <c r="H41" i="23" s="1"/>
  <c r="I25" i="27" s="1"/>
  <c r="AC40" i="20"/>
  <c r="AC41" i="20" s="1"/>
  <c r="AD20" i="27" s="1"/>
  <c r="B40" i="20"/>
  <c r="B41" i="20" s="1"/>
  <c r="I40" i="21"/>
  <c r="I41" i="21" s="1"/>
  <c r="J19" i="27" s="1"/>
  <c r="AC40" i="22"/>
  <c r="AC41" i="22" s="1"/>
  <c r="AD18" i="27" s="1"/>
  <c r="B40" i="22"/>
  <c r="B41" i="22" s="1"/>
  <c r="I40" i="20"/>
  <c r="I41" i="20" s="1"/>
  <c r="J20" i="27" s="1"/>
  <c r="AC40" i="21"/>
  <c r="AC41" i="21" s="1"/>
  <c r="AD19" i="27" s="1"/>
  <c r="B40" i="21"/>
  <c r="B41" i="21" s="1"/>
  <c r="I40" i="22"/>
  <c r="I41" i="22" s="1"/>
  <c r="J18" i="27" s="1"/>
  <c r="AC40" i="16"/>
  <c r="B40" i="16"/>
  <c r="I40" i="23"/>
  <c r="I41" i="23" s="1"/>
  <c r="J25" i="27" s="1"/>
  <c r="AC40" i="24"/>
  <c r="AC41" i="24" s="1"/>
  <c r="AD24" i="27" s="1"/>
  <c r="B40" i="24"/>
  <c r="B41" i="24" s="1"/>
  <c r="I40" i="16"/>
  <c r="AC40" i="23"/>
  <c r="AC41" i="23" s="1"/>
  <c r="AD25" i="27" s="1"/>
  <c r="B40" i="23"/>
  <c r="B41" i="23" s="1"/>
  <c r="I40" i="24"/>
  <c r="I41" i="24" s="1"/>
  <c r="J24" i="27" s="1"/>
  <c r="D40" i="20"/>
  <c r="D41" i="20" s="1"/>
  <c r="E20" i="27" s="1"/>
  <c r="Y40" i="20"/>
  <c r="Y41" i="20" s="1"/>
  <c r="Z20" i="27" s="1"/>
  <c r="Z40" i="21"/>
  <c r="Z41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40" i="21"/>
  <c r="D41" i="21" s="1"/>
  <c r="E19" i="27" s="1"/>
  <c r="Y40" i="21"/>
  <c r="Y41" i="21" s="1"/>
  <c r="Z19" i="27" s="1"/>
  <c r="Y40" i="22"/>
  <c r="Y41" i="22" s="1"/>
  <c r="Z18" i="27" s="1"/>
  <c r="D40" i="16"/>
  <c r="Y40" i="16"/>
  <c r="Z40" i="23"/>
  <c r="Z41" i="23" s="1"/>
  <c r="AA25" i="27" s="1"/>
  <c r="Z40" i="24"/>
  <c r="Z41" i="24" s="1"/>
  <c r="AA24" i="27" s="1"/>
  <c r="D40" i="24"/>
  <c r="D41" i="24" s="1"/>
  <c r="E24" i="27" s="1"/>
  <c r="Z40" i="16"/>
  <c r="D40" i="23"/>
  <c r="D41" i="23" s="1"/>
  <c r="E25" i="27" s="1"/>
  <c r="Y40" i="23"/>
  <c r="Y41" i="23" s="1"/>
  <c r="Z25" i="27" s="1"/>
  <c r="Y40" i="24"/>
  <c r="Y41" i="24" s="1"/>
  <c r="Z24" i="27" s="1"/>
  <c r="AG15" i="27"/>
  <c r="AE15" i="27"/>
  <c r="AG14" i="27"/>
  <c r="AE14" i="27"/>
  <c r="O24" i="27"/>
  <c r="O19" i="27"/>
  <c r="O20" i="27"/>
  <c r="AF40" i="16"/>
  <c r="AE40" i="16"/>
  <c r="AD40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T48" i="16" s="1"/>
  <c r="U48" i="16" s="1"/>
  <c r="K39" i="16"/>
  <c r="J39" i="16"/>
  <c r="I39" i="16"/>
  <c r="H39" i="16"/>
  <c r="T52" i="16" s="1"/>
  <c r="U52" i="16" s="1"/>
  <c r="G39" i="16"/>
  <c r="T47" i="16" s="1"/>
  <c r="U47" i="16" s="1"/>
  <c r="F39" i="16"/>
  <c r="E39" i="16"/>
  <c r="D39" i="16"/>
  <c r="C39" i="16"/>
  <c r="B39" i="16"/>
  <c r="AG13" i="27"/>
  <c r="AE13" i="27"/>
  <c r="T54" i="16" l="1"/>
  <c r="U54" i="16" s="1"/>
  <c r="T49" i="16"/>
  <c r="U49" i="16" s="1"/>
  <c r="T50" i="16"/>
  <c r="U50" i="16" s="1"/>
  <c r="H44" i="26"/>
  <c r="H50" i="26" s="1"/>
  <c r="H51" i="26" s="1"/>
  <c r="E44" i="27" s="1"/>
  <c r="T53" i="16"/>
  <c r="U53" i="16" s="1"/>
  <c r="T51" i="16"/>
  <c r="U51" i="16" s="1"/>
  <c r="T45" i="16"/>
  <c r="U45" i="16" s="1"/>
  <c r="AG40" i="16"/>
  <c r="B44" i="23"/>
  <c r="B50" i="23" s="1"/>
  <c r="B51" i="23" s="1"/>
  <c r="C40" i="27" s="1"/>
  <c r="C25" i="27"/>
  <c r="B44" i="22"/>
  <c r="B50" i="22" s="1"/>
  <c r="B51" i="22" s="1"/>
  <c r="C33" i="27" s="1"/>
  <c r="C18" i="27"/>
  <c r="E44" i="24"/>
  <c r="E50" i="24" s="1"/>
  <c r="E51" i="24" s="1"/>
  <c r="D39" i="27" s="1"/>
  <c r="U24" i="27"/>
  <c r="E44" i="23"/>
  <c r="E50" i="23" s="1"/>
  <c r="E51" i="23" s="1"/>
  <c r="D40" i="27" s="1"/>
  <c r="U25" i="27"/>
  <c r="H44" i="24"/>
  <c r="T24" i="27"/>
  <c r="H44" i="23"/>
  <c r="T25" i="27"/>
  <c r="E44" i="19"/>
  <c r="E50" i="19" s="1"/>
  <c r="E51" i="19" s="1"/>
  <c r="D36" i="27" s="1"/>
  <c r="W21" i="27"/>
  <c r="H44" i="19"/>
  <c r="H50" i="19" s="1"/>
  <c r="H51" i="19" s="1"/>
  <c r="E36" i="27" s="1"/>
  <c r="V21" i="27"/>
  <c r="E44" i="18"/>
  <c r="E50" i="18" s="1"/>
  <c r="E51" i="18" s="1"/>
  <c r="D37" i="27" s="1"/>
  <c r="W22" i="27"/>
  <c r="B44" i="17"/>
  <c r="B50" i="17" s="1"/>
  <c r="B51" i="17" s="1"/>
  <c r="C38" i="27" s="1"/>
  <c r="C23" i="27"/>
  <c r="H44" i="20"/>
  <c r="H50" i="20" s="1"/>
  <c r="H51" i="20" s="1"/>
  <c r="E35" i="27" s="1"/>
  <c r="V20" i="27"/>
  <c r="B44" i="6"/>
  <c r="B50" i="6" s="1"/>
  <c r="B51" i="6" s="1"/>
  <c r="C42" i="27" s="1"/>
  <c r="B44" i="25"/>
  <c r="B50" i="25" s="1"/>
  <c r="B51" i="25" s="1"/>
  <c r="C43" i="27" s="1"/>
  <c r="B44" i="24"/>
  <c r="B50" i="24" s="1"/>
  <c r="B51" i="24" s="1"/>
  <c r="C39" i="27" s="1"/>
  <c r="C24" i="27"/>
  <c r="B44" i="21"/>
  <c r="B50" i="21" s="1"/>
  <c r="B51" i="21" s="1"/>
  <c r="C34" i="27" s="1"/>
  <c r="C19" i="27"/>
  <c r="B44" i="20"/>
  <c r="B50" i="20" s="1"/>
  <c r="B51" i="20" s="1"/>
  <c r="C35" i="27" s="1"/>
  <c r="C20" i="27"/>
  <c r="H44" i="18"/>
  <c r="H50" i="18" s="1"/>
  <c r="H51" i="18" s="1"/>
  <c r="E37" i="27" s="1"/>
  <c r="V22" i="27"/>
  <c r="E44" i="17"/>
  <c r="E50" i="17" s="1"/>
  <c r="E51" i="17" s="1"/>
  <c r="D38" i="27" s="1"/>
  <c r="W23" i="27"/>
  <c r="H44" i="17"/>
  <c r="H50" i="17" s="1"/>
  <c r="H51" i="17" s="1"/>
  <c r="E38" i="27" s="1"/>
  <c r="V23" i="27"/>
  <c r="B44" i="19"/>
  <c r="B50" i="19" s="1"/>
  <c r="B51" i="19" s="1"/>
  <c r="C36" i="27" s="1"/>
  <c r="C21" i="27"/>
  <c r="B44" i="18"/>
  <c r="B50" i="18" s="1"/>
  <c r="B51" i="18" s="1"/>
  <c r="C37" i="27" s="1"/>
  <c r="C22" i="27"/>
  <c r="H44" i="22"/>
  <c r="H50" i="22" s="1"/>
  <c r="H51" i="22" s="1"/>
  <c r="E33" i="27" s="1"/>
  <c r="T18" i="27"/>
  <c r="H44" i="21"/>
  <c r="H50" i="21" s="1"/>
  <c r="H51" i="21" s="1"/>
  <c r="E34" i="27" s="1"/>
  <c r="T19" i="27"/>
  <c r="E44" i="22"/>
  <c r="E50" i="22" s="1"/>
  <c r="E51" i="22" s="1"/>
  <c r="D33" i="27" s="1"/>
  <c r="U18" i="27"/>
  <c r="E44" i="21"/>
  <c r="E50" i="21" s="1"/>
  <c r="E51" i="21" s="1"/>
  <c r="D34" i="27" s="1"/>
  <c r="U19" i="27"/>
  <c r="E44" i="20"/>
  <c r="E50" i="20" s="1"/>
  <c r="E51" i="20" s="1"/>
  <c r="D35" i="27" s="1"/>
  <c r="U20" i="27"/>
  <c r="B44" i="26"/>
  <c r="B50" i="26" s="1"/>
  <c r="B51" i="26" s="1"/>
  <c r="C44" i="27" s="1"/>
  <c r="E44" i="6"/>
  <c r="E50" i="6" s="1"/>
  <c r="E51" i="6" s="1"/>
  <c r="D42" i="27" s="1"/>
  <c r="E44" i="25"/>
  <c r="E50" i="25" s="1"/>
  <c r="E51" i="25" s="1"/>
  <c r="D43" i="27" s="1"/>
  <c r="E44" i="26"/>
  <c r="E50" i="26" s="1"/>
  <c r="E51" i="26" s="1"/>
  <c r="D44" i="27" s="1"/>
  <c r="H44" i="6"/>
  <c r="H50" i="6" s="1"/>
  <c r="H51" i="6" s="1"/>
  <c r="E42" i="27" s="1"/>
  <c r="H44" i="25"/>
  <c r="H50" i="25" s="1"/>
  <c r="H51" i="25" s="1"/>
  <c r="E43" i="27" s="1"/>
  <c r="H49" i="16"/>
  <c r="AE12" i="27"/>
  <c r="AE17" i="27" s="1"/>
  <c r="B49" i="16"/>
  <c r="AG12" i="27"/>
  <c r="AG17" i="27" s="1"/>
  <c r="E49" i="16"/>
  <c r="T46" i="16"/>
  <c r="U46" i="16" s="1"/>
  <c r="C29" i="27"/>
  <c r="C15" i="27"/>
  <c r="E29" i="27"/>
  <c r="E15" i="27"/>
  <c r="G29" i="27"/>
  <c r="G15" i="27"/>
  <c r="I29" i="27"/>
  <c r="I15" i="27"/>
  <c r="K29" i="27"/>
  <c r="K15" i="27"/>
  <c r="M29" i="27"/>
  <c r="M15" i="27"/>
  <c r="O29" i="27"/>
  <c r="O15" i="27"/>
  <c r="Q29" i="27"/>
  <c r="Q15" i="27"/>
  <c r="S29" i="27"/>
  <c r="S15" i="27"/>
  <c r="U29" i="27"/>
  <c r="U15" i="27"/>
  <c r="W29" i="27"/>
  <c r="W15" i="27"/>
  <c r="Y29" i="27"/>
  <c r="Y15" i="27"/>
  <c r="AA29" i="27"/>
  <c r="AA15" i="27"/>
  <c r="AC15" i="27"/>
  <c r="D29" i="27"/>
  <c r="D15" i="27"/>
  <c r="F29" i="27"/>
  <c r="F15" i="27"/>
  <c r="H29" i="27"/>
  <c r="H15" i="27"/>
  <c r="J29" i="27"/>
  <c r="J15" i="27"/>
  <c r="L29" i="27"/>
  <c r="L15" i="27"/>
  <c r="N29" i="27"/>
  <c r="N15" i="27"/>
  <c r="P15" i="27"/>
  <c r="R29" i="27"/>
  <c r="R15" i="27"/>
  <c r="T29" i="27"/>
  <c r="T15" i="27"/>
  <c r="V29" i="27"/>
  <c r="V15" i="27"/>
  <c r="X29" i="27"/>
  <c r="X15" i="27"/>
  <c r="Z29" i="27"/>
  <c r="Z15" i="27"/>
  <c r="AB29" i="27"/>
  <c r="AB15" i="27"/>
  <c r="AD15" i="27"/>
  <c r="AF15" i="27"/>
  <c r="AH15" i="27"/>
  <c r="C28" i="27"/>
  <c r="C14" i="27"/>
  <c r="E28" i="27"/>
  <c r="E14" i="27"/>
  <c r="G28" i="27"/>
  <c r="G14" i="27"/>
  <c r="I28" i="27"/>
  <c r="I14" i="27"/>
  <c r="K28" i="27"/>
  <c r="K14" i="27"/>
  <c r="M28" i="27"/>
  <c r="M14" i="27"/>
  <c r="O28" i="27"/>
  <c r="O14" i="27"/>
  <c r="Q28" i="27"/>
  <c r="Q14" i="27"/>
  <c r="S28" i="27"/>
  <c r="S14" i="27"/>
  <c r="U28" i="27"/>
  <c r="U14" i="27"/>
  <c r="W28" i="27"/>
  <c r="W14" i="27"/>
  <c r="Y28" i="27"/>
  <c r="Y14" i="27"/>
  <c r="AA28" i="27"/>
  <c r="AA14" i="27"/>
  <c r="AC14" i="27"/>
  <c r="D28" i="27"/>
  <c r="D14" i="27"/>
  <c r="F28" i="27"/>
  <c r="F14" i="27"/>
  <c r="H28" i="27"/>
  <c r="H14" i="27"/>
  <c r="J14" i="27"/>
  <c r="L28" i="27"/>
  <c r="L14" i="27"/>
  <c r="N28" i="27"/>
  <c r="N14" i="27"/>
  <c r="P28" i="27"/>
  <c r="P14" i="27"/>
  <c r="R28" i="27"/>
  <c r="R14" i="27"/>
  <c r="T28" i="27"/>
  <c r="T14" i="27"/>
  <c r="V14" i="27"/>
  <c r="X28" i="27"/>
  <c r="X14" i="27"/>
  <c r="Z28" i="27"/>
  <c r="Z14" i="27"/>
  <c r="AB28" i="27"/>
  <c r="AB14" i="27"/>
  <c r="AD14" i="27"/>
  <c r="AH14" i="27"/>
  <c r="AF14" i="27"/>
  <c r="Z27" i="27"/>
  <c r="Z13" i="27"/>
  <c r="AB27" i="27"/>
  <c r="AB13" i="27"/>
  <c r="AD13" i="27"/>
  <c r="AF13" i="27"/>
  <c r="AH13" i="27"/>
  <c r="Y27" i="27"/>
  <c r="Y13" i="27"/>
  <c r="AA27" i="27"/>
  <c r="AA13" i="27"/>
  <c r="AC13" i="27"/>
  <c r="AF12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B41" i="16"/>
  <c r="C12" i="27"/>
  <c r="D41" i="16"/>
  <c r="E26" i="27" s="1"/>
  <c r="E12" i="27"/>
  <c r="F41" i="16"/>
  <c r="G12" i="27"/>
  <c r="H41" i="16"/>
  <c r="I26" i="27" s="1"/>
  <c r="I12" i="27"/>
  <c r="J41" i="16"/>
  <c r="K26" i="27" s="1"/>
  <c r="K12" i="27"/>
  <c r="L41" i="16"/>
  <c r="M26" i="27" s="1"/>
  <c r="M12" i="27"/>
  <c r="N41" i="16"/>
  <c r="O26" i="27" s="1"/>
  <c r="O12" i="27"/>
  <c r="P41" i="16"/>
  <c r="Q26" i="27" s="1"/>
  <c r="Q12" i="27"/>
  <c r="R41" i="16"/>
  <c r="S26" i="27" s="1"/>
  <c r="S12" i="27"/>
  <c r="T41" i="16"/>
  <c r="U26" i="27" s="1"/>
  <c r="U12" i="27"/>
  <c r="V41" i="16"/>
  <c r="W26" i="27" s="1"/>
  <c r="W12" i="27"/>
  <c r="X41" i="16"/>
  <c r="Y12" i="27"/>
  <c r="Z41" i="16"/>
  <c r="AA26" i="27" s="1"/>
  <c r="AA12" i="27"/>
  <c r="AB41" i="16"/>
  <c r="AC12" i="27"/>
  <c r="C41" i="16"/>
  <c r="D26" i="27" s="1"/>
  <c r="D12" i="27"/>
  <c r="E41" i="16"/>
  <c r="F26" i="27" s="1"/>
  <c r="F12" i="27"/>
  <c r="G41" i="16"/>
  <c r="H26" i="27" s="1"/>
  <c r="H12" i="27"/>
  <c r="I41" i="16"/>
  <c r="J26" i="27" s="1"/>
  <c r="J12" i="27"/>
  <c r="K41" i="16"/>
  <c r="L26" i="27" s="1"/>
  <c r="L12" i="27"/>
  <c r="M41" i="16"/>
  <c r="N12" i="27"/>
  <c r="O41" i="16"/>
  <c r="P12" i="27"/>
  <c r="Q41" i="16"/>
  <c r="R26" i="27" s="1"/>
  <c r="R12" i="27"/>
  <c r="S41" i="16"/>
  <c r="T26" i="27" s="1"/>
  <c r="T12" i="27"/>
  <c r="U41" i="16"/>
  <c r="V26" i="27" s="1"/>
  <c r="V12" i="27"/>
  <c r="W41" i="16"/>
  <c r="X12" i="27"/>
  <c r="Y41" i="16"/>
  <c r="Z26" i="27" s="1"/>
  <c r="Z12" i="27"/>
  <c r="AA41" i="16"/>
  <c r="AB26" i="27" s="1"/>
  <c r="AB12" i="27"/>
  <c r="AC41" i="16"/>
  <c r="AD12" i="27"/>
  <c r="H50" i="23" l="1"/>
  <c r="H51" i="23" s="1"/>
  <c r="E40" i="27" s="1"/>
  <c r="I51" i="23"/>
  <c r="H50" i="24"/>
  <c r="H51" i="24" s="1"/>
  <c r="E39" i="27" s="1"/>
  <c r="I51" i="24"/>
  <c r="AH6" i="28"/>
  <c r="D58" i="27"/>
  <c r="D51" i="27"/>
  <c r="D49" i="27"/>
  <c r="AF6" i="28"/>
  <c r="C52" i="27"/>
  <c r="C58" i="27"/>
  <c r="C55" i="27" s="1"/>
  <c r="C53" i="27"/>
  <c r="C51" i="27"/>
  <c r="C49" i="27"/>
  <c r="AB17" i="27"/>
  <c r="Z17" i="27"/>
  <c r="AB6" i="28" s="1"/>
  <c r="AB7" i="28" s="1"/>
  <c r="AB9" i="28" s="1"/>
  <c r="AC17" i="27"/>
  <c r="AD17" i="27"/>
  <c r="AA17" i="27"/>
  <c r="O6" i="28" s="1"/>
  <c r="O7" i="28" s="1"/>
  <c r="O9" i="28" s="1"/>
  <c r="Y17" i="27"/>
  <c r="N6" i="28" s="1"/>
  <c r="N7" i="28" s="1"/>
  <c r="N9" i="28" s="1"/>
  <c r="E46" i="16"/>
  <c r="D52" i="27" s="1"/>
  <c r="H46" i="16"/>
  <c r="B44" i="16"/>
  <c r="B50" i="16" s="1"/>
  <c r="B51" i="16" s="1"/>
  <c r="C41" i="27" s="1"/>
  <c r="C45" i="27" s="1"/>
  <c r="AH12" i="27"/>
  <c r="E45" i="16"/>
  <c r="D54" i="27" s="1"/>
  <c r="E54" i="27" s="1"/>
  <c r="H45" i="16"/>
  <c r="P26" i="27"/>
  <c r="X26" i="27"/>
  <c r="H44" i="16"/>
  <c r="N26" i="27"/>
  <c r="Y26" i="27"/>
  <c r="Y30" i="27" s="1"/>
  <c r="N10" i="28" s="1"/>
  <c r="E44" i="16"/>
  <c r="D48" i="27" s="1"/>
  <c r="G26" i="27"/>
  <c r="AB30" i="27"/>
  <c r="Z30" i="27"/>
  <c r="AB10" i="28" s="1"/>
  <c r="AA30" i="27"/>
  <c r="O10" i="28" s="1"/>
  <c r="AF17" i="27"/>
  <c r="AH17" i="27" s="1"/>
  <c r="AI6" i="28" s="1"/>
  <c r="AD29" i="27"/>
  <c r="P29" i="27"/>
  <c r="AC29" i="27"/>
  <c r="AD28" i="27"/>
  <c r="V28" i="27"/>
  <c r="J28" i="27"/>
  <c r="AC28" i="27"/>
  <c r="C27" i="27"/>
  <c r="C13" i="27"/>
  <c r="C17" i="27" s="1"/>
  <c r="C6" i="28" s="1"/>
  <c r="E27" i="27"/>
  <c r="E30" i="27" s="1"/>
  <c r="E10" i="28" s="1"/>
  <c r="E13" i="27"/>
  <c r="E17" i="27" s="1"/>
  <c r="E6" i="28" s="1"/>
  <c r="E7" i="28" s="1"/>
  <c r="E9" i="28" s="1"/>
  <c r="G27" i="27"/>
  <c r="G13" i="27"/>
  <c r="G17" i="27" s="1"/>
  <c r="G6" i="28" s="1"/>
  <c r="I27" i="27"/>
  <c r="I30" i="27" s="1"/>
  <c r="I10" i="28" s="1"/>
  <c r="I13" i="27"/>
  <c r="I17" i="27" s="1"/>
  <c r="I6" i="28" s="1"/>
  <c r="I7" i="28" s="1"/>
  <c r="I9" i="28" s="1"/>
  <c r="K27" i="27"/>
  <c r="K30" i="27" s="1"/>
  <c r="R10" i="28" s="1"/>
  <c r="K13" i="27"/>
  <c r="M27" i="27"/>
  <c r="M30" i="27" s="1"/>
  <c r="T10" i="28" s="1"/>
  <c r="M13" i="27"/>
  <c r="M17" i="27" s="1"/>
  <c r="T6" i="28" s="1"/>
  <c r="T7" i="28" s="1"/>
  <c r="T9" i="28" s="1"/>
  <c r="O27" i="27"/>
  <c r="O30" i="27" s="1"/>
  <c r="V10" i="28" s="1"/>
  <c r="O13" i="27"/>
  <c r="O17" i="27" s="1"/>
  <c r="V6" i="28" s="1"/>
  <c r="V7" i="28" s="1"/>
  <c r="V9" i="28" s="1"/>
  <c r="Q27" i="27"/>
  <c r="Q30" i="27" s="1"/>
  <c r="J10" i="28" s="1"/>
  <c r="Q13" i="27"/>
  <c r="Q17" i="27" s="1"/>
  <c r="J6" i="28" s="1"/>
  <c r="S27" i="27"/>
  <c r="S30" i="27" s="1"/>
  <c r="K16" i="28" s="1"/>
  <c r="S13" i="27"/>
  <c r="U27" i="27"/>
  <c r="U30" i="27" s="1"/>
  <c r="L16" i="28" s="1"/>
  <c r="U13" i="27"/>
  <c r="U17" i="27" s="1"/>
  <c r="L6" i="28" s="1"/>
  <c r="L7" i="28" s="1"/>
  <c r="L9" i="28" s="1"/>
  <c r="W27" i="27"/>
  <c r="W30" i="27" s="1"/>
  <c r="M10" i="28" s="1"/>
  <c r="W13" i="27"/>
  <c r="W17" i="27" s="1"/>
  <c r="M6" i="28" s="1"/>
  <c r="AC27" i="27"/>
  <c r="AD27" i="27"/>
  <c r="D27" i="27"/>
  <c r="D30" i="27" s="1"/>
  <c r="D10" i="28" s="1"/>
  <c r="D13" i="27"/>
  <c r="D17" i="27" s="1"/>
  <c r="D6" i="28" s="1"/>
  <c r="F27" i="27"/>
  <c r="F30" i="27" s="1"/>
  <c r="F10" i="28" s="1"/>
  <c r="F13" i="27"/>
  <c r="F17" i="27" s="1"/>
  <c r="F6" i="28" s="1"/>
  <c r="H27" i="27"/>
  <c r="H30" i="27" s="1"/>
  <c r="H10" i="28" s="1"/>
  <c r="H13" i="27"/>
  <c r="H17" i="27" s="1"/>
  <c r="H6" i="28" s="1"/>
  <c r="H7" i="28" s="1"/>
  <c r="H9" i="28" s="1"/>
  <c r="J27" i="27"/>
  <c r="J13" i="27"/>
  <c r="J17" i="27" s="1"/>
  <c r="Q6" i="28" s="1"/>
  <c r="Q7" i="28" s="1"/>
  <c r="Q9" i="28" s="1"/>
  <c r="L27" i="27"/>
  <c r="L30" i="27" s="1"/>
  <c r="S10" i="28" s="1"/>
  <c r="L13" i="27"/>
  <c r="L17" i="27" s="1"/>
  <c r="S6" i="28" s="1"/>
  <c r="S7" i="28" s="1"/>
  <c r="S9" i="28" s="1"/>
  <c r="N27" i="27"/>
  <c r="N13" i="27"/>
  <c r="N17" i="27" s="1"/>
  <c r="U6" i="28" s="1"/>
  <c r="U7" i="28" s="1"/>
  <c r="U9" i="28" s="1"/>
  <c r="P27" i="27"/>
  <c r="P13" i="27"/>
  <c r="P17" i="27" s="1"/>
  <c r="W6" i="28" s="1"/>
  <c r="R27" i="27"/>
  <c r="R30" i="27" s="1"/>
  <c r="X10" i="28" s="1"/>
  <c r="R13" i="27"/>
  <c r="R17" i="27" s="1"/>
  <c r="X6" i="28" s="1"/>
  <c r="X7" i="28" s="1"/>
  <c r="X9" i="28" s="1"/>
  <c r="T27" i="27"/>
  <c r="T30" i="27" s="1"/>
  <c r="Y16" i="28" s="1"/>
  <c r="T13" i="27"/>
  <c r="T17" i="27" s="1"/>
  <c r="Y6" i="28" s="1"/>
  <c r="V27" i="27"/>
  <c r="V13" i="27"/>
  <c r="V17" i="27" s="1"/>
  <c r="Z6" i="28" s="1"/>
  <c r="Z7" i="28" s="1"/>
  <c r="Z9" i="28" s="1"/>
  <c r="X27" i="27"/>
  <c r="X13" i="27"/>
  <c r="X17" i="27" s="1"/>
  <c r="AA6" i="28" s="1"/>
  <c r="S17" i="27"/>
  <c r="K6" i="28" s="1"/>
  <c r="K17" i="27"/>
  <c r="R6" i="28" s="1"/>
  <c r="R7" i="28" s="1"/>
  <c r="R9" i="28" s="1"/>
  <c r="AD26" i="27"/>
  <c r="AC26" i="27"/>
  <c r="C26" i="27"/>
  <c r="E45" i="27" l="1"/>
  <c r="X30" i="27"/>
  <c r="AA10" i="28" s="1"/>
  <c r="N30" i="27"/>
  <c r="U10" i="28" s="1"/>
  <c r="C30" i="27"/>
  <c r="C10" i="28" s="1"/>
  <c r="C14" i="28"/>
  <c r="M14" i="28"/>
  <c r="G14" i="28"/>
  <c r="P30" i="27"/>
  <c r="W10" i="28" s="1"/>
  <c r="C48" i="27"/>
  <c r="C56" i="27" s="1"/>
  <c r="C57" i="27" s="1"/>
  <c r="D53" i="27"/>
  <c r="D56" i="27" s="1"/>
  <c r="D57" i="27" s="1"/>
  <c r="D55" i="27"/>
  <c r="AD30" i="27"/>
  <c r="AE10" i="28" s="1"/>
  <c r="V30" i="27"/>
  <c r="Z10" i="28" s="1"/>
  <c r="J30" i="27"/>
  <c r="Q10" i="28" s="1"/>
  <c r="I14" i="28"/>
  <c r="O14" i="28"/>
  <c r="F14" i="28"/>
  <c r="K14" i="28"/>
  <c r="J14" i="28"/>
  <c r="D14" i="28"/>
  <c r="AG6" i="28"/>
  <c r="H18" i="28" s="1"/>
  <c r="X18" i="28" s="1"/>
  <c r="AE18" i="28" s="1"/>
  <c r="J7" i="28"/>
  <c r="J9" i="28" s="1"/>
  <c r="L14" i="28"/>
  <c r="H14" i="28"/>
  <c r="P6" i="28"/>
  <c r="P14" i="28" s="1"/>
  <c r="E52" i="27"/>
  <c r="E58" i="27"/>
  <c r="E55" i="27" s="1"/>
  <c r="E53" i="27"/>
  <c r="E51" i="27"/>
  <c r="E48" i="27"/>
  <c r="E49" i="27"/>
  <c r="D50" i="27"/>
  <c r="G30" i="27"/>
  <c r="G10" i="28" s="1"/>
  <c r="D7" i="28"/>
  <c r="D9" i="28" s="1"/>
  <c r="N14" i="28"/>
  <c r="AC30" i="27"/>
  <c r="AD10" i="28" s="1"/>
  <c r="AC10" i="28"/>
  <c r="E14" i="28"/>
  <c r="H50" i="16"/>
  <c r="H51" i="16" s="1"/>
  <c r="E50" i="16"/>
  <c r="E51" i="16" s="1"/>
  <c r="D41" i="27" s="1"/>
  <c r="D45" i="27" s="1"/>
  <c r="G7" i="28"/>
  <c r="M7" i="28"/>
  <c r="C7" i="28"/>
  <c r="C9" i="28" s="1"/>
  <c r="K7" i="28"/>
  <c r="F7" i="28"/>
  <c r="F9" i="28" s="1"/>
  <c r="AA7" i="28"/>
  <c r="AA9" i="28" s="1"/>
  <c r="Y7" i="28"/>
  <c r="Y9" i="28" s="1"/>
  <c r="W7" i="28"/>
  <c r="W9" i="28" s="1"/>
  <c r="E8" i="28"/>
  <c r="E15" i="28" s="1"/>
  <c r="I8" i="28"/>
  <c r="I15" i="28" s="1"/>
  <c r="L8" i="28"/>
  <c r="L15" i="28" s="1"/>
  <c r="N8" i="28"/>
  <c r="N15" i="28" s="1"/>
  <c r="O8" i="28"/>
  <c r="O15" i="28" s="1"/>
  <c r="O16" i="28" s="1"/>
  <c r="H8" i="28"/>
  <c r="H15" i="28" s="1"/>
  <c r="P10" i="28"/>
  <c r="AC6" i="28"/>
  <c r="C50" i="27" l="1"/>
  <c r="Z8" i="28"/>
  <c r="Z15" i="28" s="1"/>
  <c r="Z16" i="28" s="1"/>
  <c r="Q8" i="28"/>
  <c r="Q15" i="28" s="1"/>
  <c r="Q16" i="28" s="1"/>
  <c r="C8" i="28"/>
  <c r="C15" i="28" s="1"/>
  <c r="C16" i="28" s="1"/>
  <c r="R11" i="28"/>
  <c r="P7" i="28"/>
  <c r="P9" i="28" s="1"/>
  <c r="Z14" i="28"/>
  <c r="AB8" i="28"/>
  <c r="AB15" i="28" s="1"/>
  <c r="AB16" i="28" s="1"/>
  <c r="R8" i="28"/>
  <c r="R15" i="28" s="1"/>
  <c r="R16" i="28" s="1"/>
  <c r="Y14" i="28"/>
  <c r="U14" i="28"/>
  <c r="R14" i="28"/>
  <c r="AD8" i="28"/>
  <c r="AD15" i="28" s="1"/>
  <c r="AD16" i="28" s="1"/>
  <c r="AE14" i="28"/>
  <c r="AE15" i="28" s="1"/>
  <c r="AE16" i="28" s="1"/>
  <c r="U8" i="28"/>
  <c r="U15" i="28" s="1"/>
  <c r="U16" i="28" s="1"/>
  <c r="T8" i="28"/>
  <c r="T15" i="28" s="1"/>
  <c r="C25" i="28" s="1"/>
  <c r="G25" i="28" s="1"/>
  <c r="J25" i="28" s="1"/>
  <c r="T14" i="28"/>
  <c r="V14" i="28"/>
  <c r="S8" i="28"/>
  <c r="S15" i="28" s="1"/>
  <c r="S16" i="28" s="1"/>
  <c r="AD14" i="28"/>
  <c r="X8" i="28"/>
  <c r="X15" i="28" s="1"/>
  <c r="V8" i="28"/>
  <c r="V15" i="28" s="1"/>
  <c r="V16" i="28" s="1"/>
  <c r="W14" i="28"/>
  <c r="AA14" i="28"/>
  <c r="X14" i="28"/>
  <c r="J8" i="28"/>
  <c r="J15" i="28" s="1"/>
  <c r="AB14" i="28"/>
  <c r="S14" i="28"/>
  <c r="Q14" i="28"/>
  <c r="F11" i="28"/>
  <c r="F8" i="28"/>
  <c r="F15" i="28" s="1"/>
  <c r="F16" i="28" s="1"/>
  <c r="E26" i="28" s="1"/>
  <c r="D8" i="28"/>
  <c r="D15" i="28" s="1"/>
  <c r="D16" i="28" s="1"/>
  <c r="E56" i="27"/>
  <c r="E57" i="27" s="1"/>
  <c r="E50" i="27"/>
  <c r="J11" i="28"/>
  <c r="K8" i="28"/>
  <c r="K15" i="28" s="1"/>
  <c r="K9" i="28"/>
  <c r="M8" i="28"/>
  <c r="M15" i="28" s="1"/>
  <c r="M16" i="28" s="1"/>
  <c r="M9" i="28"/>
  <c r="G8" i="28"/>
  <c r="G15" i="28" s="1"/>
  <c r="G16" i="28" s="1"/>
  <c r="G9" i="28"/>
  <c r="Y8" i="28"/>
  <c r="Y15" i="28" s="1"/>
  <c r="AA8" i="28"/>
  <c r="AA15" i="28" s="1"/>
  <c r="AA16" i="28" s="1"/>
  <c r="W8" i="28"/>
  <c r="W15" i="28" s="1"/>
  <c r="M11" i="28"/>
  <c r="AC14" i="28"/>
  <c r="AC7" i="28"/>
  <c r="AC9" i="28" s="1"/>
  <c r="H16" i="28"/>
  <c r="E24" i="28" s="1"/>
  <c r="C24" i="28"/>
  <c r="G24" i="28" s="1"/>
  <c r="J24" i="28" s="1"/>
  <c r="M24" i="28" s="1"/>
  <c r="O24" i="28" s="1"/>
  <c r="N16" i="28"/>
  <c r="I16" i="28"/>
  <c r="E29" i="28" s="1"/>
  <c r="C29" i="28"/>
  <c r="G29" i="28" s="1"/>
  <c r="J29" i="28" s="1"/>
  <c r="M29" i="28" s="1"/>
  <c r="O29" i="28" s="1"/>
  <c r="E16" i="28"/>
  <c r="P8" i="28" l="1"/>
  <c r="P15" i="28" s="1"/>
  <c r="E27" i="28"/>
  <c r="E28" i="28"/>
  <c r="C30" i="28"/>
  <c r="G30" i="28" s="1"/>
  <c r="J30" i="28" s="1"/>
  <c r="M30" i="28" s="1"/>
  <c r="O30" i="28" s="1"/>
  <c r="E23" i="28"/>
  <c r="E31" i="28"/>
  <c r="C31" i="28"/>
  <c r="G31" i="28" s="1"/>
  <c r="J31" i="28" s="1"/>
  <c r="M31" i="28" s="1"/>
  <c r="O31" i="28" s="1"/>
  <c r="T16" i="28"/>
  <c r="E25" i="28" s="1"/>
  <c r="C26" i="28"/>
  <c r="G26" i="28" s="1"/>
  <c r="J26" i="28" s="1"/>
  <c r="M26" i="28" s="1"/>
  <c r="O26" i="28" s="1"/>
  <c r="C28" i="28"/>
  <c r="G28" i="28" s="1"/>
  <c r="J28" i="28" s="1"/>
  <c r="M28" i="28" s="1"/>
  <c r="O28" i="28" s="1"/>
  <c r="C23" i="28"/>
  <c r="G23" i="28" s="1"/>
  <c r="J23" i="28" s="1"/>
  <c r="M23" i="28" s="1"/>
  <c r="O23" i="28" s="1"/>
  <c r="C27" i="28"/>
  <c r="G27" i="28" s="1"/>
  <c r="J27" i="28" s="1"/>
  <c r="M27" i="28" s="1"/>
  <c r="O27" i="28" s="1"/>
  <c r="C22" i="28"/>
  <c r="G22" i="28" s="1"/>
  <c r="J22" i="28" s="1"/>
  <c r="M22" i="28" s="1"/>
  <c r="O22" i="28" s="1"/>
  <c r="E22" i="28"/>
  <c r="F17" i="28"/>
  <c r="M17" i="28"/>
  <c r="E30" i="28"/>
  <c r="O25" i="28"/>
  <c r="M25" i="28"/>
  <c r="AC8" i="28"/>
  <c r="AC15" i="28" s="1"/>
  <c r="J17" i="28" l="1"/>
</calcChain>
</file>

<file path=xl/comments1.xml><?xml version="1.0" encoding="utf-8"?>
<comments xmlns="http://schemas.openxmlformats.org/spreadsheetml/2006/main">
  <authors>
    <author>Peter Bong</author>
  </authors>
  <commentList>
    <comment ref="B5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>
  <authors>
    <author>jamoore</author>
  </authors>
  <commentList>
    <comment ref="AD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L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9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<sst xmlns="http://schemas.openxmlformats.org/spreadsheetml/2006/main" count="2223" uniqueCount="235">
  <si>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</si>
  <si>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</si>
  <si>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</si>
  <si>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</si>
  <si>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</si>
  <si>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</si>
  <si>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</si>
  <si>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</si>
  <si>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</si>
  <si>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</si>
  <si>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</si>
  <si>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</si>
  <si>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</si>
  <si>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</si>
  <si>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</si>
  <si>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</si>
  <si>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</si>
  <si>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</si>
  <si>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</si>
  <si>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</si>
  <si>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</si>
  <si>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</si>
  <si>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</si>
  <si>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</si>
  <si>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</si>
  <si>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</si>
  <si>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</si>
  <si>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</si>
  <si>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</si>
  <si>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</si>
  <si>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</si>
  <si>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</si>
  <si>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</si>
  <si>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</si>
  <si>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</si>
  <si>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</si>
  <si>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</si>
  <si>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</si>
  <si>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</si>
  <si>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</si>
  <si>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</si>
  <si>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</si>
  <si>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</si>
  <si>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</si>
  <si>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</si>
  <si>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</si>
  <si>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</si>
  <si>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</si>
  <si>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</si>
  <si>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</si>
  <si>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</si>
  <si>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</si>
  <si>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</si>
  <si>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</si>
  <si>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</si>
  <si>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</si>
  <si>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</si>
  <si>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</si>
  <si>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</si>
  <si>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</si>
  <si>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</si>
  <si>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</si>
  <si>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</si>
  <si>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</si>
  <si>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</si>
  <si>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</si>
  <si>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</si>
  <si>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</si>
  <si>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</si>
  <si>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</si>
  <si>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</si>
  <si>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</si>
  <si>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</si>
  <si>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</si>
  <si>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</si>
  <si>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</si>
  <si>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</si>
  <si>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</si>
  <si>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</si>
  <si>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</si>
  <si>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</si>
  <si>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</si>
  <si>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</si>
  <si>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</si>
  <si>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</si>
  <si>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</si>
  <si>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</si>
  <si>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</si>
  <si>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</si>
  <si>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</si>
  <si>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</si>
  <si>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</si>
  <si>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</si>
  <si>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</si>
  <si>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</si>
  <si>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</si>
  <si>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</si>
  <si>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</si>
  <si>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</si>
  <si>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</si>
  <si>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</si>
  <si>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</si>
  <si>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</si>
  <si>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</si>
  <si>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</si>
  <si>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</si>
  <si>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</si>
  <si>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</si>
  <si>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</si>
  <si>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</si>
  <si>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</si>
  <si>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</si>
  <si>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</si>
  <si>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</si>
  <si>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</si>
  <si>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</si>
  <si>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</si>
  <si>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</si>
  <si>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</si>
  <si>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</si>
  <si>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</si>
  <si>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</si>
  <si>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</si>
  <si>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</si>
  <si>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</si>
  <si>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</si>
  <si>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</si>
  <si>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</si>
  <si>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</si>
  <si>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</si>
  <si>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</si>
  <si>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</si>
  <si>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</si>
  <si>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</si>
  <si>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</si>
  <si>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</si>
  <si>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</si>
  <si>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</si>
  <si>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</si>
  <si>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</si>
  <si>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</si>
  <si>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</si>
  <si>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</si>
  <si>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</si>
  <si>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</si>
  <si>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</si>
  <si>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</si>
  <si>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</si>
  <si>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</si>
  <si>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</si>
  <si>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</si>
  <si>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</si>
  <si>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</si>
  <si>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</si>
  <si>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</si>
  <si>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</si>
  <si>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</si>
  <si>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</si>
  <si>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</si>
  <si>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</si>
  <si>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2011 YTD Treated Raw Water Flows (MG)</t>
  </si>
  <si>
    <t>2011 YTD Finished Delivered Flows (MG) &amp; Ratios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</si>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</sst>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#,##0.0"/>
    <numFmt numFmtId="172" formatCode="mm/dd/yy;@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6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597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39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5" fontId="0" fillId="24" borderId="141" xfId="0" applyNumberFormat="1" applyFill="1" applyBorder="1" applyAlignment="1">
      <alignment horizontal="center"/>
    </xf>
    <xf numFmtId="165" fontId="0" fillId="24" borderId="142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4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5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6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50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5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165" fontId="0" fillId="24" borderId="143" xfId="0" applyNumberFormat="1" applyFill="1" applyBorder="1" applyAlignment="1">
      <alignment horizontal="center"/>
    </xf>
    <xf numFmtId="0" fontId="0" fillId="0" borderId="156" xfId="0" applyBorder="1" applyAlignment="1">
      <alignment horizontal="center" vertical="center" wrapText="1"/>
    </xf>
    <xf numFmtId="165" fontId="0" fillId="0" borderId="157" xfId="0" applyNumberFormat="1" applyBorder="1" applyAlignment="1">
      <alignment horizontal="center"/>
    </xf>
    <xf numFmtId="165" fontId="0" fillId="0" borderId="158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61" xfId="0" applyNumberFormat="1" applyBorder="1" applyAlignment="1">
      <alignment horizontal="center"/>
    </xf>
    <xf numFmtId="0" fontId="0" fillId="0" borderId="150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6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2" xfId="0" applyNumberFormat="1" applyFill="1" applyBorder="1" applyAlignment="1">
      <alignment horizontal="center"/>
    </xf>
    <xf numFmtId="0" fontId="0" fillId="27" borderId="150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3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171" fontId="0" fillId="27" borderId="165" xfId="0" applyNumberFormat="1" applyFill="1" applyBorder="1" applyAlignment="1">
      <alignment horizontal="center"/>
    </xf>
    <xf numFmtId="171" fontId="0" fillId="27" borderId="166" xfId="0" applyNumberFormat="1" applyFill="1" applyBorder="1" applyAlignment="1">
      <alignment horizontal="center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5" fontId="0" fillId="0" borderId="0" xfId="0" applyNumberFormat="1" applyBorder="1"/>
    <xf numFmtId="2" fontId="0" fillId="0" borderId="22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/>
    </xf>
    <xf numFmtId="2" fontId="0" fillId="0" borderId="43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2" fontId="0" fillId="0" borderId="27" xfId="0" applyNumberFormat="1" applyBorder="1" applyAlignment="1" applyProtection="1">
      <alignment horizontal="center"/>
    </xf>
    <xf numFmtId="2" fontId="0" fillId="0" borderId="16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/>
    </xf>
    <xf numFmtId="172" fontId="0" fillId="0" borderId="0" xfId="0" applyNumberFormat="1" applyFill="1" applyBorder="1" applyAlignment="1" applyProtection="1">
      <alignment horizontal="right"/>
    </xf>
    <xf numFmtId="14" fontId="0" fillId="0" borderId="0" xfId="0" applyNumberFormat="1"/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6" fillId="0" borderId="155" xfId="0" applyFont="1" applyBorder="1" applyAlignment="1">
      <alignment horizontal="center" vertical="center" textRotation="75"/>
    </xf>
    <xf numFmtId="0" fontId="16" fillId="0" borderId="160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4" xfId="0" applyBorder="1" applyAlignment="1"/>
    <xf numFmtId="0" fontId="16" fillId="0" borderId="152" xfId="0" applyFont="1" applyBorder="1" applyAlignment="1">
      <alignment horizontal="center" vertical="center" textRotation="75"/>
    </xf>
    <xf numFmtId="0" fontId="16" fillId="0" borderId="153" xfId="0" applyFont="1" applyBorder="1" applyAlignment="1">
      <alignment horizontal="center" vertical="center" textRotation="75"/>
    </xf>
    <xf numFmtId="0" fontId="0" fillId="0" borderId="154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165" fontId="0" fillId="22" borderId="30" xfId="0" applyNumberFormat="1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6" xfId="0" applyFont="1" applyFill="1" applyBorder="1" applyAlignment="1">
      <alignment horizontal="center" vertical="center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4" fillId="13" borderId="134" xfId="0" applyFont="1" applyFill="1" applyBorder="1" applyAlignment="1">
      <alignment horizontal="center" vertical="center"/>
    </xf>
    <xf numFmtId="1" fontId="14" fillId="0" borderId="86" xfId="0" applyNumberFormat="1" applyFont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7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49" fontId="11" fillId="0" borderId="55" xfId="0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14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22" borderId="14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10</xdr:col>
          <xdr:colOff>476250</xdr:colOff>
          <xdr:row>45</xdr:row>
          <xdr:rowOff>57150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95250</xdr:colOff>
          <xdr:row>45</xdr:row>
          <xdr:rowOff>28575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361950</xdr:colOff>
          <xdr:row>42</xdr:row>
          <xdr:rowOff>114300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0</xdr:row>
          <xdr:rowOff>0</xdr:rowOff>
        </xdr:from>
        <xdr:to>
          <xdr:col>20</xdr:col>
          <xdr:colOff>466725</xdr:colOff>
          <xdr:row>31</xdr:row>
          <xdr:rowOff>85725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files\Dept\Utilities%20Department\Divisions\Water%20Treatment\Binney\BWPF%20Operating%20Reports\BWPF%20Flow%20Reports%20and%20Query%20Tool\BWPF%20Monthly%20Plant%20Flows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4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3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10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95250</xdr:colOff>
                <xdr:row>45</xdr:row>
                <xdr:rowOff>28575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zoomScale="75" zoomScaleNormal="75" workbookViewId="0">
      <selection activeCell="AH42" sqref="AH42:AQ42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1" width="15.140625" customWidth="1"/>
    <col min="42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42156</v>
      </c>
      <c r="B8" s="49"/>
      <c r="C8" s="50">
        <v>63.791271952788151</v>
      </c>
      <c r="D8" s="50">
        <v>472.83383741378805</v>
      </c>
      <c r="E8" s="50">
        <v>7.2797283008694444</v>
      </c>
      <c r="F8" s="50">
        <v>0</v>
      </c>
      <c r="G8" s="50">
        <v>1710.0401435851907</v>
      </c>
      <c r="H8" s="51">
        <v>24.500572594006808</v>
      </c>
      <c r="I8" s="49">
        <v>356.32749802271502</v>
      </c>
      <c r="J8" s="50">
        <v>643.15605929692674</v>
      </c>
      <c r="K8" s="50">
        <v>32.927884872754369</v>
      </c>
      <c r="L8" s="50">
        <v>3.738784790039086E-3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317.71014341870614</v>
      </c>
      <c r="V8" s="54">
        <v>81.33849626024724</v>
      </c>
      <c r="W8" s="54">
        <v>26.270696201478753</v>
      </c>
      <c r="X8" s="54">
        <v>6.725686821783289</v>
      </c>
      <c r="Y8" s="54">
        <v>223.44172881633281</v>
      </c>
      <c r="Z8" s="54">
        <v>57.204387710588875</v>
      </c>
      <c r="AA8" s="55">
        <v>0</v>
      </c>
      <c r="AB8" s="56">
        <v>35.861402106285247</v>
      </c>
      <c r="AC8" s="57">
        <v>0</v>
      </c>
      <c r="AD8" s="57">
        <v>14.773433666096771</v>
      </c>
      <c r="AE8" s="58">
        <v>11.627144856477582</v>
      </c>
      <c r="AF8" s="58">
        <v>2.9767210711292376</v>
      </c>
      <c r="AG8" s="58">
        <v>0.79616896745798582</v>
      </c>
      <c r="AH8" s="57">
        <v>188.14449214140575</v>
      </c>
      <c r="AI8" s="57">
        <v>851.84622688293462</v>
      </c>
      <c r="AJ8" s="57">
        <v>3266.3440364837643</v>
      </c>
      <c r="AK8" s="57">
        <v>621.53264347712206</v>
      </c>
      <c r="AL8" s="57">
        <v>2738.5504847208654</v>
      </c>
      <c r="AM8" s="57">
        <v>2494.919068272909</v>
      </c>
      <c r="AN8" s="57">
        <v>633.34235178629547</v>
      </c>
      <c r="AO8" s="57">
        <v>1894.3833329518636</v>
      </c>
      <c r="AP8" s="57">
        <v>370.86863708496094</v>
      </c>
      <c r="AQ8" s="57">
        <v>878.87841850916539</v>
      </c>
    </row>
    <row r="9" spans="1:47" x14ac:dyDescent="0.25">
      <c r="A9" s="11">
        <v>42157</v>
      </c>
      <c r="B9" s="59"/>
      <c r="C9" s="60">
        <v>63.344024976094687</v>
      </c>
      <c r="D9" s="60">
        <v>471.01624628702916</v>
      </c>
      <c r="E9" s="60">
        <v>7.288514112432769</v>
      </c>
      <c r="F9" s="60">
        <v>0</v>
      </c>
      <c r="G9" s="60">
        <v>1806.3418791453005</v>
      </c>
      <c r="H9" s="61">
        <v>24.407136090596499</v>
      </c>
      <c r="I9" s="59">
        <v>411.26953943570447</v>
      </c>
      <c r="J9" s="60">
        <v>761.73967866897522</v>
      </c>
      <c r="K9" s="60">
        <v>38.973767813046877</v>
      </c>
      <c r="L9" s="60">
        <v>2.4075508117675894E-3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349.04046650920844</v>
      </c>
      <c r="V9" s="62">
        <v>79.737942208899071</v>
      </c>
      <c r="W9" s="62">
        <v>29.009538875192778</v>
      </c>
      <c r="X9" s="62">
        <v>6.6271998701786812</v>
      </c>
      <c r="Y9" s="66">
        <v>246.89887304143423</v>
      </c>
      <c r="Z9" s="66">
        <v>56.403798295693605</v>
      </c>
      <c r="AA9" s="67">
        <v>0</v>
      </c>
      <c r="AB9" s="68">
        <v>43.829127253426812</v>
      </c>
      <c r="AC9" s="69">
        <v>0</v>
      </c>
      <c r="AD9" s="69">
        <v>15.997406605548356</v>
      </c>
      <c r="AE9" s="68">
        <v>12.766512274773028</v>
      </c>
      <c r="AF9" s="68">
        <v>2.9164968410566683</v>
      </c>
      <c r="AG9" s="68">
        <v>0.81403461417918244</v>
      </c>
      <c r="AH9" s="69">
        <v>194.34663360118864</v>
      </c>
      <c r="AI9" s="69">
        <v>865.59866657257089</v>
      </c>
      <c r="AJ9" s="69">
        <v>3292.1089847564699</v>
      </c>
      <c r="AK9" s="69">
        <v>629.15936396916709</v>
      </c>
      <c r="AL9" s="69">
        <v>2825.9043556213378</v>
      </c>
      <c r="AM9" s="69">
        <v>2487.5232556660962</v>
      </c>
      <c r="AN9" s="69">
        <v>626.7184094746907</v>
      </c>
      <c r="AO9" s="69">
        <v>1872.6172730127969</v>
      </c>
      <c r="AP9" s="69">
        <v>387.48980798721317</v>
      </c>
      <c r="AQ9" s="69">
        <v>886.40677922566726</v>
      </c>
    </row>
    <row r="10" spans="1:47" x14ac:dyDescent="0.25">
      <c r="A10" s="11">
        <v>42158</v>
      </c>
      <c r="B10" s="59"/>
      <c r="C10" s="60">
        <v>63.128504971663304</v>
      </c>
      <c r="D10" s="60">
        <v>471.08711468378749</v>
      </c>
      <c r="E10" s="60">
        <v>7.2847579096754265</v>
      </c>
      <c r="F10" s="60">
        <v>0</v>
      </c>
      <c r="G10" s="60">
        <v>1793.1301710764449</v>
      </c>
      <c r="H10" s="61">
        <v>25.05467207034431</v>
      </c>
      <c r="I10" s="59">
        <v>467.85701732635511</v>
      </c>
      <c r="J10" s="60">
        <v>887.87684186299509</v>
      </c>
      <c r="K10" s="60">
        <v>45.355096507072389</v>
      </c>
      <c r="L10" s="60">
        <v>3.002357482910173E-3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430.4536562147203</v>
      </c>
      <c r="V10" s="62">
        <v>80.006884132903906</v>
      </c>
      <c r="W10" s="62">
        <v>35.855837782276915</v>
      </c>
      <c r="X10" s="62">
        <v>6.6643965442445818</v>
      </c>
      <c r="Y10" s="66">
        <v>312.43622408260035</v>
      </c>
      <c r="Z10" s="66">
        <v>58.071405407297775</v>
      </c>
      <c r="AA10" s="67">
        <v>0</v>
      </c>
      <c r="AB10" s="68">
        <v>53.70549417071954</v>
      </c>
      <c r="AC10" s="69">
        <v>0</v>
      </c>
      <c r="AD10" s="69">
        <v>19.535560743014042</v>
      </c>
      <c r="AE10" s="68">
        <v>16.140067682405519</v>
      </c>
      <c r="AF10" s="68">
        <v>2.9998967515316104</v>
      </c>
      <c r="AG10" s="68">
        <v>0.84326529122423621</v>
      </c>
      <c r="AH10" s="69">
        <v>268.04167625904086</v>
      </c>
      <c r="AI10" s="69">
        <v>920.72873795827229</v>
      </c>
      <c r="AJ10" s="69">
        <v>3252.808078130086</v>
      </c>
      <c r="AK10" s="69">
        <v>633.80353946685807</v>
      </c>
      <c r="AL10" s="69">
        <v>2728.7681229909263</v>
      </c>
      <c r="AM10" s="69">
        <v>2460.7797336578374</v>
      </c>
      <c r="AN10" s="69">
        <v>623.44273494084678</v>
      </c>
      <c r="AO10" s="69">
        <v>2273.0403748830163</v>
      </c>
      <c r="AP10" s="69">
        <v>368.62325361569719</v>
      </c>
      <c r="AQ10" s="69">
        <v>783.42015396753925</v>
      </c>
    </row>
    <row r="11" spans="1:47" x14ac:dyDescent="0.25">
      <c r="A11" s="11">
        <v>42159</v>
      </c>
      <c r="B11" s="59"/>
      <c r="C11" s="60">
        <v>66.465883914629856</v>
      </c>
      <c r="D11" s="60">
        <v>491.10736640294471</v>
      </c>
      <c r="E11" s="60">
        <v>7.2615342537561949</v>
      </c>
      <c r="F11" s="60">
        <v>0</v>
      </c>
      <c r="G11" s="60">
        <v>1813.0452247619467</v>
      </c>
      <c r="H11" s="61">
        <v>27.4024527291458</v>
      </c>
      <c r="I11" s="59">
        <v>488.30159422556579</v>
      </c>
      <c r="J11" s="60">
        <v>932.59775562286347</v>
      </c>
      <c r="K11" s="60">
        <v>47.631684563557222</v>
      </c>
      <c r="L11" s="60">
        <v>7.0524454116820418E-3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467.06879335016504</v>
      </c>
      <c r="V11" s="62">
        <v>75.368699274750853</v>
      </c>
      <c r="W11" s="62">
        <v>37.281495657389513</v>
      </c>
      <c r="X11" s="62">
        <v>6.0159399958201618</v>
      </c>
      <c r="Y11" s="66">
        <v>325.82722352052548</v>
      </c>
      <c r="Z11" s="66">
        <v>52.577209984214917</v>
      </c>
      <c r="AA11" s="67">
        <v>0</v>
      </c>
      <c r="AB11" s="68">
        <v>55.146719437175619</v>
      </c>
      <c r="AC11" s="69">
        <v>0</v>
      </c>
      <c r="AD11" s="69">
        <v>19.943571639060941</v>
      </c>
      <c r="AE11" s="68">
        <v>16.815690023868243</v>
      </c>
      <c r="AF11" s="68">
        <v>2.7134689847630029</v>
      </c>
      <c r="AG11" s="68">
        <v>0.86105551275588776</v>
      </c>
      <c r="AH11" s="69">
        <v>228.14593742688496</v>
      </c>
      <c r="AI11" s="69">
        <v>881.97407169342046</v>
      </c>
      <c r="AJ11" s="69">
        <v>3154.4844928741454</v>
      </c>
      <c r="AK11" s="69">
        <v>636.61756531397509</v>
      </c>
      <c r="AL11" s="69">
        <v>2637.2090370178221</v>
      </c>
      <c r="AM11" s="69">
        <v>2458.7888187408448</v>
      </c>
      <c r="AN11" s="69">
        <v>621.72132600148529</v>
      </c>
      <c r="AO11" s="69">
        <v>2352.9271789550785</v>
      </c>
      <c r="AP11" s="69">
        <v>368.54443697929383</v>
      </c>
      <c r="AQ11" s="69">
        <v>798.0558766365051</v>
      </c>
    </row>
    <row r="12" spans="1:47" x14ac:dyDescent="0.25">
      <c r="A12" s="11">
        <v>42160</v>
      </c>
      <c r="B12" s="59"/>
      <c r="C12" s="60">
        <v>65.226000861327378</v>
      </c>
      <c r="D12" s="60">
        <v>476.15398159027188</v>
      </c>
      <c r="E12" s="60">
        <v>7.2469644248485343</v>
      </c>
      <c r="F12" s="60">
        <v>0</v>
      </c>
      <c r="G12" s="60">
        <v>1756.4587509155242</v>
      </c>
      <c r="H12" s="61">
        <v>25.77068615257744</v>
      </c>
      <c r="I12" s="59">
        <v>410.66632947921738</v>
      </c>
      <c r="J12" s="60">
        <v>777.46013622284045</v>
      </c>
      <c r="K12" s="60">
        <v>39.66983167529115</v>
      </c>
      <c r="L12" s="60">
        <v>9.6198439598081734E-3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387.96232347042042</v>
      </c>
      <c r="V12" s="62">
        <v>46.841977367624018</v>
      </c>
      <c r="W12" s="62">
        <v>32.483333867235075</v>
      </c>
      <c r="X12" s="62">
        <v>3.9219880328147667</v>
      </c>
      <c r="Y12" s="66">
        <v>271.20564547867923</v>
      </c>
      <c r="Z12" s="66">
        <v>32.744954700356978</v>
      </c>
      <c r="AA12" s="67">
        <v>0</v>
      </c>
      <c r="AB12" s="68">
        <v>49.715243668026076</v>
      </c>
      <c r="AC12" s="69">
        <v>0</v>
      </c>
      <c r="AD12" s="69">
        <v>16.005416837003501</v>
      </c>
      <c r="AE12" s="68">
        <v>13.949035690456277</v>
      </c>
      <c r="AF12" s="68">
        <v>1.684185227750215</v>
      </c>
      <c r="AG12" s="68">
        <v>0.89226882697033927</v>
      </c>
      <c r="AH12" s="69">
        <v>217.35980489253996</v>
      </c>
      <c r="AI12" s="69">
        <v>868.864454682668</v>
      </c>
      <c r="AJ12" s="69">
        <v>3132.2051574707025</v>
      </c>
      <c r="AK12" s="69">
        <v>622.04294656117747</v>
      </c>
      <c r="AL12" s="69">
        <v>2688.6838485717776</v>
      </c>
      <c r="AM12" s="69">
        <v>2519.2314647674557</v>
      </c>
      <c r="AN12" s="69">
        <v>624.95697326660161</v>
      </c>
      <c r="AO12" s="69">
        <v>2037.7539848327635</v>
      </c>
      <c r="AP12" s="69">
        <v>303.46199391682944</v>
      </c>
      <c r="AQ12" s="69">
        <v>789.78504724502545</v>
      </c>
    </row>
    <row r="13" spans="1:47" x14ac:dyDescent="0.25">
      <c r="A13" s="11">
        <v>42161</v>
      </c>
      <c r="B13" s="59"/>
      <c r="C13" s="60">
        <v>64.045251218478185</v>
      </c>
      <c r="D13" s="60">
        <v>473.20719308853285</v>
      </c>
      <c r="E13" s="60">
        <v>7.2462134957313484</v>
      </c>
      <c r="F13" s="60">
        <v>0</v>
      </c>
      <c r="G13" s="60">
        <v>1692.8629534403467</v>
      </c>
      <c r="H13" s="61">
        <v>25.102561132113109</v>
      </c>
      <c r="I13" s="59">
        <v>371.47628984451177</v>
      </c>
      <c r="J13" s="60">
        <v>665.76422675450647</v>
      </c>
      <c r="K13" s="60">
        <v>33.848139741023374</v>
      </c>
      <c r="L13" s="60">
        <v>6.4201354980468073E-3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337.38596162481514</v>
      </c>
      <c r="V13" s="62">
        <v>44.176279272471483</v>
      </c>
      <c r="W13" s="62">
        <v>27.139189011254174</v>
      </c>
      <c r="X13" s="62">
        <v>3.5535218691842942</v>
      </c>
      <c r="Y13" s="66">
        <v>228.5937018589955</v>
      </c>
      <c r="Z13" s="66">
        <v>29.931355663460771</v>
      </c>
      <c r="AA13" s="67">
        <v>0</v>
      </c>
      <c r="AB13" s="68">
        <v>39.005253367953834</v>
      </c>
      <c r="AC13" s="69">
        <v>0</v>
      </c>
      <c r="AD13" s="69">
        <v>13.729105401039112</v>
      </c>
      <c r="AE13" s="68">
        <v>11.856479671754361</v>
      </c>
      <c r="AF13" s="68">
        <v>1.552450951561102</v>
      </c>
      <c r="AG13" s="68">
        <v>0.88422261288594495</v>
      </c>
      <c r="AH13" s="69">
        <v>219.0855621576309</v>
      </c>
      <c r="AI13" s="69">
        <v>868.30795809427877</v>
      </c>
      <c r="AJ13" s="69">
        <v>3208.1074785868336</v>
      </c>
      <c r="AK13" s="69">
        <v>614.57412316004445</v>
      </c>
      <c r="AL13" s="69">
        <v>2610.0918823242187</v>
      </c>
      <c r="AM13" s="69">
        <v>2482.1639264424643</v>
      </c>
      <c r="AN13" s="69">
        <v>624.25093342463174</v>
      </c>
      <c r="AO13" s="69">
        <v>1751.4534022013347</v>
      </c>
      <c r="AP13" s="69">
        <v>303.83277632395425</v>
      </c>
      <c r="AQ13" s="69">
        <v>773.7125914255779</v>
      </c>
    </row>
    <row r="14" spans="1:47" x14ac:dyDescent="0.25">
      <c r="A14" s="11">
        <v>42162</v>
      </c>
      <c r="B14" s="59"/>
      <c r="C14" s="60">
        <v>63.420113412539308</v>
      </c>
      <c r="D14" s="60">
        <v>471.44966901143493</v>
      </c>
      <c r="E14" s="60">
        <v>7.2505618308981177</v>
      </c>
      <c r="F14" s="60">
        <v>0</v>
      </c>
      <c r="G14" s="60">
        <v>1778.7906448364206</v>
      </c>
      <c r="H14" s="61">
        <v>24.460678486029284</v>
      </c>
      <c r="I14" s="59">
        <v>377.08532493909115</v>
      </c>
      <c r="J14" s="60">
        <v>665.91588576634808</v>
      </c>
      <c r="K14" s="60">
        <v>33.872437127431276</v>
      </c>
      <c r="L14" s="60">
        <v>4.8434257507324122E-3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337.50391023804247</v>
      </c>
      <c r="V14" s="62">
        <v>84.37722966555485</v>
      </c>
      <c r="W14" s="62">
        <v>27.04378099502777</v>
      </c>
      <c r="X14" s="62">
        <v>6.7610455785031043</v>
      </c>
      <c r="Y14" s="66">
        <v>231.19307843485629</v>
      </c>
      <c r="Z14" s="66">
        <v>57.799127312112802</v>
      </c>
      <c r="AA14" s="67">
        <v>0</v>
      </c>
      <c r="AB14" s="68">
        <v>39.867260935571672</v>
      </c>
      <c r="AC14" s="69">
        <v>0</v>
      </c>
      <c r="AD14" s="69">
        <v>15.337748232152727</v>
      </c>
      <c r="AE14" s="68">
        <v>11.999717450056693</v>
      </c>
      <c r="AF14" s="68">
        <v>2.9999738802761686</v>
      </c>
      <c r="AG14" s="68">
        <v>0.79999762567050137</v>
      </c>
      <c r="AH14" s="69">
        <v>212.76125965913135</v>
      </c>
      <c r="AI14" s="69">
        <v>867.64153089523325</v>
      </c>
      <c r="AJ14" s="69">
        <v>3180.1132002512613</v>
      </c>
      <c r="AK14" s="69">
        <v>619.27869354883831</v>
      </c>
      <c r="AL14" s="69">
        <v>2549.3699317932128</v>
      </c>
      <c r="AM14" s="69">
        <v>2412.824276987712</v>
      </c>
      <c r="AN14" s="69">
        <v>629.33710333506258</v>
      </c>
      <c r="AO14" s="69">
        <v>1960.3413543701174</v>
      </c>
      <c r="AP14" s="69">
        <v>308.26085708936057</v>
      </c>
      <c r="AQ14" s="69">
        <v>759.7182061195374</v>
      </c>
    </row>
    <row r="15" spans="1:47" x14ac:dyDescent="0.25">
      <c r="A15" s="11">
        <v>42163</v>
      </c>
      <c r="B15" s="59"/>
      <c r="C15" s="60">
        <v>63.788881111145173</v>
      </c>
      <c r="D15" s="60">
        <v>473.04493662516353</v>
      </c>
      <c r="E15" s="60">
        <v>7.2545374135176148</v>
      </c>
      <c r="F15" s="60">
        <v>0</v>
      </c>
      <c r="G15" s="60">
        <v>1778.2798419952373</v>
      </c>
      <c r="H15" s="61">
        <v>24.521336036920552</v>
      </c>
      <c r="I15" s="59">
        <v>376.96726878484031</v>
      </c>
      <c r="J15" s="60">
        <v>665.79050626754906</v>
      </c>
      <c r="K15" s="60">
        <v>33.915895309050882</v>
      </c>
      <c r="L15" s="60">
        <v>7.3548316955565386E-3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338.07736401770751</v>
      </c>
      <c r="V15" s="62">
        <v>84.511148106253557</v>
      </c>
      <c r="W15" s="62">
        <v>27.043086515760812</v>
      </c>
      <c r="X15" s="62">
        <v>6.7601162722742529</v>
      </c>
      <c r="Y15" s="66">
        <v>233.55445518270724</v>
      </c>
      <c r="Z15" s="66">
        <v>58.382953884446735</v>
      </c>
      <c r="AA15" s="67">
        <v>0</v>
      </c>
      <c r="AB15" s="68">
        <v>39.865797403123715</v>
      </c>
      <c r="AC15" s="69">
        <v>0</v>
      </c>
      <c r="AD15" s="69">
        <v>15.333405834436409</v>
      </c>
      <c r="AE15" s="68">
        <v>11.999125306204734</v>
      </c>
      <c r="AF15" s="68">
        <v>2.9994905421856335</v>
      </c>
      <c r="AG15" s="68">
        <v>0.80001550993070236</v>
      </c>
      <c r="AH15" s="69">
        <v>211.72435430685678</v>
      </c>
      <c r="AI15" s="69">
        <v>868.80573800404864</v>
      </c>
      <c r="AJ15" s="69">
        <v>3212.8848828633618</v>
      </c>
      <c r="AK15" s="69">
        <v>618.88990831375133</v>
      </c>
      <c r="AL15" s="69">
        <v>2621.2870933532718</v>
      </c>
      <c r="AM15" s="69">
        <v>2487.7938074747722</v>
      </c>
      <c r="AN15" s="69">
        <v>625.61335465113336</v>
      </c>
      <c r="AO15" s="69">
        <v>1945.1375012715657</v>
      </c>
      <c r="AP15" s="69">
        <v>345.11435945828754</v>
      </c>
      <c r="AQ15" s="69">
        <v>845.9437892913819</v>
      </c>
    </row>
    <row r="16" spans="1:47" x14ac:dyDescent="0.25">
      <c r="A16" s="11">
        <v>42162</v>
      </c>
      <c r="B16" s="59"/>
      <c r="C16" s="60">
        <v>63.420113412539308</v>
      </c>
      <c r="D16" s="60">
        <v>471.44966901143493</v>
      </c>
      <c r="E16" s="60">
        <v>7.2505618308981177</v>
      </c>
      <c r="F16" s="60">
        <v>0</v>
      </c>
      <c r="G16" s="60">
        <v>1778.7906448364206</v>
      </c>
      <c r="H16" s="61">
        <v>24.460678486029284</v>
      </c>
      <c r="I16" s="59">
        <v>377.08532493909115</v>
      </c>
      <c r="J16" s="60">
        <v>665.91588576634808</v>
      </c>
      <c r="K16" s="60">
        <v>33.872437127431276</v>
      </c>
      <c r="L16" s="60">
        <v>4.8434257507324122E-3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337.50391023804247</v>
      </c>
      <c r="V16" s="62">
        <v>84.37722966555485</v>
      </c>
      <c r="W16" s="62">
        <v>27.04378099502777</v>
      </c>
      <c r="X16" s="62">
        <v>6.7610455785031043</v>
      </c>
      <c r="Y16" s="66">
        <v>231.19307843485629</v>
      </c>
      <c r="Z16" s="66">
        <v>57.799127312112802</v>
      </c>
      <c r="AA16" s="67">
        <v>0</v>
      </c>
      <c r="AB16" s="68">
        <v>39.867260935571672</v>
      </c>
      <c r="AC16" s="69">
        <v>0</v>
      </c>
      <c r="AD16" s="69">
        <v>15.337748232152727</v>
      </c>
      <c r="AE16" s="68">
        <v>11.999717450056693</v>
      </c>
      <c r="AF16" s="68">
        <v>2.9999738802761686</v>
      </c>
      <c r="AG16" s="68">
        <v>0.79999762567050137</v>
      </c>
      <c r="AH16" s="69">
        <v>212.76125965913135</v>
      </c>
      <c r="AI16" s="69">
        <v>867.64153089523325</v>
      </c>
      <c r="AJ16" s="69">
        <v>3180.1132002512613</v>
      </c>
      <c r="AK16" s="69">
        <v>619.27869354883831</v>
      </c>
      <c r="AL16" s="69">
        <v>2549.3699317932128</v>
      </c>
      <c r="AM16" s="69">
        <v>2412.824276987712</v>
      </c>
      <c r="AN16" s="69">
        <v>629.33710333506258</v>
      </c>
      <c r="AO16" s="69">
        <v>1960.3413543701174</v>
      </c>
      <c r="AP16" s="69">
        <v>308.26085708936057</v>
      </c>
      <c r="AQ16" s="69">
        <v>759.7182061195374</v>
      </c>
    </row>
    <row r="17" spans="1:43" x14ac:dyDescent="0.25">
      <c r="A17" s="11">
        <v>42165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506.53733091354439</v>
      </c>
      <c r="J17" s="50">
        <v>924.30743707021077</v>
      </c>
      <c r="K17" s="50">
        <v>46.83312393426894</v>
      </c>
      <c r="L17" s="60">
        <v>8.8651895523069717E-3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481.88899038406254</v>
      </c>
      <c r="V17" s="66">
        <v>-3.530900004555023</v>
      </c>
      <c r="W17" s="62">
        <v>36.496047269416259</v>
      </c>
      <c r="X17" s="62">
        <v>-0.26741406432032921</v>
      </c>
      <c r="Y17" s="66">
        <v>321.3307404022371</v>
      </c>
      <c r="Z17" s="66">
        <v>-2.3544565976609455</v>
      </c>
      <c r="AA17" s="67">
        <v>0</v>
      </c>
      <c r="AB17" s="68">
        <v>45.781752859221768</v>
      </c>
      <c r="AC17" s="69">
        <v>0</v>
      </c>
      <c r="AD17" s="69">
        <v>16.772753798961642</v>
      </c>
      <c r="AE17" s="68">
        <v>16.701234902648412</v>
      </c>
      <c r="AF17" s="68">
        <v>-0.12237339215165784</v>
      </c>
      <c r="AG17" s="68">
        <v>1.0073812904507453</v>
      </c>
      <c r="AH17" s="69">
        <v>227.51707670688629</v>
      </c>
      <c r="AI17" s="69">
        <v>495.53919337590531</v>
      </c>
      <c r="AJ17" s="69">
        <v>1318.4456808725993</v>
      </c>
      <c r="AK17" s="69">
        <v>633.86540587743127</v>
      </c>
      <c r="AL17" s="69">
        <v>1388.1943342844647</v>
      </c>
      <c r="AM17" s="69">
        <v>2428.1224962870283</v>
      </c>
      <c r="AN17" s="69">
        <v>621.50997565587363</v>
      </c>
      <c r="AO17" s="69">
        <v>1916.5172421773275</v>
      </c>
      <c r="AP17" s="69">
        <v>350.98003648122148</v>
      </c>
      <c r="AQ17" s="69">
        <v>879.13728011449177</v>
      </c>
    </row>
    <row r="18" spans="1:43" x14ac:dyDescent="0.25">
      <c r="A18" s="11">
        <v>42166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475.68280948003076</v>
      </c>
      <c r="J18" s="60">
        <v>923.63779563903643</v>
      </c>
      <c r="K18" s="60">
        <v>47.179611106713587</v>
      </c>
      <c r="L18" s="60">
        <v>1.4910554885863986E-2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515.02389751010367</v>
      </c>
      <c r="V18" s="62">
        <v>0</v>
      </c>
      <c r="W18" s="62">
        <v>38.083313314119984</v>
      </c>
      <c r="X18" s="62">
        <v>0</v>
      </c>
      <c r="Y18" s="66">
        <v>333.08970014254299</v>
      </c>
      <c r="Z18" s="66">
        <v>0</v>
      </c>
      <c r="AA18" s="67">
        <v>0</v>
      </c>
      <c r="AB18" s="68">
        <v>55.160141385926089</v>
      </c>
      <c r="AC18" s="69">
        <v>0</v>
      </c>
      <c r="AD18" s="69">
        <v>17.189448491732296</v>
      </c>
      <c r="AE18" s="68">
        <v>16.999748443815786</v>
      </c>
      <c r="AF18" s="68">
        <v>0</v>
      </c>
      <c r="AG18" s="68">
        <v>1</v>
      </c>
      <c r="AH18" s="69">
        <v>197.6536605755488</v>
      </c>
      <c r="AI18" s="69">
        <v>465.66725797653186</v>
      </c>
      <c r="AJ18" s="69">
        <v>1285.9426571528115</v>
      </c>
      <c r="AK18" s="69">
        <v>637.50479605992643</v>
      </c>
      <c r="AL18" s="69">
        <v>1388.5249142964676</v>
      </c>
      <c r="AM18" s="69">
        <v>2344.5211462656653</v>
      </c>
      <c r="AN18" s="69">
        <v>623.43630266189587</v>
      </c>
      <c r="AO18" s="69">
        <v>2043.5089049021406</v>
      </c>
      <c r="AP18" s="69">
        <v>354.36021596590689</v>
      </c>
      <c r="AQ18" s="69">
        <v>823.88463983535769</v>
      </c>
    </row>
    <row r="19" spans="1:43" x14ac:dyDescent="0.25">
      <c r="A19" s="11">
        <v>42167</v>
      </c>
      <c r="B19" s="59"/>
      <c r="C19" s="60">
        <v>0</v>
      </c>
      <c r="D19" s="60">
        <v>0</v>
      </c>
      <c r="E19" s="60">
        <v>0.60375654449065597</v>
      </c>
      <c r="F19" s="60">
        <v>0</v>
      </c>
      <c r="G19" s="60">
        <v>0</v>
      </c>
      <c r="H19" s="61">
        <v>0</v>
      </c>
      <c r="I19" s="59">
        <v>467.08489615122471</v>
      </c>
      <c r="J19" s="60">
        <v>924.07269744872951</v>
      </c>
      <c r="K19" s="60">
        <v>46.953701217969225</v>
      </c>
      <c r="L19" s="60">
        <v>1.2233138084411378E-2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468.18314823574576</v>
      </c>
      <c r="V19" s="62">
        <v>0</v>
      </c>
      <c r="W19" s="62">
        <v>37.714507404963157</v>
      </c>
      <c r="X19" s="62">
        <v>0</v>
      </c>
      <c r="Y19" s="66">
        <v>326.67401539484621</v>
      </c>
      <c r="Z19" s="66">
        <v>0</v>
      </c>
      <c r="AA19" s="67">
        <v>0</v>
      </c>
      <c r="AB19" s="68">
        <v>56.723605211576455</v>
      </c>
      <c r="AC19" s="69">
        <v>0</v>
      </c>
      <c r="AD19" s="69">
        <v>17.195268005794944</v>
      </c>
      <c r="AE19" s="68">
        <v>17.002135702511076</v>
      </c>
      <c r="AF19" s="68">
        <v>0</v>
      </c>
      <c r="AG19" s="68">
        <v>1</v>
      </c>
      <c r="AH19" s="69">
        <v>211.79703924655914</v>
      </c>
      <c r="AI19" s="69">
        <v>460.53205763498937</v>
      </c>
      <c r="AJ19" s="69">
        <v>1143.6269183476763</v>
      </c>
      <c r="AK19" s="69">
        <v>633.88307409286506</v>
      </c>
      <c r="AL19" s="69">
        <v>1360.5370947519939</v>
      </c>
      <c r="AM19" s="69">
        <v>2397.9219515482591</v>
      </c>
      <c r="AN19" s="69">
        <v>614.77768681844066</v>
      </c>
      <c r="AO19" s="69">
        <v>2021.4480703989664</v>
      </c>
      <c r="AP19" s="69">
        <v>332.55306611061104</v>
      </c>
      <c r="AQ19" s="69">
        <v>714.17579110463453</v>
      </c>
    </row>
    <row r="20" spans="1:43" x14ac:dyDescent="0.25">
      <c r="A20" s="11">
        <v>42168</v>
      </c>
      <c r="B20" s="59"/>
      <c r="C20" s="60">
        <v>0</v>
      </c>
      <c r="D20" s="60">
        <v>0</v>
      </c>
      <c r="E20" s="60">
        <v>0.60941402117411347</v>
      </c>
      <c r="F20" s="60">
        <v>0</v>
      </c>
      <c r="G20" s="60">
        <v>0</v>
      </c>
      <c r="H20" s="61">
        <v>0</v>
      </c>
      <c r="I20" s="59">
        <v>408.33643490473446</v>
      </c>
      <c r="J20" s="60">
        <v>807.78528207143086</v>
      </c>
      <c r="K20" s="60">
        <v>41.216716676950462</v>
      </c>
      <c r="L20" s="60">
        <v>1.3168358802795117E-2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405.33263367547386</v>
      </c>
      <c r="V20" s="62">
        <v>0</v>
      </c>
      <c r="W20" s="62">
        <v>33.11995617548628</v>
      </c>
      <c r="X20" s="62">
        <v>0</v>
      </c>
      <c r="Y20" s="66">
        <v>285.09686837196381</v>
      </c>
      <c r="Z20" s="66">
        <v>0</v>
      </c>
      <c r="AA20" s="67">
        <v>0</v>
      </c>
      <c r="AB20" s="68">
        <v>50.906435381041419</v>
      </c>
      <c r="AC20" s="69">
        <v>0</v>
      </c>
      <c r="AD20" s="69">
        <v>15.002725112438204</v>
      </c>
      <c r="AE20" s="68">
        <v>14.81874802277995</v>
      </c>
      <c r="AF20" s="68">
        <v>0</v>
      </c>
      <c r="AG20" s="68">
        <v>1</v>
      </c>
      <c r="AH20" s="69">
        <v>195.66866962114969</v>
      </c>
      <c r="AI20" s="69">
        <v>459.84430360794067</v>
      </c>
      <c r="AJ20" s="69">
        <v>1220.7139872233072</v>
      </c>
      <c r="AK20" s="69">
        <v>651.32744407653809</v>
      </c>
      <c r="AL20" s="69">
        <v>1356.7686929066974</v>
      </c>
      <c r="AM20" s="69">
        <v>2319.0344838460292</v>
      </c>
      <c r="AN20" s="69">
        <v>615.62667617797865</v>
      </c>
      <c r="AO20" s="69">
        <v>2056.3843273162843</v>
      </c>
      <c r="AP20" s="69">
        <v>343.86464978853866</v>
      </c>
      <c r="AQ20" s="69">
        <v>791.94848244984962</v>
      </c>
    </row>
    <row r="21" spans="1:43" x14ac:dyDescent="0.25">
      <c r="A21" s="11">
        <v>42169</v>
      </c>
      <c r="B21" s="59"/>
      <c r="C21" s="60">
        <v>0</v>
      </c>
      <c r="D21" s="60">
        <v>0</v>
      </c>
      <c r="E21" s="60">
        <v>0.61880622059106849</v>
      </c>
      <c r="F21" s="60">
        <v>0</v>
      </c>
      <c r="G21" s="60">
        <v>0</v>
      </c>
      <c r="H21" s="61">
        <v>0</v>
      </c>
      <c r="I21" s="59">
        <v>399.78663609822587</v>
      </c>
      <c r="J21" s="60">
        <v>790.92868865331002</v>
      </c>
      <c r="K21" s="60">
        <v>40.014583675066604</v>
      </c>
      <c r="L21" s="60">
        <v>1.0488712787627962E-2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396.7742523617265</v>
      </c>
      <c r="V21" s="62">
        <v>0</v>
      </c>
      <c r="W21" s="62">
        <v>32.189089592297833</v>
      </c>
      <c r="X21" s="62">
        <v>0</v>
      </c>
      <c r="Y21" s="66">
        <v>279.40268001556439</v>
      </c>
      <c r="Z21" s="66">
        <v>0</v>
      </c>
      <c r="AA21" s="67">
        <v>0</v>
      </c>
      <c r="AB21" s="68">
        <v>40.852641667259761</v>
      </c>
      <c r="AC21" s="69">
        <v>0</v>
      </c>
      <c r="AD21" s="69">
        <v>14.678958593474505</v>
      </c>
      <c r="AE21" s="68">
        <v>14.499764389509657</v>
      </c>
      <c r="AF21" s="68">
        <v>0</v>
      </c>
      <c r="AG21" s="68">
        <v>1</v>
      </c>
      <c r="AH21" s="69">
        <v>199.6506610234579</v>
      </c>
      <c r="AI21" s="69">
        <v>464.91371831893917</v>
      </c>
      <c r="AJ21" s="69">
        <v>1346.6560256322223</v>
      </c>
      <c r="AK21" s="69">
        <v>642.04192431767785</v>
      </c>
      <c r="AL21" s="69">
        <v>1368.3755915323895</v>
      </c>
      <c r="AM21" s="69">
        <v>2311.9838297526048</v>
      </c>
      <c r="AN21" s="69">
        <v>615.63175236384063</v>
      </c>
      <c r="AO21" s="69">
        <v>2019.9729297637939</v>
      </c>
      <c r="AP21" s="69">
        <v>368.61353336970012</v>
      </c>
      <c r="AQ21" s="69">
        <v>813.38227977752683</v>
      </c>
    </row>
    <row r="22" spans="1:43" x14ac:dyDescent="0.25">
      <c r="A22" s="11">
        <v>42170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408.65910177230865</v>
      </c>
      <c r="J22" s="60">
        <v>797.66303164164174</v>
      </c>
      <c r="K22" s="60">
        <v>40.299789834022505</v>
      </c>
      <c r="L22" s="60">
        <v>9.5826029777525065E-3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396.37546064588196</v>
      </c>
      <c r="V22" s="62">
        <v>0</v>
      </c>
      <c r="W22" s="62">
        <v>32.241112347443895</v>
      </c>
      <c r="X22" s="62">
        <v>0</v>
      </c>
      <c r="Y22" s="66">
        <v>279.11848239898688</v>
      </c>
      <c r="Z22" s="66">
        <v>0</v>
      </c>
      <c r="AA22" s="67">
        <v>0</v>
      </c>
      <c r="AB22" s="68">
        <v>41.103684364424701</v>
      </c>
      <c r="AC22" s="69">
        <v>0</v>
      </c>
      <c r="AD22" s="69">
        <v>14.800809479422064</v>
      </c>
      <c r="AE22" s="68">
        <v>14.624633759503318</v>
      </c>
      <c r="AF22" s="68">
        <v>0</v>
      </c>
      <c r="AG22" s="68">
        <v>1</v>
      </c>
      <c r="AH22" s="69">
        <v>199.78344878355665</v>
      </c>
      <c r="AI22" s="69">
        <v>456.3334790070852</v>
      </c>
      <c r="AJ22" s="69">
        <v>1350.4086806615194</v>
      </c>
      <c r="AK22" s="69">
        <v>623.10166184107447</v>
      </c>
      <c r="AL22" s="69">
        <v>1403.0905725479124</v>
      </c>
      <c r="AM22" s="69">
        <v>2441.3108273824059</v>
      </c>
      <c r="AN22" s="69">
        <v>617.35761213302612</v>
      </c>
      <c r="AO22" s="69">
        <v>1815.9440940856937</v>
      </c>
      <c r="AP22" s="69">
        <v>344.95997171401979</v>
      </c>
      <c r="AQ22" s="69">
        <v>782.3391404787701</v>
      </c>
    </row>
    <row r="23" spans="1:43" x14ac:dyDescent="0.25">
      <c r="A23" s="11">
        <v>42171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497.09936469395939</v>
      </c>
      <c r="J23" s="60">
        <v>938.61061223347986</v>
      </c>
      <c r="K23" s="60">
        <v>47.931430683533321</v>
      </c>
      <c r="L23" s="60">
        <v>8.3743691444395606E-3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442.24253785875158</v>
      </c>
      <c r="V23" s="62">
        <v>0</v>
      </c>
      <c r="W23" s="62">
        <v>34.731366892655714</v>
      </c>
      <c r="X23" s="62">
        <v>0</v>
      </c>
      <c r="Y23" s="66">
        <v>299.13974202473958</v>
      </c>
      <c r="Z23" s="66">
        <v>0</v>
      </c>
      <c r="AA23" s="67">
        <v>0</v>
      </c>
      <c r="AB23" s="68">
        <v>54.944510417515282</v>
      </c>
      <c r="AC23" s="69">
        <v>0</v>
      </c>
      <c r="AD23" s="69">
        <v>16.146548391381899</v>
      </c>
      <c r="AE23" s="68">
        <v>15.81431174688813</v>
      </c>
      <c r="AF23" s="68">
        <v>0</v>
      </c>
      <c r="AG23" s="68">
        <v>1</v>
      </c>
      <c r="AH23" s="69">
        <v>199.70377354621888</v>
      </c>
      <c r="AI23" s="69">
        <v>458.43966272672009</v>
      </c>
      <c r="AJ23" s="69">
        <v>1408.9273427327478</v>
      </c>
      <c r="AK23" s="69">
        <v>633.30191771189391</v>
      </c>
      <c r="AL23" s="69">
        <v>1409.6819704055783</v>
      </c>
      <c r="AM23" s="69">
        <v>2420.2023593902591</v>
      </c>
      <c r="AN23" s="69">
        <v>615.29099038441962</v>
      </c>
      <c r="AO23" s="69">
        <v>1960.6511182785034</v>
      </c>
      <c r="AP23" s="69">
        <v>347.1839204152426</v>
      </c>
      <c r="AQ23" s="69">
        <v>826.91889979044606</v>
      </c>
    </row>
    <row r="24" spans="1:43" x14ac:dyDescent="0.25">
      <c r="A24" s="11">
        <v>42172</v>
      </c>
      <c r="B24" s="59"/>
      <c r="C24" s="60">
        <v>0</v>
      </c>
      <c r="D24" s="60">
        <v>0</v>
      </c>
      <c r="E24" s="60">
        <v>0.61403701206048289</v>
      </c>
      <c r="F24" s="60">
        <v>0</v>
      </c>
      <c r="G24" s="60">
        <v>0</v>
      </c>
      <c r="H24" s="61">
        <v>0</v>
      </c>
      <c r="I24" s="59">
        <v>543.17998549143454</v>
      </c>
      <c r="J24" s="60">
        <v>998.15884831746428</v>
      </c>
      <c r="K24" s="60">
        <v>52.362608762582042</v>
      </c>
      <c r="L24" s="60">
        <v>9.2710375785825944E-3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502.12699718475369</v>
      </c>
      <c r="V24" s="62">
        <v>0</v>
      </c>
      <c r="W24" s="62">
        <v>37.633540360132912</v>
      </c>
      <c r="X24" s="62">
        <v>0</v>
      </c>
      <c r="Y24" s="66">
        <v>329.24433054129287</v>
      </c>
      <c r="Z24" s="66">
        <v>0</v>
      </c>
      <c r="AA24" s="67">
        <v>0</v>
      </c>
      <c r="AB24" s="68">
        <v>62.255935904714313</v>
      </c>
      <c r="AC24" s="69">
        <v>0</v>
      </c>
      <c r="AD24" s="69">
        <v>18.740553480055585</v>
      </c>
      <c r="AE24" s="68">
        <v>18.327794811121617</v>
      </c>
      <c r="AF24" s="68">
        <v>0</v>
      </c>
      <c r="AG24" s="68">
        <v>1</v>
      </c>
      <c r="AH24" s="69">
        <v>198.00317297776542</v>
      </c>
      <c r="AI24" s="69">
        <v>464.36106030146283</v>
      </c>
      <c r="AJ24" s="69">
        <v>1373.4890340169272</v>
      </c>
      <c r="AK24" s="69">
        <v>640.59885393778484</v>
      </c>
      <c r="AL24" s="69">
        <v>1353.8415140151974</v>
      </c>
      <c r="AM24" s="69">
        <v>2396.7066251118981</v>
      </c>
      <c r="AN24" s="69">
        <v>617.84624951680507</v>
      </c>
      <c r="AO24" s="69">
        <v>2148.131881078084</v>
      </c>
      <c r="AP24" s="69">
        <v>374.23321213722227</v>
      </c>
      <c r="AQ24" s="69">
        <v>858.07943445841454</v>
      </c>
    </row>
    <row r="25" spans="1:43" x14ac:dyDescent="0.25">
      <c r="A25" s="11">
        <v>42173</v>
      </c>
      <c r="B25" s="59"/>
      <c r="C25" s="60">
        <v>0</v>
      </c>
      <c r="D25" s="60">
        <v>0</v>
      </c>
      <c r="E25" s="60">
        <v>0.60740576684475012</v>
      </c>
      <c r="F25" s="60">
        <v>0</v>
      </c>
      <c r="G25" s="60">
        <v>0</v>
      </c>
      <c r="H25" s="61">
        <v>0</v>
      </c>
      <c r="I25" s="59">
        <v>538.41845318476328</v>
      </c>
      <c r="J25" s="60">
        <v>1083.1660833994558</v>
      </c>
      <c r="K25" s="60">
        <v>59.434686219692132</v>
      </c>
      <c r="L25" s="60">
        <v>1.085692644119241E-2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583.57163793775476</v>
      </c>
      <c r="V25" s="62">
        <v>0</v>
      </c>
      <c r="W25" s="62">
        <v>48.095780336856855</v>
      </c>
      <c r="X25" s="62">
        <v>0</v>
      </c>
      <c r="Y25" s="66">
        <v>386.0356169541688</v>
      </c>
      <c r="Z25" s="66">
        <v>0</v>
      </c>
      <c r="AA25" s="67">
        <v>0</v>
      </c>
      <c r="AB25" s="68">
        <v>64.704797678521885</v>
      </c>
      <c r="AC25" s="69">
        <v>0</v>
      </c>
      <c r="AD25" s="69">
        <v>21.691010468535904</v>
      </c>
      <c r="AE25" s="68">
        <v>21.28728954673177</v>
      </c>
      <c r="AF25" s="68">
        <v>0</v>
      </c>
      <c r="AG25" s="68">
        <v>1</v>
      </c>
      <c r="AH25" s="69">
        <v>195.05733228524525</v>
      </c>
      <c r="AI25" s="69">
        <v>461.47121407190957</v>
      </c>
      <c r="AJ25" s="69">
        <v>1337.1504821777341</v>
      </c>
      <c r="AK25" s="69">
        <v>641.17879098256412</v>
      </c>
      <c r="AL25" s="69">
        <v>1263.8414982477823</v>
      </c>
      <c r="AM25" s="69">
        <v>2381.5044405619306</v>
      </c>
      <c r="AN25" s="69">
        <v>614.85180082321153</v>
      </c>
      <c r="AO25" s="69">
        <v>2468.7501073201497</v>
      </c>
      <c r="AP25" s="69">
        <v>376.3416640122731</v>
      </c>
      <c r="AQ25" s="69">
        <v>891.91536537806178</v>
      </c>
    </row>
    <row r="26" spans="1:43" x14ac:dyDescent="0.25">
      <c r="A26" s="11">
        <v>42174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592.78228511810221</v>
      </c>
      <c r="J26" s="60">
        <v>1115.7965199788403</v>
      </c>
      <c r="K26" s="60">
        <v>61.323036138216509</v>
      </c>
      <c r="L26" s="60">
        <v>1.0336863994598206E-2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603.20877910189722</v>
      </c>
      <c r="V26" s="62">
        <v>0</v>
      </c>
      <c r="W26" s="62">
        <v>52.744482644398985</v>
      </c>
      <c r="X26" s="62">
        <v>0</v>
      </c>
      <c r="Y26" s="66">
        <v>398.76436967849833</v>
      </c>
      <c r="Z26" s="66">
        <v>0</v>
      </c>
      <c r="AA26" s="67">
        <v>0</v>
      </c>
      <c r="AB26" s="68">
        <v>62.086707300609078</v>
      </c>
      <c r="AC26" s="69">
        <v>0</v>
      </c>
      <c r="AD26" s="69">
        <v>22.408196200264847</v>
      </c>
      <c r="AE26" s="68">
        <v>21.999501461172038</v>
      </c>
      <c r="AF26" s="68">
        <v>0</v>
      </c>
      <c r="AG26" s="68">
        <v>1</v>
      </c>
      <c r="AH26" s="69">
        <v>200.21136815547942</v>
      </c>
      <c r="AI26" s="69">
        <v>474.44325195948289</v>
      </c>
      <c r="AJ26" s="69">
        <v>1407.4224086761471</v>
      </c>
      <c r="AK26" s="69">
        <v>651.72378985087073</v>
      </c>
      <c r="AL26" s="69">
        <v>1317.427636082967</v>
      </c>
      <c r="AM26" s="69">
        <v>2390.6857048034663</v>
      </c>
      <c r="AN26" s="69">
        <v>626.47963418960558</v>
      </c>
      <c r="AO26" s="69">
        <v>2729.1378940582276</v>
      </c>
      <c r="AP26" s="69">
        <v>411.15504387219755</v>
      </c>
      <c r="AQ26" s="69">
        <v>962.76608667373671</v>
      </c>
    </row>
    <row r="27" spans="1:43" x14ac:dyDescent="0.25">
      <c r="A27" s="11">
        <v>42175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588.19158881505314</v>
      </c>
      <c r="J27" s="60">
        <v>1025.2490261713672</v>
      </c>
      <c r="K27" s="60">
        <v>56.077993845939709</v>
      </c>
      <c r="L27" s="60">
        <v>9.7893953323362481E-3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553.42025714449949</v>
      </c>
      <c r="V27" s="62">
        <v>0</v>
      </c>
      <c r="W27" s="62">
        <v>46.810713978608341</v>
      </c>
      <c r="X27" s="62">
        <v>0</v>
      </c>
      <c r="Y27" s="62">
        <v>366.23169484138555</v>
      </c>
      <c r="Z27" s="62">
        <v>0</v>
      </c>
      <c r="AA27" s="72">
        <v>0</v>
      </c>
      <c r="AB27" s="69">
        <v>64.337551943462373</v>
      </c>
      <c r="AC27" s="69">
        <v>0</v>
      </c>
      <c r="AD27" s="69">
        <v>20.579749214649201</v>
      </c>
      <c r="AE27" s="69">
        <v>20.180330412632081</v>
      </c>
      <c r="AF27" s="69">
        <v>0</v>
      </c>
      <c r="AG27" s="69">
        <v>1</v>
      </c>
      <c r="AH27" s="69">
        <v>208.77086095809938</v>
      </c>
      <c r="AI27" s="69">
        <v>485.12576198577892</v>
      </c>
      <c r="AJ27" s="69">
        <v>1418.1888369242349</v>
      </c>
      <c r="AK27" s="69">
        <v>649.3498145103456</v>
      </c>
      <c r="AL27" s="69">
        <v>1371.1805874506636</v>
      </c>
      <c r="AM27" s="69">
        <v>2376.127537027995</v>
      </c>
      <c r="AN27" s="69">
        <v>629.08360773722325</v>
      </c>
      <c r="AO27" s="69">
        <v>2538.8986784617105</v>
      </c>
      <c r="AP27" s="69">
        <v>407.27585989634196</v>
      </c>
      <c r="AQ27" s="69">
        <v>887.72501649856576</v>
      </c>
    </row>
    <row r="28" spans="1:43" x14ac:dyDescent="0.25">
      <c r="A28" s="11">
        <v>42176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605.05104920069323</v>
      </c>
      <c r="J28" s="60">
        <v>1044.0573694864918</v>
      </c>
      <c r="K28" s="60">
        <v>57.509748562176995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548.16463139851942</v>
      </c>
      <c r="V28" s="62">
        <v>0</v>
      </c>
      <c r="W28" s="62">
        <v>45.834479558467791</v>
      </c>
      <c r="X28" s="62">
        <v>0</v>
      </c>
      <c r="Y28" s="66">
        <v>362.91922375361185</v>
      </c>
      <c r="Z28" s="66">
        <v>0</v>
      </c>
      <c r="AA28" s="67">
        <v>0</v>
      </c>
      <c r="AB28" s="68">
        <v>67.620823007160666</v>
      </c>
      <c r="AC28" s="69">
        <v>0</v>
      </c>
      <c r="AD28" s="69">
        <v>20.390976783964419</v>
      </c>
      <c r="AE28" s="68">
        <v>19.997980852754409</v>
      </c>
      <c r="AF28" s="68">
        <v>0</v>
      </c>
      <c r="AG28" s="68">
        <v>1</v>
      </c>
      <c r="AH28" s="69">
        <v>208.04066812197368</v>
      </c>
      <c r="AI28" s="69">
        <v>487.99827537536623</v>
      </c>
      <c r="AJ28" s="69">
        <v>1426.1257958730064</v>
      </c>
      <c r="AK28" s="69">
        <v>650.09121834437042</v>
      </c>
      <c r="AL28" s="69">
        <v>1373.2210305531821</v>
      </c>
      <c r="AM28" s="69">
        <v>2387.5776343027751</v>
      </c>
      <c r="AN28" s="69">
        <v>650.00672518412273</v>
      </c>
      <c r="AO28" s="69">
        <v>2409.2249599456786</v>
      </c>
      <c r="AP28" s="69">
        <v>419.99954884847011</v>
      </c>
      <c r="AQ28" s="69">
        <v>889.47124001185114</v>
      </c>
    </row>
    <row r="29" spans="1:43" x14ac:dyDescent="0.25">
      <c r="A29" s="11">
        <v>42177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632.85620807011833</v>
      </c>
      <c r="J29" s="60">
        <v>1102.6349981307983</v>
      </c>
      <c r="K29" s="60">
        <v>60.261623855431786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538.81340827942154</v>
      </c>
      <c r="V29" s="62">
        <v>0</v>
      </c>
      <c r="W29" s="62">
        <v>47.088702881336289</v>
      </c>
      <c r="X29" s="62">
        <v>0</v>
      </c>
      <c r="Y29" s="66">
        <v>355.7721662839258</v>
      </c>
      <c r="Z29" s="66">
        <v>0</v>
      </c>
      <c r="AA29" s="67">
        <v>0</v>
      </c>
      <c r="AB29" s="68">
        <v>75.337550677194173</v>
      </c>
      <c r="AC29" s="69">
        <v>0</v>
      </c>
      <c r="AD29" s="69">
        <v>19.983257714907314</v>
      </c>
      <c r="AE29" s="68">
        <v>19.689670202467237</v>
      </c>
      <c r="AF29" s="68">
        <v>0</v>
      </c>
      <c r="AG29" s="68">
        <v>1</v>
      </c>
      <c r="AH29" s="69">
        <v>211.8076203664144</v>
      </c>
      <c r="AI29" s="69">
        <v>481.57665548324576</v>
      </c>
      <c r="AJ29" s="69">
        <v>1370.2484784444175</v>
      </c>
      <c r="AK29" s="69">
        <v>643.76706431706759</v>
      </c>
      <c r="AL29" s="69">
        <v>1381.9922542572017</v>
      </c>
      <c r="AM29" s="69">
        <v>2396.4049789428709</v>
      </c>
      <c r="AN29" s="69">
        <v>631.20654595692952</v>
      </c>
      <c r="AO29" s="69">
        <v>2449.9333365122475</v>
      </c>
      <c r="AP29" s="69">
        <v>403.34681272506714</v>
      </c>
      <c r="AQ29" s="69">
        <v>849.54589010874452</v>
      </c>
    </row>
    <row r="30" spans="1:43" x14ac:dyDescent="0.25">
      <c r="A30" s="11">
        <v>42178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697.01816596984747</v>
      </c>
      <c r="J30" s="60">
        <v>1214.503449058534</v>
      </c>
      <c r="K30" s="60">
        <v>66.53632647593821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602.94062402513998</v>
      </c>
      <c r="V30" s="62">
        <v>0</v>
      </c>
      <c r="W30" s="62">
        <v>54.055771442254439</v>
      </c>
      <c r="X30" s="62">
        <v>0</v>
      </c>
      <c r="Y30" s="66">
        <v>419.42848315239013</v>
      </c>
      <c r="Z30" s="66">
        <v>0</v>
      </c>
      <c r="AA30" s="67">
        <v>0</v>
      </c>
      <c r="AB30" s="68">
        <v>80.213859038883328</v>
      </c>
      <c r="AC30" s="69">
        <v>0</v>
      </c>
      <c r="AD30" s="69">
        <v>22.330977082914792</v>
      </c>
      <c r="AE30" s="68">
        <v>21.997809045265633</v>
      </c>
      <c r="AF30" s="68">
        <v>0</v>
      </c>
      <c r="AG30" s="68">
        <v>1</v>
      </c>
      <c r="AH30" s="69">
        <v>220.08193394343058</v>
      </c>
      <c r="AI30" s="69">
        <v>491.43666254679351</v>
      </c>
      <c r="AJ30" s="69">
        <v>1392.067717679342</v>
      </c>
      <c r="AK30" s="69">
        <v>653.42629531224566</v>
      </c>
      <c r="AL30" s="69">
        <v>1347.3043137232462</v>
      </c>
      <c r="AM30" s="69">
        <v>2461.2727118174239</v>
      </c>
      <c r="AN30" s="69">
        <v>615.36345397631339</v>
      </c>
      <c r="AO30" s="69">
        <v>2785.3480117797858</v>
      </c>
      <c r="AP30" s="69">
        <v>391.4009779771169</v>
      </c>
      <c r="AQ30" s="69">
        <v>998.24687557220466</v>
      </c>
    </row>
    <row r="31" spans="1:43" x14ac:dyDescent="0.25">
      <c r="A31" s="11">
        <v>42179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700.74299602508438</v>
      </c>
      <c r="J31" s="60">
        <v>1220.9663585662845</v>
      </c>
      <c r="K31" s="60">
        <v>67.045837732156315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603.94621715545509</v>
      </c>
      <c r="V31" s="62">
        <v>0</v>
      </c>
      <c r="W31" s="62">
        <v>55.663549391428688</v>
      </c>
      <c r="X31" s="62">
        <v>0</v>
      </c>
      <c r="Y31" s="66">
        <v>430.70496416091942</v>
      </c>
      <c r="Z31" s="66">
        <v>0</v>
      </c>
      <c r="AA31" s="67">
        <v>0</v>
      </c>
      <c r="AB31" s="68">
        <v>76.320878426234486</v>
      </c>
      <c r="AC31" s="69">
        <v>0</v>
      </c>
      <c r="AD31" s="69">
        <v>22.46669120589894</v>
      </c>
      <c r="AE31" s="68">
        <v>22.069351189612959</v>
      </c>
      <c r="AF31" s="68">
        <v>0</v>
      </c>
      <c r="AG31" s="68">
        <v>1</v>
      </c>
      <c r="AH31" s="69">
        <v>208.40486548741663</v>
      </c>
      <c r="AI31" s="69">
        <v>484.2511290868124</v>
      </c>
      <c r="AJ31" s="69">
        <v>1359.0029619852705</v>
      </c>
      <c r="AK31" s="69">
        <v>651.03229662577314</v>
      </c>
      <c r="AL31" s="69">
        <v>1335.9593399047851</v>
      </c>
      <c r="AM31" s="69">
        <v>2478.0595450083415</v>
      </c>
      <c r="AN31" s="69">
        <v>641.452916908264</v>
      </c>
      <c r="AO31" s="69">
        <v>2983.472644170125</v>
      </c>
      <c r="AP31" s="69">
        <v>396.05763088862096</v>
      </c>
      <c r="AQ31" s="69">
        <v>945.51536483764653</v>
      </c>
    </row>
    <row r="32" spans="1:43" x14ac:dyDescent="0.25">
      <c r="A32" s="11">
        <v>42180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644.90324071248381</v>
      </c>
      <c r="J32" s="60">
        <v>1111.7351871490478</v>
      </c>
      <c r="K32" s="60">
        <v>61.044794934988019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546.90047774844697</v>
      </c>
      <c r="V32" s="62">
        <v>0</v>
      </c>
      <c r="W32" s="62">
        <v>50.055808591842634</v>
      </c>
      <c r="X32" s="62">
        <v>0</v>
      </c>
      <c r="Y32" s="66">
        <v>409.67461085319519</v>
      </c>
      <c r="Z32" s="66">
        <v>0</v>
      </c>
      <c r="AA32" s="67">
        <v>0</v>
      </c>
      <c r="AB32" s="68">
        <v>77.073824474544821</v>
      </c>
      <c r="AC32" s="69">
        <v>0</v>
      </c>
      <c r="AD32" s="69">
        <v>20.851862651771992</v>
      </c>
      <c r="AE32" s="68">
        <v>20.432439015148255</v>
      </c>
      <c r="AF32" s="68">
        <v>0</v>
      </c>
      <c r="AG32" s="68">
        <v>1</v>
      </c>
      <c r="AH32" s="69">
        <v>218.71143053372703</v>
      </c>
      <c r="AI32" s="69">
        <v>480.40713125864659</v>
      </c>
      <c r="AJ32" s="69">
        <v>1374.7121063232419</v>
      </c>
      <c r="AK32" s="69">
        <v>641.75582310358675</v>
      </c>
      <c r="AL32" s="69">
        <v>1334.1516826629638</v>
      </c>
      <c r="AM32" s="69">
        <v>2383.2190059661862</v>
      </c>
      <c r="AN32" s="69">
        <v>624.33063580195108</v>
      </c>
      <c r="AO32" s="69">
        <v>2943.8727703094482</v>
      </c>
      <c r="AP32" s="69">
        <v>368.51423077583314</v>
      </c>
      <c r="AQ32" s="69">
        <v>913.24553419748963</v>
      </c>
    </row>
    <row r="33" spans="1:43" x14ac:dyDescent="0.25">
      <c r="A33" s="11">
        <v>42181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597.96180795033786</v>
      </c>
      <c r="J33" s="60">
        <v>970.58162485758578</v>
      </c>
      <c r="K33" s="60">
        <v>53.397526649634081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500.65874510871214</v>
      </c>
      <c r="V33" s="62">
        <v>0</v>
      </c>
      <c r="W33" s="62">
        <v>45.401720817883863</v>
      </c>
      <c r="X33" s="62">
        <v>0</v>
      </c>
      <c r="Y33" s="66">
        <v>354.44816924730952</v>
      </c>
      <c r="Z33" s="66">
        <v>0</v>
      </c>
      <c r="AA33" s="67">
        <v>0</v>
      </c>
      <c r="AB33" s="68">
        <v>66.579724865488387</v>
      </c>
      <c r="AC33" s="69">
        <v>0</v>
      </c>
      <c r="AD33" s="69">
        <v>18.046713774071776</v>
      </c>
      <c r="AE33" s="68">
        <v>17.680197257433495</v>
      </c>
      <c r="AF33" s="68">
        <v>0</v>
      </c>
      <c r="AG33" s="68">
        <v>1</v>
      </c>
      <c r="AH33" s="69">
        <v>232.14210751851405</v>
      </c>
      <c r="AI33" s="69">
        <v>534.72541945775367</v>
      </c>
      <c r="AJ33" s="69">
        <v>1286.058562978109</v>
      </c>
      <c r="AK33" s="69">
        <v>637.15122712453206</v>
      </c>
      <c r="AL33" s="69">
        <v>1340.7840560913085</v>
      </c>
      <c r="AM33" s="69">
        <v>2380.8543389638262</v>
      </c>
      <c r="AN33" s="69">
        <v>577.63634044329308</v>
      </c>
      <c r="AO33" s="69">
        <v>2278.5146757761636</v>
      </c>
      <c r="AP33" s="69">
        <v>356.67966046333305</v>
      </c>
      <c r="AQ33" s="69">
        <v>921.54930556615204</v>
      </c>
    </row>
    <row r="34" spans="1:43" x14ac:dyDescent="0.25">
      <c r="A34" s="11">
        <v>42182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689.01499185562113</v>
      </c>
      <c r="J34" s="60">
        <v>1126.40275262197</v>
      </c>
      <c r="K34" s="60">
        <v>62.087979563077305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576.16694723765181</v>
      </c>
      <c r="V34" s="62">
        <v>0</v>
      </c>
      <c r="W34" s="62">
        <v>52.725109199682826</v>
      </c>
      <c r="X34" s="62">
        <v>0</v>
      </c>
      <c r="Y34" s="66">
        <v>414.26490589777615</v>
      </c>
      <c r="Z34" s="66">
        <v>0</v>
      </c>
      <c r="AA34" s="67">
        <v>0</v>
      </c>
      <c r="AB34" s="68">
        <v>69.336694786282479</v>
      </c>
      <c r="AC34" s="69">
        <v>0</v>
      </c>
      <c r="AD34" s="69">
        <v>21.105263021257169</v>
      </c>
      <c r="AE34" s="68">
        <v>20.705520392802232</v>
      </c>
      <c r="AF34" s="68">
        <v>0</v>
      </c>
      <c r="AG34" s="68">
        <v>1</v>
      </c>
      <c r="AH34" s="69">
        <v>205.8247058391571</v>
      </c>
      <c r="AI34" s="69">
        <v>474.51511236826593</v>
      </c>
      <c r="AJ34" s="69">
        <v>1390.8308979670207</v>
      </c>
      <c r="AK34" s="69">
        <v>643.89312165578201</v>
      </c>
      <c r="AL34" s="69">
        <v>1350.3046258926393</v>
      </c>
      <c r="AM34" s="69">
        <v>2373.9543665568035</v>
      </c>
      <c r="AN34" s="69">
        <v>596.34701409339925</v>
      </c>
      <c r="AO34" s="69">
        <v>2482.7578509012856</v>
      </c>
      <c r="AP34" s="69">
        <v>381.16784356435147</v>
      </c>
      <c r="AQ34" s="69">
        <v>886.05695724487316</v>
      </c>
    </row>
    <row r="35" spans="1:43" x14ac:dyDescent="0.25">
      <c r="A35" s="11">
        <v>42183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693.26350412368708</v>
      </c>
      <c r="J35" s="60">
        <v>1134.9301240921029</v>
      </c>
      <c r="K35" s="60">
        <v>62.561053049564229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580.98633973864025</v>
      </c>
      <c r="V35" s="62">
        <v>0</v>
      </c>
      <c r="W35" s="62">
        <v>54.570442398389154</v>
      </c>
      <c r="X35" s="62">
        <v>0</v>
      </c>
      <c r="Y35" s="66">
        <v>429.94397149086024</v>
      </c>
      <c r="Z35" s="66">
        <v>0</v>
      </c>
      <c r="AA35" s="67">
        <v>0</v>
      </c>
      <c r="AB35" s="68">
        <v>69.33683220545349</v>
      </c>
      <c r="AC35" s="69">
        <v>0</v>
      </c>
      <c r="AD35" s="69">
        <v>21.282373628351451</v>
      </c>
      <c r="AE35" s="68">
        <v>20.8710859668175</v>
      </c>
      <c r="AF35" s="68">
        <v>0</v>
      </c>
      <c r="AG35" s="68">
        <v>1</v>
      </c>
      <c r="AH35" s="69">
        <v>217.34981819788618</v>
      </c>
      <c r="AI35" s="69">
        <v>478.29471066792792</v>
      </c>
      <c r="AJ35" s="69">
        <v>1384.3197257995605</v>
      </c>
      <c r="AK35" s="69">
        <v>645.59815203348785</v>
      </c>
      <c r="AL35" s="69">
        <v>1355.122236442566</v>
      </c>
      <c r="AM35" s="69">
        <v>2372.0043885548916</v>
      </c>
      <c r="AN35" s="69">
        <v>638.10610211690266</v>
      </c>
      <c r="AO35" s="69">
        <v>2516.1878027598063</v>
      </c>
      <c r="AP35" s="69">
        <v>382.46537787119547</v>
      </c>
      <c r="AQ35" s="69">
        <v>900.09608685175567</v>
      </c>
    </row>
    <row r="36" spans="1:43" x14ac:dyDescent="0.25">
      <c r="A36" s="11">
        <v>42184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759.55074593226084</v>
      </c>
      <c r="J36" s="60">
        <v>1244.041585095722</v>
      </c>
      <c r="K36" s="60">
        <v>67.95407487551374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607.07449620564296</v>
      </c>
      <c r="V36" s="62">
        <v>0</v>
      </c>
      <c r="W36" s="62">
        <v>56.778079279263842</v>
      </c>
      <c r="X36" s="62">
        <v>0</v>
      </c>
      <c r="Y36" s="66">
        <v>448.85366145769569</v>
      </c>
      <c r="Z36" s="66">
        <v>0</v>
      </c>
      <c r="AA36" s="67">
        <v>0</v>
      </c>
      <c r="AB36" s="68">
        <v>80.471097368663749</v>
      </c>
      <c r="AC36" s="69">
        <v>0</v>
      </c>
      <c r="AD36" s="69">
        <v>22.116095625691941</v>
      </c>
      <c r="AE36" s="68">
        <v>21.786414055946828</v>
      </c>
      <c r="AF36" s="68">
        <v>0</v>
      </c>
      <c r="AG36" s="68">
        <v>1</v>
      </c>
      <c r="AH36" s="69">
        <v>216.64221990903221</v>
      </c>
      <c r="AI36" s="69">
        <v>479.54191309611002</v>
      </c>
      <c r="AJ36" s="69">
        <v>1393.0861628850303</v>
      </c>
      <c r="AK36" s="69">
        <v>650.50882835388177</v>
      </c>
      <c r="AL36" s="69">
        <v>1438.5040115992224</v>
      </c>
      <c r="AM36" s="69">
        <v>2444.2470612843831</v>
      </c>
      <c r="AN36" s="69">
        <v>618.16350498199449</v>
      </c>
      <c r="AO36" s="69">
        <v>3069.6246728261317</v>
      </c>
      <c r="AP36" s="69">
        <v>382.25832649866743</v>
      </c>
      <c r="AQ36" s="69">
        <v>940.47982590993252</v>
      </c>
    </row>
    <row r="37" spans="1:43" x14ac:dyDescent="0.25">
      <c r="A37" s="11">
        <v>42185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757.33214995066294</v>
      </c>
      <c r="J37" s="60">
        <v>1315.6678867975895</v>
      </c>
      <c r="K37" s="60">
        <v>72.21626358032232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647.58298505146718</v>
      </c>
      <c r="V37" s="62">
        <v>0</v>
      </c>
      <c r="W37" s="62">
        <v>60.650157348314899</v>
      </c>
      <c r="X37" s="62">
        <v>0</v>
      </c>
      <c r="Y37" s="66">
        <v>505.1308323224394</v>
      </c>
      <c r="Z37" s="66">
        <v>0</v>
      </c>
      <c r="AA37" s="67">
        <v>0</v>
      </c>
      <c r="AB37" s="68">
        <v>90.618824328317629</v>
      </c>
      <c r="AC37" s="69">
        <v>0</v>
      </c>
      <c r="AD37" s="69">
        <v>24.672983058293646</v>
      </c>
      <c r="AE37" s="68">
        <v>24.388171072865859</v>
      </c>
      <c r="AF37" s="68">
        <v>0</v>
      </c>
      <c r="AG37" s="68">
        <v>1</v>
      </c>
      <c r="AH37" s="69">
        <v>205.74086785316464</v>
      </c>
      <c r="AI37" s="69">
        <v>536.43789164225257</v>
      </c>
      <c r="AJ37" s="69">
        <v>1407.232569885254</v>
      </c>
      <c r="AK37" s="69">
        <v>657.76897115707391</v>
      </c>
      <c r="AL37" s="69">
        <v>1496.0238467534386</v>
      </c>
      <c r="AM37" s="69">
        <v>2445.4385826110833</v>
      </c>
      <c r="AN37" s="69">
        <v>651.79704160690312</v>
      </c>
      <c r="AO37" s="69">
        <v>3046.6172485351562</v>
      </c>
      <c r="AP37" s="69">
        <v>359.46433105468748</v>
      </c>
      <c r="AQ37" s="69">
        <v>954.79851999282835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576.63004583120528</v>
      </c>
      <c r="D39" s="30">
        <f t="shared" si="0"/>
        <v>4271.3500141143877</v>
      </c>
      <c r="E39" s="30">
        <f t="shared" si="0"/>
        <v>68.41679313778863</v>
      </c>
      <c r="F39" s="30">
        <f t="shared" si="0"/>
        <v>0</v>
      </c>
      <c r="G39" s="30">
        <f t="shared" si="0"/>
        <v>15907.740254592833</v>
      </c>
      <c r="H39" s="31">
        <f t="shared" si="0"/>
        <v>225.68077377776308</v>
      </c>
      <c r="I39" s="29">
        <f t="shared" si="0"/>
        <v>15840.489933411271</v>
      </c>
      <c r="J39" s="30">
        <f t="shared" si="0"/>
        <v>28481.114334710441</v>
      </c>
      <c r="K39" s="30">
        <f t="shared" si="0"/>
        <v>1510.3096861104168</v>
      </c>
      <c r="L39" s="30">
        <f t="shared" si="0"/>
        <v>0.16715995073318218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14404.089993071579</v>
      </c>
      <c r="V39" s="264">
        <f t="shared" si="0"/>
        <v>657.20498594970479</v>
      </c>
      <c r="W39" s="264">
        <f t="shared" si="0"/>
        <v>1221.854471125888</v>
      </c>
      <c r="X39" s="264">
        <f t="shared" si="0"/>
        <v>53.523526498985909</v>
      </c>
      <c r="Y39" s="264">
        <f t="shared" si="0"/>
        <v>10039.613238237338</v>
      </c>
      <c r="Z39" s="264">
        <f t="shared" si="0"/>
        <v>458.55986367262437</v>
      </c>
      <c r="AA39" s="272">
        <f t="shared" si="0"/>
        <v>0</v>
      </c>
      <c r="AB39" s="275">
        <f t="shared" si="0"/>
        <v>1748.6314325703506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6330.934281754493</v>
      </c>
      <c r="AI39" s="275">
        <f t="shared" si="1"/>
        <v>17937.264777628581</v>
      </c>
      <c r="AJ39" s="275">
        <f t="shared" si="1"/>
        <v>57273.826545906064</v>
      </c>
      <c r="AK39" s="275">
        <f t="shared" si="1"/>
        <v>19128.047948646548</v>
      </c>
      <c r="AL39" s="275">
        <f t="shared" si="1"/>
        <v>52684.066492589329</v>
      </c>
      <c r="AM39" s="275">
        <f t="shared" si="1"/>
        <v>72548.002644983935</v>
      </c>
      <c r="AN39" s="275">
        <f t="shared" si="1"/>
        <v>18695.022859748206</v>
      </c>
      <c r="AO39" s="275">
        <f t="shared" si="1"/>
        <v>68732.894978205353</v>
      </c>
      <c r="AP39" s="275">
        <f t="shared" si="1"/>
        <v>10917.332893975577</v>
      </c>
      <c r="AQ39" s="275">
        <f t="shared" si="1"/>
        <v>25706.917085393274</v>
      </c>
    </row>
    <row r="40" spans="1:43" ht="15.75" thickBot="1" x14ac:dyDescent="0.3">
      <c r="A40" s="47" t="s">
        <v>174</v>
      </c>
      <c r="B40" s="32">
        <f>Projection!$AB$30</f>
        <v>0.80583665399999982</v>
      </c>
      <c r="C40" s="33">
        <f>Projection!$AB$28</f>
        <v>1.2134866799999999</v>
      </c>
      <c r="D40" s="33">
        <f>Projection!$AB$31</f>
        <v>2.3118479999999999</v>
      </c>
      <c r="E40" s="33">
        <f>Projection!$AB$26</f>
        <v>4.3368000000000002</v>
      </c>
      <c r="F40" s="33">
        <f>Projection!$AB$23</f>
        <v>0</v>
      </c>
      <c r="G40" s="33">
        <f>Projection!$AB$24</f>
        <v>5.7325000000000001E-2</v>
      </c>
      <c r="H40" s="34">
        <f>Projection!$AB$29</f>
        <v>3.6159737999999999</v>
      </c>
      <c r="I40" s="32">
        <f>Projection!$AB$30</f>
        <v>0.80583665399999982</v>
      </c>
      <c r="J40" s="33">
        <f>Projection!$AB$28</f>
        <v>1.2134866799999999</v>
      </c>
      <c r="K40" s="33">
        <f>Projection!$AB$26</f>
        <v>4.3368000000000002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1.2134866799999999</v>
      </c>
      <c r="T40" s="38">
        <f>Projection!$AB$28</f>
        <v>1.2134866799999999</v>
      </c>
      <c r="U40" s="26">
        <f>Projection!$AB$27</f>
        <v>0.23649999999999999</v>
      </c>
      <c r="V40" s="27">
        <f>Projection!$AB$27</f>
        <v>0.23649999999999999</v>
      </c>
      <c r="W40" s="27">
        <f>Projection!$AB$22</f>
        <v>1.1599999999999999</v>
      </c>
      <c r="X40" s="27">
        <f>Projection!$AB$22</f>
        <v>1.1599999999999999</v>
      </c>
      <c r="Y40" s="27">
        <f>Projection!$AB$31</f>
        <v>2.3118479999999999</v>
      </c>
      <c r="Z40" s="27">
        <f>Projection!$AB$31</f>
        <v>2.3118479999999999</v>
      </c>
      <c r="AA40" s="28">
        <v>0</v>
      </c>
      <c r="AB40" s="41">
        <f>Projection!$AB$27</f>
        <v>0.23649999999999999</v>
      </c>
      <c r="AC40" s="41">
        <f>Projection!$AB$30</f>
        <v>0.80583665399999982</v>
      </c>
      <c r="AD40" s="279">
        <f>SUM(AD8:AD38)</f>
        <v>554.44661297433913</v>
      </c>
      <c r="AE40" s="279">
        <f>SUM(AE8:AE38)</f>
        <v>521.0276226564813</v>
      </c>
      <c r="AF40" s="279">
        <f>SUM(AF8:AF38)</f>
        <v>23.720284738378147</v>
      </c>
      <c r="AG40" s="279">
        <f>IF(SUM(AE40:AF40)&gt;0, AE40/(AE40+AF40), "")</f>
        <v>0.95645640044435354</v>
      </c>
      <c r="AH40" s="315">
        <v>7.3999999999999996E-2</v>
      </c>
      <c r="AI40" s="315">
        <f t="shared" ref="AI40:AQ40" si="2">$AH$40</f>
        <v>7.3999999999999996E-2</v>
      </c>
      <c r="AJ40" s="315">
        <f t="shared" si="2"/>
        <v>7.3999999999999996E-2</v>
      </c>
      <c r="AK40" s="315">
        <f t="shared" si="2"/>
        <v>7.3999999999999996E-2</v>
      </c>
      <c r="AL40" s="315">
        <f t="shared" si="2"/>
        <v>7.3999999999999996E-2</v>
      </c>
      <c r="AM40" s="315">
        <f t="shared" si="2"/>
        <v>7.3999999999999996E-2</v>
      </c>
      <c r="AN40" s="315">
        <f t="shared" si="2"/>
        <v>7.3999999999999996E-2</v>
      </c>
      <c r="AO40" s="315">
        <f t="shared" si="2"/>
        <v>7.3999999999999996E-2</v>
      </c>
      <c r="AP40" s="315">
        <f t="shared" si="2"/>
        <v>7.3999999999999996E-2</v>
      </c>
      <c r="AQ40" s="315">
        <f t="shared" si="2"/>
        <v>7.3999999999999996E-2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699.73287990395704</v>
      </c>
      <c r="D41" s="36">
        <f t="shared" si="3"/>
        <v>9874.7119874303189</v>
      </c>
      <c r="E41" s="36">
        <f t="shared" si="3"/>
        <v>296.70994847996172</v>
      </c>
      <c r="F41" s="36">
        <f t="shared" si="3"/>
        <v>0</v>
      </c>
      <c r="G41" s="36">
        <f t="shared" si="3"/>
        <v>911.91121009453411</v>
      </c>
      <c r="H41" s="37">
        <f t="shared" si="3"/>
        <v>816.05576514411825</v>
      </c>
      <c r="I41" s="35">
        <f t="shared" si="3"/>
        <v>12764.847405660817</v>
      </c>
      <c r="J41" s="36">
        <f t="shared" si="3"/>
        <v>34561.452876728181</v>
      </c>
      <c r="K41" s="36">
        <f t="shared" si="3"/>
        <v>6549.911046723656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3406.5672833614281</v>
      </c>
      <c r="V41" s="270">
        <f t="shared" si="3"/>
        <v>155.42897917710516</v>
      </c>
      <c r="W41" s="270">
        <f t="shared" si="3"/>
        <v>1417.35118650603</v>
      </c>
      <c r="X41" s="270">
        <f t="shared" si="3"/>
        <v>62.087290738823647</v>
      </c>
      <c r="Y41" s="270">
        <f t="shared" si="3"/>
        <v>23210.059785592512</v>
      </c>
      <c r="Z41" s="270">
        <f t="shared" si="3"/>
        <v>1060.1207037118293</v>
      </c>
      <c r="AA41" s="274">
        <f t="shared" si="3"/>
        <v>0</v>
      </c>
      <c r="AB41" s="277">
        <f t="shared" si="3"/>
        <v>413.55133380288788</v>
      </c>
      <c r="AC41" s="277">
        <f t="shared" si="3"/>
        <v>0</v>
      </c>
      <c r="AH41" s="280">
        <f t="shared" ref="AH41:AQ41" si="4">AH40*AH39</f>
        <v>468.48913684983245</v>
      </c>
      <c r="AI41" s="280">
        <f t="shared" si="4"/>
        <v>1327.3575935445149</v>
      </c>
      <c r="AJ41" s="280">
        <f t="shared" si="4"/>
        <v>4238.263164397049</v>
      </c>
      <c r="AK41" s="280">
        <f t="shared" si="4"/>
        <v>1415.4755481998445</v>
      </c>
      <c r="AL41" s="280">
        <f t="shared" si="4"/>
        <v>3898.6209204516103</v>
      </c>
      <c r="AM41" s="280">
        <f t="shared" si="4"/>
        <v>5368.5521957288111</v>
      </c>
      <c r="AN41" s="280">
        <f t="shared" si="4"/>
        <v>1383.4316916213672</v>
      </c>
      <c r="AO41" s="280">
        <f t="shared" si="4"/>
        <v>5086.2342283871958</v>
      </c>
      <c r="AP41" s="280">
        <f t="shared" si="4"/>
        <v>807.88263415419271</v>
      </c>
      <c r="AQ41" s="280">
        <f t="shared" si="4"/>
        <v>1902.3118643191021</v>
      </c>
    </row>
    <row r="42" spans="1:43" ht="49.5" customHeight="1" thickTop="1" thickBot="1" x14ac:dyDescent="0.3">
      <c r="A42" s="561" t="s">
        <v>228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256.39</v>
      </c>
      <c r="AI42" s="280" t="s">
        <v>199</v>
      </c>
      <c r="AJ42" s="280">
        <v>539.19000000000005</v>
      </c>
      <c r="AK42" s="280">
        <v>93.5</v>
      </c>
      <c r="AL42" s="280">
        <v>348.75</v>
      </c>
      <c r="AM42" s="280">
        <v>1903.6</v>
      </c>
      <c r="AN42" s="280">
        <v>466.83</v>
      </c>
      <c r="AO42" s="280" t="s">
        <v>199</v>
      </c>
      <c r="AP42" s="280">
        <v>35.21</v>
      </c>
      <c r="AQ42" s="280">
        <v>167.86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96200.499683056158</v>
      </c>
      <c r="C44" s="12"/>
      <c r="D44" s="284" t="s">
        <v>135</v>
      </c>
      <c r="E44" s="285">
        <f>SUM(B41:H41)+P41+R41+T41+V41+X41+Z41</f>
        <v>13876.758764680648</v>
      </c>
      <c r="F44" s="12"/>
      <c r="G44" s="284" t="s">
        <v>135</v>
      </c>
      <c r="H44" s="285">
        <f>SUM(I41:N41)+O41+Q41+S41+U41+W41+Y41</f>
        <v>81910.189584572625</v>
      </c>
      <c r="I44" s="12"/>
      <c r="J44" s="284" t="s">
        <v>200</v>
      </c>
      <c r="K44" s="285">
        <v>110957.02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25896.618977653521</v>
      </c>
      <c r="C45" s="12"/>
      <c r="D45" s="286" t="s">
        <v>185</v>
      </c>
      <c r="E45" s="287">
        <f>AH41*(1-$AG$40)+AI41+AJ41*0.5+AL41+AM41*(1-$AG$40)+AN41*(1-$AG$40)+AO41*(1-$AG$40)+AP41*0.5+AQ41*0.5</f>
        <v>9236.0856778865236</v>
      </c>
      <c r="F45" s="24"/>
      <c r="G45" s="286" t="s">
        <v>185</v>
      </c>
      <c r="H45" s="287">
        <f>AH41*AG40+AJ41*0.5+AK41+AM41*AG40+AN41*AG40+AO41*AG40+AP41*0.5+AQ41*0.5</f>
        <v>16660.533299766998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1275.3779976248738</v>
      </c>
      <c r="U45" s="258">
        <f>(T45*8.34*0.895)/27000</f>
        <v>0.35258533287671645</v>
      </c>
    </row>
    <row r="46" spans="1:43" ht="32.25" thickBot="1" x14ac:dyDescent="0.3">
      <c r="A46" s="288" t="s">
        <v>186</v>
      </c>
      <c r="B46" s="289">
        <f>SUM(AH42:AQ42)</f>
        <v>3811.33</v>
      </c>
      <c r="C46" s="12"/>
      <c r="D46" s="288" t="s">
        <v>186</v>
      </c>
      <c r="E46" s="289">
        <f>AH42*(1-$AG$40)+AJ42*0.5+AL42+AM42*(1-$AG$40)+AN42*(1-$AG$40)+AP42*0.5+AQ42*0.5</f>
        <v>834.26119818476332</v>
      </c>
      <c r="F46" s="23"/>
      <c r="G46" s="288" t="s">
        <v>186</v>
      </c>
      <c r="H46" s="289">
        <f>AH42*AG40+AJ42*0.5+AK42+AM42*AG40+AN42*AG40+AP42*0.5+AQ42*0.5</f>
        <v>2977.0688018152364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110957.02</v>
      </c>
      <c r="C47" s="12"/>
      <c r="D47" s="288" t="s">
        <v>189</v>
      </c>
      <c r="E47" s="289">
        <f>K44*0.5</f>
        <v>55478.51</v>
      </c>
      <c r="F47" s="24"/>
      <c r="G47" s="288" t="s">
        <v>187</v>
      </c>
      <c r="H47" s="289">
        <f>K44*0.5</f>
        <v>55478.51</v>
      </c>
      <c r="I47" s="12"/>
      <c r="J47" s="284" t="s">
        <v>200</v>
      </c>
      <c r="K47" s="285">
        <v>52045.96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15907.740254592833</v>
      </c>
      <c r="U47" s="258">
        <f>T47/40000</f>
        <v>0.39769350636482081</v>
      </c>
    </row>
    <row r="48" spans="1:43" ht="24" thickBot="1" x14ac:dyDescent="0.3">
      <c r="A48" s="288" t="s">
        <v>188</v>
      </c>
      <c r="B48" s="289">
        <f>K47</f>
        <v>52045.96</v>
      </c>
      <c r="C48" s="12"/>
      <c r="D48" s="288" t="s">
        <v>188</v>
      </c>
      <c r="E48" s="289">
        <f>K47*0.5</f>
        <v>26022.98</v>
      </c>
      <c r="F48" s="23"/>
      <c r="G48" s="288" t="s">
        <v>188</v>
      </c>
      <c r="H48" s="289">
        <f>K47*0.5</f>
        <v>26022.98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0.16715995073318218</v>
      </c>
      <c r="U48" s="258">
        <f>T48*9.34*0.107</f>
        <v>0.16705631156372761</v>
      </c>
    </row>
    <row r="49" spans="1:25" ht="48" thickTop="1" thickBot="1" x14ac:dyDescent="0.3">
      <c r="A49" s="293" t="s">
        <v>196</v>
      </c>
      <c r="B49" s="294">
        <f>AD40</f>
        <v>554.44661297433913</v>
      </c>
      <c r="C49" s="12"/>
      <c r="D49" s="293" t="s">
        <v>197</v>
      </c>
      <c r="E49" s="294">
        <f>AF40</f>
        <v>23.720284738378147</v>
      </c>
      <c r="F49" s="23"/>
      <c r="G49" s="293" t="s">
        <v>198</v>
      </c>
      <c r="H49" s="294">
        <f>AE40</f>
        <v>521.0276226564813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1578.7264792482054</v>
      </c>
      <c r="U49" s="258">
        <f>(T49*8.34*1.04)/45000</f>
        <v>0.30429426645349411</v>
      </c>
    </row>
    <row r="50" spans="1:25" ht="48" thickTop="1" thickBot="1" x14ac:dyDescent="0.3">
      <c r="A50" s="293" t="s">
        <v>192</v>
      </c>
      <c r="B50" s="295">
        <f>(SUM(B44:B48)/AD40)</f>
        <v>521.0806990249954</v>
      </c>
      <c r="C50" s="12"/>
      <c r="D50" s="293" t="s">
        <v>190</v>
      </c>
      <c r="E50" s="295">
        <f>SUM(E44:E48)/AF40</f>
        <v>4445.5029441590877</v>
      </c>
      <c r="F50" s="23"/>
      <c r="G50" s="293" t="s">
        <v>191</v>
      </c>
      <c r="H50" s="295">
        <f>SUM(H44:H48)/AE40</f>
        <v>351.3235646756508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16809.926411591634</v>
      </c>
      <c r="U50" s="258">
        <f>T50/2000/8</f>
        <v>1.050620400724477</v>
      </c>
    </row>
    <row r="51" spans="1:25" ht="47.25" customHeight="1" thickTop="1" thickBot="1" x14ac:dyDescent="0.3">
      <c r="A51" s="283" t="s">
        <v>193</v>
      </c>
      <c r="B51" s="296">
        <f>B50/1000</f>
        <v>0.52108069902499543</v>
      </c>
      <c r="C51" s="12"/>
      <c r="D51" s="283" t="s">
        <v>194</v>
      </c>
      <c r="E51" s="296">
        <f>E50/1000</f>
        <v>4.4455029441590881</v>
      </c>
      <c r="F51" s="12"/>
      <c r="G51" s="283" t="s">
        <v>195</v>
      </c>
      <c r="H51" s="296">
        <f>H50/1000</f>
        <v>0.35132356467565079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29057.744380541648</v>
      </c>
      <c r="U51" s="258">
        <f>(T51*8.34*1.4)/45000</f>
        <v>7.5395160752712052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225.68077377776308</v>
      </c>
      <c r="U52" s="258">
        <f>(T52*8.34*1.135)/45000</f>
        <v>4.7472703033398386E-2</v>
      </c>
    </row>
    <row r="53" spans="1:25" ht="48" customHeight="1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15840.489933411271</v>
      </c>
      <c r="U53" s="258">
        <f>(T53*8.34*1.029*0.03)/3300</f>
        <v>1.2358260630904077</v>
      </c>
    </row>
    <row r="54" spans="1:25" ht="54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14769.523116024349</v>
      </c>
      <c r="U54" s="261">
        <f>(T54*1.54*8.34)/45000</f>
        <v>4.2154188242882293</v>
      </c>
    </row>
    <row r="55" spans="1:25" ht="24" thickTop="1" x14ac:dyDescent="0.25">
      <c r="A55" s="588"/>
      <c r="B55" s="58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0"/>
      <c r="B56" s="59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6"/>
      <c r="B57" s="58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7"/>
      <c r="B58" s="58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6"/>
      <c r="B59" s="58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7"/>
      <c r="B60" s="587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</sheetData>
  <sheetProtection password="A25B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topLeftCell="A41" zoomScale="75" zoomScaleNormal="75" workbookViewId="0">
      <selection activeCell="C49" sqref="C49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42186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758.86731592814112</v>
      </c>
      <c r="J8" s="50">
        <v>1324.9298763275153</v>
      </c>
      <c r="K8" s="50">
        <v>72.615597685178216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617.04040080176526</v>
      </c>
      <c r="V8" s="54">
        <v>0</v>
      </c>
      <c r="W8" s="54">
        <v>56.372542134920728</v>
      </c>
      <c r="X8" s="54">
        <v>0</v>
      </c>
      <c r="Y8" s="54">
        <v>489.05593059857722</v>
      </c>
      <c r="Z8" s="54">
        <v>0</v>
      </c>
      <c r="AA8" s="55">
        <v>0</v>
      </c>
      <c r="AB8" s="56">
        <v>91.239577616586189</v>
      </c>
      <c r="AC8" s="57">
        <v>0</v>
      </c>
      <c r="AD8" s="57">
        <v>23.884337292114918</v>
      </c>
      <c r="AE8" s="58">
        <v>23.549911436938384</v>
      </c>
      <c r="AF8" s="58">
        <v>0</v>
      </c>
      <c r="AG8" s="58">
        <v>1</v>
      </c>
      <c r="AH8" s="57">
        <v>206.44206611315406</v>
      </c>
      <c r="AI8" s="57">
        <v>496.92297248840327</v>
      </c>
      <c r="AJ8" s="57">
        <v>1380.2002620697026</v>
      </c>
      <c r="AK8" s="57">
        <v>651.27448612848923</v>
      </c>
      <c r="AL8" s="57">
        <v>1345.7366470336913</v>
      </c>
      <c r="AM8" s="57">
        <v>2465.6678534189864</v>
      </c>
      <c r="AN8" s="57">
        <v>653.18248974482231</v>
      </c>
      <c r="AO8" s="57">
        <v>3023.0639199574794</v>
      </c>
      <c r="AP8" s="57">
        <v>398.82683997154231</v>
      </c>
      <c r="AQ8" s="57">
        <v>959.39214178721113</v>
      </c>
    </row>
    <row r="9" spans="1:47" x14ac:dyDescent="0.25">
      <c r="A9" s="11">
        <v>42187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771.50536120732602</v>
      </c>
      <c r="J9" s="60">
        <v>1319.6700121561666</v>
      </c>
      <c r="K9" s="60">
        <v>72.447583218415588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638.65219525230498</v>
      </c>
      <c r="V9" s="62">
        <v>0</v>
      </c>
      <c r="W9" s="62">
        <v>58.658258720238955</v>
      </c>
      <c r="X9" s="62">
        <v>0</v>
      </c>
      <c r="Y9" s="66">
        <v>508.47178432146808</v>
      </c>
      <c r="Z9" s="66">
        <v>0</v>
      </c>
      <c r="AA9" s="67">
        <v>0</v>
      </c>
      <c r="AB9" s="68">
        <v>86.492063861424256</v>
      </c>
      <c r="AC9" s="69">
        <v>0</v>
      </c>
      <c r="AD9" s="69">
        <v>24.82299220363296</v>
      </c>
      <c r="AE9" s="68">
        <v>24.407344595134337</v>
      </c>
      <c r="AF9" s="68">
        <v>0</v>
      </c>
      <c r="AG9" s="68">
        <v>1</v>
      </c>
      <c r="AH9" s="69">
        <v>237.66687105496729</v>
      </c>
      <c r="AI9" s="69">
        <v>512.73535547256472</v>
      </c>
      <c r="AJ9" s="69">
        <v>1368.0693912506104</v>
      </c>
      <c r="AK9" s="69">
        <v>644.82373250325531</v>
      </c>
      <c r="AL9" s="69">
        <v>1328.6798403422035</v>
      </c>
      <c r="AM9" s="69">
        <v>2456.227148564657</v>
      </c>
      <c r="AN9" s="69">
        <v>608.08437925974522</v>
      </c>
      <c r="AO9" s="69">
        <v>3288.8514335632321</v>
      </c>
      <c r="AP9" s="69">
        <v>412.96097822189347</v>
      </c>
      <c r="AQ9" s="69">
        <v>904.40014575322471</v>
      </c>
    </row>
    <row r="10" spans="1:47" x14ac:dyDescent="0.25">
      <c r="A10" s="11">
        <v>42188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739.35957883198967</v>
      </c>
      <c r="J10" s="60">
        <v>1153.5228663762423</v>
      </c>
      <c r="K10" s="60">
        <v>63.306779674688975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543.74015110863172</v>
      </c>
      <c r="V10" s="62">
        <v>0</v>
      </c>
      <c r="W10" s="62">
        <v>48.573290236790974</v>
      </c>
      <c r="X10" s="62">
        <v>0</v>
      </c>
      <c r="Y10" s="66">
        <v>425.23507690429585</v>
      </c>
      <c r="Z10" s="66">
        <v>0</v>
      </c>
      <c r="AA10" s="67">
        <v>0</v>
      </c>
      <c r="AB10" s="68">
        <v>64.642108225823293</v>
      </c>
      <c r="AC10" s="69">
        <v>0</v>
      </c>
      <c r="AD10" s="69">
        <v>20.772455321086795</v>
      </c>
      <c r="AE10" s="68">
        <v>20.431835997585459</v>
      </c>
      <c r="AF10" s="68">
        <v>0</v>
      </c>
      <c r="AG10" s="68">
        <v>1</v>
      </c>
      <c r="AH10" s="69">
        <v>225.35997473398848</v>
      </c>
      <c r="AI10" s="69">
        <v>491.04242892265313</v>
      </c>
      <c r="AJ10" s="69">
        <v>1354.1614416758218</v>
      </c>
      <c r="AK10" s="69">
        <v>640.55309572219846</v>
      </c>
      <c r="AL10" s="69">
        <v>1344.4793652216595</v>
      </c>
      <c r="AM10" s="69">
        <v>2433.2349043528238</v>
      </c>
      <c r="AN10" s="69">
        <v>600.06575339635219</v>
      </c>
      <c r="AO10" s="69">
        <v>2552.7453033447259</v>
      </c>
      <c r="AP10" s="69">
        <v>402.59011948903407</v>
      </c>
      <c r="AQ10" s="69">
        <v>947.45318775177009</v>
      </c>
    </row>
    <row r="11" spans="1:47" x14ac:dyDescent="0.25">
      <c r="A11" s="11">
        <v>42189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773.64323148727362</v>
      </c>
      <c r="J11" s="60">
        <v>1246.3456229527785</v>
      </c>
      <c r="K11" s="60">
        <v>68.49191805521636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602.21</v>
      </c>
      <c r="V11" s="62">
        <v>0</v>
      </c>
      <c r="W11" s="62">
        <v>54.3</v>
      </c>
      <c r="X11" s="62">
        <v>0</v>
      </c>
      <c r="Y11" s="66">
        <v>454.6</v>
      </c>
      <c r="Z11" s="66">
        <v>0</v>
      </c>
      <c r="AA11" s="67">
        <v>0</v>
      </c>
      <c r="AB11" s="68">
        <v>85.809111171296919</v>
      </c>
      <c r="AC11" s="69">
        <v>0</v>
      </c>
      <c r="AD11" s="69">
        <v>22.325507387850017</v>
      </c>
      <c r="AE11" s="68">
        <v>21.91</v>
      </c>
      <c r="AF11" s="68">
        <v>0</v>
      </c>
      <c r="AG11" s="68">
        <v>1</v>
      </c>
      <c r="AH11" s="69">
        <v>208.90477797190348</v>
      </c>
      <c r="AI11" s="69">
        <v>479.86638768514007</v>
      </c>
      <c r="AJ11" s="69">
        <v>1406.3209135691327</v>
      </c>
      <c r="AK11" s="69">
        <v>652.34585297902424</v>
      </c>
      <c r="AL11" s="69">
        <v>1355.072122764587</v>
      </c>
      <c r="AM11" s="69">
        <v>2479.9949651082352</v>
      </c>
      <c r="AN11" s="69">
        <v>649.44423666000375</v>
      </c>
      <c r="AO11" s="69">
        <v>2941.9103350321452</v>
      </c>
      <c r="AP11" s="69">
        <v>425.66844250361112</v>
      </c>
      <c r="AQ11" s="69">
        <v>881.10599082310989</v>
      </c>
    </row>
    <row r="12" spans="1:47" x14ac:dyDescent="0.25">
      <c r="A12" s="11">
        <v>42190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770.86417805353835</v>
      </c>
      <c r="J12" s="60">
        <v>1302.5586811701442</v>
      </c>
      <c r="K12" s="60">
        <v>71.685986042022662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654.74</v>
      </c>
      <c r="V12" s="62">
        <v>0</v>
      </c>
      <c r="W12" s="62">
        <v>59.01</v>
      </c>
      <c r="X12" s="62">
        <v>0</v>
      </c>
      <c r="Y12" s="66">
        <v>499.26</v>
      </c>
      <c r="Z12" s="66">
        <v>0</v>
      </c>
      <c r="AA12" s="67">
        <v>0</v>
      </c>
      <c r="AB12" s="68">
        <v>93.26195917129435</v>
      </c>
      <c r="AC12" s="69">
        <v>0</v>
      </c>
      <c r="AD12" s="69">
        <v>24.311313312583511</v>
      </c>
      <c r="AE12" s="68">
        <v>23.85</v>
      </c>
      <c r="AF12" s="68">
        <v>0</v>
      </c>
      <c r="AG12" s="68">
        <v>1</v>
      </c>
      <c r="AH12" s="69">
        <v>204.98895403544105</v>
      </c>
      <c r="AI12" s="69">
        <v>480.25699199040724</v>
      </c>
      <c r="AJ12" s="69">
        <v>1389.1426912307738</v>
      </c>
      <c r="AK12" s="69">
        <v>653.29460217157998</v>
      </c>
      <c r="AL12" s="69">
        <v>1345.0419444402057</v>
      </c>
      <c r="AM12" s="69">
        <v>2429.707794443766</v>
      </c>
      <c r="AN12" s="69">
        <v>662.80769701004021</v>
      </c>
      <c r="AO12" s="69">
        <v>3237.1801954905191</v>
      </c>
      <c r="AP12" s="69">
        <v>404.82593334515894</v>
      </c>
      <c r="AQ12" s="69">
        <v>906.77054592768343</v>
      </c>
    </row>
    <row r="13" spans="1:47" x14ac:dyDescent="0.25">
      <c r="A13" s="11">
        <v>42191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665.2134951909369</v>
      </c>
      <c r="J13" s="60">
        <v>1125.2055426279708</v>
      </c>
      <c r="K13" s="60">
        <v>61.77187296549468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565.4</v>
      </c>
      <c r="V13" s="62">
        <v>0</v>
      </c>
      <c r="W13" s="62">
        <v>48.82</v>
      </c>
      <c r="X13" s="62">
        <v>0</v>
      </c>
      <c r="Y13" s="66">
        <v>425.67</v>
      </c>
      <c r="Z13" s="66">
        <v>0</v>
      </c>
      <c r="AA13" s="67">
        <v>0</v>
      </c>
      <c r="AB13" s="68">
        <v>80.034158404667451</v>
      </c>
      <c r="AC13" s="69">
        <v>0</v>
      </c>
      <c r="AD13" s="69">
        <v>20.725752003325347</v>
      </c>
      <c r="AE13" s="68">
        <v>20.34</v>
      </c>
      <c r="AF13" s="68">
        <v>0</v>
      </c>
      <c r="AG13" s="68">
        <v>1</v>
      </c>
      <c r="AH13" s="69">
        <v>244.15175484021509</v>
      </c>
      <c r="AI13" s="69">
        <v>490.06642901102697</v>
      </c>
      <c r="AJ13" s="69">
        <v>1312.0542998631795</v>
      </c>
      <c r="AK13" s="69">
        <v>630.73783486684169</v>
      </c>
      <c r="AL13" s="69">
        <v>1365.621287727356</v>
      </c>
      <c r="AM13" s="69">
        <v>2338.2396902720138</v>
      </c>
      <c r="AN13" s="69">
        <v>557.82010108629856</v>
      </c>
      <c r="AO13" s="69">
        <v>3306.7924954732257</v>
      </c>
      <c r="AP13" s="69">
        <v>348.88385912577309</v>
      </c>
      <c r="AQ13" s="69">
        <v>842.93967949549358</v>
      </c>
    </row>
    <row r="14" spans="1:47" x14ac:dyDescent="0.25">
      <c r="A14" s="11">
        <v>42192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316.92012297709795</v>
      </c>
      <c r="J14" s="60">
        <v>632.31757725874604</v>
      </c>
      <c r="K14" s="60">
        <v>34.141796032587685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310.29000000000002</v>
      </c>
      <c r="V14" s="62">
        <v>0</v>
      </c>
      <c r="W14" s="62">
        <v>25.07</v>
      </c>
      <c r="X14" s="62">
        <v>0</v>
      </c>
      <c r="Y14" s="66">
        <v>224.92</v>
      </c>
      <c r="Z14" s="66">
        <v>0</v>
      </c>
      <c r="AA14" s="67">
        <v>0</v>
      </c>
      <c r="AB14" s="68">
        <v>42.014646697705693</v>
      </c>
      <c r="AC14" s="69">
        <v>0</v>
      </c>
      <c r="AD14" s="69">
        <v>11.012397529019244</v>
      </c>
      <c r="AE14" s="68">
        <v>10.71</v>
      </c>
      <c r="AF14" s="68">
        <v>0</v>
      </c>
      <c r="AG14" s="68">
        <v>1</v>
      </c>
      <c r="AH14" s="69">
        <v>186.21441182295484</v>
      </c>
      <c r="AI14" s="69">
        <v>432.42182100613911</v>
      </c>
      <c r="AJ14" s="69">
        <v>1298.7054120381674</v>
      </c>
      <c r="AK14" s="69">
        <v>613.98336251576734</v>
      </c>
      <c r="AL14" s="69">
        <v>1378.481027475993</v>
      </c>
      <c r="AM14" s="69">
        <v>2073.9313971201577</v>
      </c>
      <c r="AN14" s="69">
        <v>480.28043497403468</v>
      </c>
      <c r="AO14" s="69">
        <v>1759.2827334403994</v>
      </c>
      <c r="AP14" s="69">
        <v>254.93824874560036</v>
      </c>
      <c r="AQ14" s="69">
        <v>825.77277800242098</v>
      </c>
    </row>
    <row r="15" spans="1:47" x14ac:dyDescent="0.25">
      <c r="A15" s="11">
        <v>42193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560.20476179122852</v>
      </c>
      <c r="J15" s="60">
        <v>1000.2318220774345</v>
      </c>
      <c r="K15" s="60">
        <v>55.081918299198378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513.40603847503166</v>
      </c>
      <c r="V15" s="62">
        <v>0</v>
      </c>
      <c r="W15" s="62">
        <v>44.358070842425079</v>
      </c>
      <c r="X15" s="62">
        <v>0</v>
      </c>
      <c r="Y15" s="66">
        <v>362.68317990303098</v>
      </c>
      <c r="Z15" s="66">
        <v>0</v>
      </c>
      <c r="AA15" s="67">
        <v>0</v>
      </c>
      <c r="AB15" s="68">
        <v>68.937584718067484</v>
      </c>
      <c r="AC15" s="69">
        <v>0</v>
      </c>
      <c r="AD15" s="69">
        <v>18.572910911507062</v>
      </c>
      <c r="AE15" s="68">
        <v>18.302700578643975</v>
      </c>
      <c r="AF15" s="68">
        <v>0</v>
      </c>
      <c r="AG15" s="68">
        <v>1</v>
      </c>
      <c r="AH15" s="69">
        <v>193.03409871260322</v>
      </c>
      <c r="AI15" s="69">
        <v>427.54005262056978</v>
      </c>
      <c r="AJ15" s="69">
        <v>1246.338444328308</v>
      </c>
      <c r="AK15" s="69">
        <v>623.34986937840779</v>
      </c>
      <c r="AL15" s="69">
        <v>1373.356191889445</v>
      </c>
      <c r="AM15" s="69">
        <v>2326.8510957082117</v>
      </c>
      <c r="AN15" s="69">
        <v>484.02382067044579</v>
      </c>
      <c r="AO15" s="69">
        <v>2229.0066706339517</v>
      </c>
      <c r="AP15" s="69">
        <v>349.5147616386414</v>
      </c>
      <c r="AQ15" s="69">
        <v>809.47209548950195</v>
      </c>
    </row>
    <row r="16" spans="1:47" x14ac:dyDescent="0.25">
      <c r="A16" s="11">
        <v>42194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619.92447207768873</v>
      </c>
      <c r="J16" s="60">
        <v>1001.4523722330731</v>
      </c>
      <c r="K16" s="60">
        <v>55.102164975802268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498.7934306674523</v>
      </c>
      <c r="V16" s="62">
        <v>0</v>
      </c>
      <c r="W16" s="62">
        <v>46.756023128827387</v>
      </c>
      <c r="X16" s="62">
        <v>0</v>
      </c>
      <c r="Y16" s="66">
        <v>355.75687034924852</v>
      </c>
      <c r="Z16" s="66">
        <v>0</v>
      </c>
      <c r="AA16" s="67">
        <v>0</v>
      </c>
      <c r="AB16" s="68">
        <v>69.335992834302303</v>
      </c>
      <c r="AC16" s="69">
        <v>0</v>
      </c>
      <c r="AD16" s="69">
        <v>18.600768382681728</v>
      </c>
      <c r="AE16" s="68">
        <v>18.349528437585086</v>
      </c>
      <c r="AF16" s="68">
        <v>0</v>
      </c>
      <c r="AG16" s="68">
        <v>1</v>
      </c>
      <c r="AH16" s="69">
        <v>194.3361032485962</v>
      </c>
      <c r="AI16" s="69">
        <v>440.35440427462265</v>
      </c>
      <c r="AJ16" s="69">
        <v>1277.3796972910561</v>
      </c>
      <c r="AK16" s="69">
        <v>630.93817787170428</v>
      </c>
      <c r="AL16" s="69">
        <v>1374.8726266225181</v>
      </c>
      <c r="AM16" s="69">
        <v>2308.7182674407964</v>
      </c>
      <c r="AN16" s="69">
        <v>500.69377145767209</v>
      </c>
      <c r="AO16" s="69">
        <v>2251.8364966074628</v>
      </c>
      <c r="AP16" s="69">
        <v>354.74111557006836</v>
      </c>
      <c r="AQ16" s="69">
        <v>840.45935901006078</v>
      </c>
    </row>
    <row r="17" spans="1:43" x14ac:dyDescent="0.25">
      <c r="A17" s="11">
        <v>42195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640.85287755330455</v>
      </c>
      <c r="J17" s="50">
        <v>1006.0904087702447</v>
      </c>
      <c r="K17" s="50">
        <v>55.297865438461344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494.71</v>
      </c>
      <c r="V17" s="66">
        <v>0</v>
      </c>
      <c r="W17" s="62">
        <v>42.47</v>
      </c>
      <c r="X17" s="62">
        <v>0</v>
      </c>
      <c r="Y17" s="66">
        <v>348.71</v>
      </c>
      <c r="Z17" s="66">
        <v>0</v>
      </c>
      <c r="AA17" s="67">
        <v>0</v>
      </c>
      <c r="AB17" s="68">
        <v>69.791839414171932</v>
      </c>
      <c r="AC17" s="69">
        <v>0</v>
      </c>
      <c r="AD17" s="69">
        <v>18.270873354540939</v>
      </c>
      <c r="AE17" s="68">
        <v>18.02</v>
      </c>
      <c r="AF17" s="68">
        <v>0</v>
      </c>
      <c r="AG17" s="68">
        <v>1</v>
      </c>
      <c r="AH17" s="69">
        <v>187.44485116799675</v>
      </c>
      <c r="AI17" s="69">
        <v>452.77630977630622</v>
      </c>
      <c r="AJ17" s="69">
        <v>1469.9063551584879</v>
      </c>
      <c r="AK17" s="69">
        <v>636.00805768966677</v>
      </c>
      <c r="AL17" s="69">
        <v>1377.4486925125123</v>
      </c>
      <c r="AM17" s="69">
        <v>2282.6483633677162</v>
      </c>
      <c r="AN17" s="69">
        <v>554.31580529212954</v>
      </c>
      <c r="AO17" s="69">
        <v>2247.32312113444</v>
      </c>
      <c r="AP17" s="69">
        <v>381.4248942693074</v>
      </c>
      <c r="AQ17" s="69">
        <v>881.60950527191153</v>
      </c>
    </row>
    <row r="18" spans="1:43" x14ac:dyDescent="0.25">
      <c r="A18" s="11">
        <v>42196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744.57827014923089</v>
      </c>
      <c r="J18" s="60">
        <v>1150.4208098093652</v>
      </c>
      <c r="K18" s="60">
        <v>63.128839941819358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583.63</v>
      </c>
      <c r="V18" s="62">
        <v>0</v>
      </c>
      <c r="W18" s="62">
        <v>50.06</v>
      </c>
      <c r="X18" s="62">
        <v>0</v>
      </c>
      <c r="Y18" s="66">
        <v>407.31</v>
      </c>
      <c r="Z18" s="66">
        <v>0</v>
      </c>
      <c r="AA18" s="67">
        <v>0</v>
      </c>
      <c r="AB18" s="68">
        <v>78.718474774891831</v>
      </c>
      <c r="AC18" s="69">
        <v>0</v>
      </c>
      <c r="AD18" s="69">
        <v>21.336042216089016</v>
      </c>
      <c r="AE18" s="68">
        <v>21.08</v>
      </c>
      <c r="AF18" s="68">
        <v>0</v>
      </c>
      <c r="AG18" s="68">
        <v>1</v>
      </c>
      <c r="AH18" s="69">
        <v>199.17806824048358</v>
      </c>
      <c r="AI18" s="69">
        <v>466.39236729939773</v>
      </c>
      <c r="AJ18" s="69">
        <v>1358.6565948486329</v>
      </c>
      <c r="AK18" s="69">
        <v>643.00768442153935</v>
      </c>
      <c r="AL18" s="69">
        <v>1384.6528474171953</v>
      </c>
      <c r="AM18" s="69">
        <v>2301.1707476298011</v>
      </c>
      <c r="AN18" s="69">
        <v>586.72840286890664</v>
      </c>
      <c r="AO18" s="69">
        <v>2563.4942657470697</v>
      </c>
      <c r="AP18" s="69">
        <v>408.20060310363783</v>
      </c>
      <c r="AQ18" s="69">
        <v>885.46205895741775</v>
      </c>
    </row>
    <row r="19" spans="1:43" x14ac:dyDescent="0.25">
      <c r="A19" s="11">
        <v>42197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791.47753642400039</v>
      </c>
      <c r="J19" s="60">
        <v>1222.5542226791383</v>
      </c>
      <c r="K19" s="60">
        <v>67.042031645775012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600.95000000000005</v>
      </c>
      <c r="V19" s="62">
        <v>0</v>
      </c>
      <c r="W19" s="62">
        <v>55.43</v>
      </c>
      <c r="X19" s="62">
        <v>0</v>
      </c>
      <c r="Y19" s="66">
        <v>432.17</v>
      </c>
      <c r="Z19" s="66">
        <v>0</v>
      </c>
      <c r="AA19" s="67">
        <v>0</v>
      </c>
      <c r="AB19" s="68">
        <v>81.918681171205307</v>
      </c>
      <c r="AC19" s="69">
        <v>0</v>
      </c>
      <c r="AD19" s="69">
        <v>22.212925688425695</v>
      </c>
      <c r="AE19" s="68">
        <v>21.97</v>
      </c>
      <c r="AF19" s="68">
        <v>0</v>
      </c>
      <c r="AG19" s="68">
        <v>1</v>
      </c>
      <c r="AH19" s="69">
        <v>205.13554493586224</v>
      </c>
      <c r="AI19" s="69">
        <v>473.44097801844282</v>
      </c>
      <c r="AJ19" s="69">
        <v>1403.1875754674279</v>
      </c>
      <c r="AK19" s="69">
        <v>646.81925716400144</v>
      </c>
      <c r="AL19" s="69">
        <v>1381.9523912429813</v>
      </c>
      <c r="AM19" s="69">
        <v>2324.3384844462075</v>
      </c>
      <c r="AN19" s="69">
        <v>608.71565880775461</v>
      </c>
      <c r="AO19" s="69">
        <v>2762.4367505391438</v>
      </c>
      <c r="AP19" s="69">
        <v>418.61771232287089</v>
      </c>
      <c r="AQ19" s="69">
        <v>917.09698152542114</v>
      </c>
    </row>
    <row r="20" spans="1:43" x14ac:dyDescent="0.25">
      <c r="A20" s="11">
        <v>42198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823.47059167226291</v>
      </c>
      <c r="J20" s="60">
        <v>1349.1721843083699</v>
      </c>
      <c r="K20" s="60">
        <v>74.075757372379144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678.37</v>
      </c>
      <c r="V20" s="62">
        <v>0</v>
      </c>
      <c r="W20" s="62">
        <v>60.76</v>
      </c>
      <c r="X20" s="62">
        <v>0</v>
      </c>
      <c r="Y20" s="66">
        <v>502.73</v>
      </c>
      <c r="Z20" s="66">
        <v>0</v>
      </c>
      <c r="AA20" s="67">
        <v>0</v>
      </c>
      <c r="AB20" s="68">
        <v>90.696395280625765</v>
      </c>
      <c r="AC20" s="69">
        <v>0</v>
      </c>
      <c r="AD20" s="69">
        <v>25.338879439565915</v>
      </c>
      <c r="AE20" s="68">
        <v>25.08</v>
      </c>
      <c r="AF20" s="68">
        <v>0</v>
      </c>
      <c r="AG20" s="68">
        <v>1</v>
      </c>
      <c r="AH20" s="69">
        <v>198.43437194824219</v>
      </c>
      <c r="AI20" s="69">
        <v>470.1695514361063</v>
      </c>
      <c r="AJ20" s="69">
        <v>1362.6660266876222</v>
      </c>
      <c r="AK20" s="69">
        <v>660.75484984715774</v>
      </c>
      <c r="AL20" s="69">
        <v>1470.8031063079834</v>
      </c>
      <c r="AM20" s="69">
        <v>2298.6410385131835</v>
      </c>
      <c r="AN20" s="69">
        <v>578.08188638687125</v>
      </c>
      <c r="AO20" s="69">
        <v>3196.8251777648929</v>
      </c>
      <c r="AP20" s="69">
        <v>424.63625574111944</v>
      </c>
      <c r="AQ20" s="69">
        <v>944.72363592783631</v>
      </c>
    </row>
    <row r="21" spans="1:43" x14ac:dyDescent="0.25">
      <c r="A21" s="11">
        <v>42199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784.96835025151552</v>
      </c>
      <c r="J21" s="60">
        <v>1371.5709517796836</v>
      </c>
      <c r="K21" s="60">
        <v>75.302608668804098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662.98</v>
      </c>
      <c r="V21" s="62">
        <v>0</v>
      </c>
      <c r="W21" s="62">
        <v>59.99</v>
      </c>
      <c r="X21" s="62">
        <v>0</v>
      </c>
      <c r="Y21" s="66">
        <v>503.22</v>
      </c>
      <c r="Z21" s="66">
        <v>0</v>
      </c>
      <c r="AA21" s="67">
        <v>0</v>
      </c>
      <c r="AB21" s="68">
        <v>95.600991974935894</v>
      </c>
      <c r="AC21" s="69">
        <v>0</v>
      </c>
      <c r="AD21" s="69">
        <v>25.052013979355518</v>
      </c>
      <c r="AE21" s="68">
        <v>24.8</v>
      </c>
      <c r="AF21" s="68">
        <v>0</v>
      </c>
      <c r="AG21" s="68">
        <v>1</v>
      </c>
      <c r="AH21" s="69">
        <v>209.30059580802916</v>
      </c>
      <c r="AI21" s="69">
        <v>458.97709341049199</v>
      </c>
      <c r="AJ21" s="69">
        <v>1375.7117712656657</v>
      </c>
      <c r="AK21" s="69">
        <v>662.75724147160838</v>
      </c>
      <c r="AL21" s="69">
        <v>1497.7931877136232</v>
      </c>
      <c r="AM21" s="69">
        <v>2320.7181470235187</v>
      </c>
      <c r="AN21" s="69">
        <v>539.36400124231977</v>
      </c>
      <c r="AO21" s="69">
        <v>3207.123432922363</v>
      </c>
      <c r="AP21" s="69">
        <v>414.57368532816565</v>
      </c>
      <c r="AQ21" s="69">
        <v>959.28439900080366</v>
      </c>
    </row>
    <row r="22" spans="1:43" x14ac:dyDescent="0.25">
      <c r="A22" s="11">
        <v>42200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727.99434436162142</v>
      </c>
      <c r="J22" s="60">
        <v>1269.4798683802269</v>
      </c>
      <c r="K22" s="60">
        <v>69.569539272785406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627.9</v>
      </c>
      <c r="V22" s="62">
        <v>0</v>
      </c>
      <c r="W22" s="62">
        <v>56.77</v>
      </c>
      <c r="X22" s="62">
        <v>0</v>
      </c>
      <c r="Y22" s="66">
        <v>478.52</v>
      </c>
      <c r="Z22" s="66">
        <v>0</v>
      </c>
      <c r="AA22" s="67">
        <v>0</v>
      </c>
      <c r="AB22" s="68">
        <v>89.083353614807223</v>
      </c>
      <c r="AC22" s="69">
        <v>0</v>
      </c>
      <c r="AD22" s="69">
        <v>23.833890945381558</v>
      </c>
      <c r="AE22" s="68">
        <v>23.59</v>
      </c>
      <c r="AF22" s="68">
        <v>0</v>
      </c>
      <c r="AG22" s="68">
        <v>1</v>
      </c>
      <c r="AH22" s="69">
        <v>206.13588523864743</v>
      </c>
      <c r="AI22" s="69">
        <v>449.95817356109615</v>
      </c>
      <c r="AJ22" s="69">
        <v>1380.8714768091838</v>
      </c>
      <c r="AK22" s="69">
        <v>660.64575478235872</v>
      </c>
      <c r="AL22" s="69">
        <v>1345.4121933619183</v>
      </c>
      <c r="AM22" s="69">
        <v>2296.972240575155</v>
      </c>
      <c r="AN22" s="69">
        <v>590.01929923693342</v>
      </c>
      <c r="AO22" s="69">
        <v>2954.7629617055259</v>
      </c>
      <c r="AP22" s="69">
        <v>406.08486393292748</v>
      </c>
      <c r="AQ22" s="69">
        <v>901.1382805188498</v>
      </c>
    </row>
    <row r="23" spans="1:43" x14ac:dyDescent="0.25">
      <c r="A23" s="11">
        <v>42201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728.26474307378066</v>
      </c>
      <c r="J23" s="60">
        <v>1320.6782455444354</v>
      </c>
      <c r="K23" s="60">
        <v>72.230016597112126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634.64</v>
      </c>
      <c r="V23" s="62">
        <v>0</v>
      </c>
      <c r="W23" s="62">
        <v>57.19</v>
      </c>
      <c r="X23" s="62">
        <v>0</v>
      </c>
      <c r="Y23" s="66">
        <v>484.94</v>
      </c>
      <c r="Z23" s="66">
        <v>0</v>
      </c>
      <c r="AA23" s="67">
        <v>0</v>
      </c>
      <c r="AB23" s="68">
        <v>92.179390213224806</v>
      </c>
      <c r="AC23" s="69">
        <v>0</v>
      </c>
      <c r="AD23" s="69">
        <v>24.131137284967593</v>
      </c>
      <c r="AE23" s="68">
        <v>23.82</v>
      </c>
      <c r="AF23" s="68">
        <v>0</v>
      </c>
      <c r="AG23" s="68">
        <v>1</v>
      </c>
      <c r="AH23" s="69">
        <v>200.14352007706961</v>
      </c>
      <c r="AI23" s="69">
        <v>444.17790258725478</v>
      </c>
      <c r="AJ23" s="69">
        <v>1367.4451593399049</v>
      </c>
      <c r="AK23" s="69">
        <v>661.55262476603195</v>
      </c>
      <c r="AL23" s="69">
        <v>1331.4759405136106</v>
      </c>
      <c r="AM23" s="69">
        <v>2311.4898549397781</v>
      </c>
      <c r="AN23" s="69">
        <v>583.34328772226968</v>
      </c>
      <c r="AO23" s="69">
        <v>3106.0127376556397</v>
      </c>
      <c r="AP23" s="69">
        <v>401.86252468427017</v>
      </c>
      <c r="AQ23" s="69">
        <v>923.03115189870209</v>
      </c>
    </row>
    <row r="24" spans="1:43" x14ac:dyDescent="0.25">
      <c r="A24" s="11">
        <v>42202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711.12846196492478</v>
      </c>
      <c r="J24" s="60">
        <v>1328.2011433919295</v>
      </c>
      <c r="K24" s="60">
        <v>72.74692986806231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640.95000000000005</v>
      </c>
      <c r="V24" s="62">
        <v>0</v>
      </c>
      <c r="W24" s="62">
        <v>57.96</v>
      </c>
      <c r="X24" s="62">
        <v>0</v>
      </c>
      <c r="Y24" s="66">
        <v>491.76</v>
      </c>
      <c r="Z24" s="66">
        <v>0</v>
      </c>
      <c r="AA24" s="67">
        <v>0</v>
      </c>
      <c r="AB24" s="68">
        <v>92.266219743093004</v>
      </c>
      <c r="AC24" s="69">
        <v>0</v>
      </c>
      <c r="AD24" s="69">
        <v>24.492672175831256</v>
      </c>
      <c r="AE24" s="68">
        <v>24.07</v>
      </c>
      <c r="AF24" s="68">
        <v>0</v>
      </c>
      <c r="AG24" s="68">
        <v>1</v>
      </c>
      <c r="AH24" s="69">
        <v>206.48412353197733</v>
      </c>
      <c r="AI24" s="69">
        <v>455.07476547559099</v>
      </c>
      <c r="AJ24" s="69">
        <v>1395.359231376648</v>
      </c>
      <c r="AK24" s="69">
        <v>660.73433195749919</v>
      </c>
      <c r="AL24" s="69">
        <v>1337.9855270385742</v>
      </c>
      <c r="AM24" s="69">
        <v>2268.8837985992427</v>
      </c>
      <c r="AN24" s="69">
        <v>607.26835989952099</v>
      </c>
      <c r="AO24" s="69">
        <v>3053.1163163503015</v>
      </c>
      <c r="AP24" s="69">
        <v>413.1859348615011</v>
      </c>
      <c r="AQ24" s="69">
        <v>959.3760456720986</v>
      </c>
    </row>
    <row r="25" spans="1:43" x14ac:dyDescent="0.25">
      <c r="A25" s="11">
        <v>42203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730.29607038497886</v>
      </c>
      <c r="J25" s="60">
        <v>1328.7604778289797</v>
      </c>
      <c r="K25" s="60">
        <v>72.969112594922549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639.08000000000004</v>
      </c>
      <c r="V25" s="62">
        <v>0</v>
      </c>
      <c r="W25" s="62">
        <v>58.2</v>
      </c>
      <c r="X25" s="62">
        <v>0</v>
      </c>
      <c r="Y25" s="66">
        <v>496.26</v>
      </c>
      <c r="Z25" s="66">
        <v>0</v>
      </c>
      <c r="AA25" s="67">
        <v>0</v>
      </c>
      <c r="AB25" s="68">
        <v>92.266301303440059</v>
      </c>
      <c r="AC25" s="69">
        <v>0</v>
      </c>
      <c r="AD25" s="69">
        <v>24.774563352266966</v>
      </c>
      <c r="AE25" s="68">
        <v>24.3</v>
      </c>
      <c r="AF25" s="68">
        <v>0</v>
      </c>
      <c r="AG25" s="68">
        <v>1</v>
      </c>
      <c r="AH25" s="69">
        <v>219.45771055221559</v>
      </c>
      <c r="AI25" s="69">
        <v>458.64762760798141</v>
      </c>
      <c r="AJ25" s="69">
        <v>1345.8187911351524</v>
      </c>
      <c r="AK25" s="69">
        <v>658.36496086120599</v>
      </c>
      <c r="AL25" s="69">
        <v>1342.9524457931518</v>
      </c>
      <c r="AM25" s="69">
        <v>2172.6990098317465</v>
      </c>
      <c r="AN25" s="69">
        <v>599.5118036111196</v>
      </c>
      <c r="AO25" s="69">
        <v>3104.506486129761</v>
      </c>
      <c r="AP25" s="69">
        <v>410.30656763712568</v>
      </c>
      <c r="AQ25" s="69">
        <v>907.65840794245412</v>
      </c>
    </row>
    <row r="26" spans="1:43" x14ac:dyDescent="0.25">
      <c r="A26" s="11">
        <v>42204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609.85281807581691</v>
      </c>
      <c r="J26" s="60">
        <v>1057.8515913327533</v>
      </c>
      <c r="K26" s="60">
        <v>58.068641348679947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526.37</v>
      </c>
      <c r="V26" s="62">
        <v>0</v>
      </c>
      <c r="W26" s="62">
        <v>46.57</v>
      </c>
      <c r="X26" s="62">
        <v>0</v>
      </c>
      <c r="Y26" s="66">
        <v>394.2</v>
      </c>
      <c r="Z26" s="66">
        <v>0</v>
      </c>
      <c r="AA26" s="67">
        <v>0</v>
      </c>
      <c r="AB26" s="68">
        <v>70.249010703298964</v>
      </c>
      <c r="AC26" s="69">
        <v>0</v>
      </c>
      <c r="AD26" s="69">
        <v>19.830680900812101</v>
      </c>
      <c r="AE26" s="68">
        <v>19.420000000000002</v>
      </c>
      <c r="AF26" s="68">
        <v>0</v>
      </c>
      <c r="AG26" s="68">
        <v>1</v>
      </c>
      <c r="AH26" s="69">
        <v>191.82812930742901</v>
      </c>
      <c r="AI26" s="69">
        <v>437.96683867772413</v>
      </c>
      <c r="AJ26" s="69">
        <v>1317.3617017745971</v>
      </c>
      <c r="AK26" s="69">
        <v>646.51682535807299</v>
      </c>
      <c r="AL26" s="69">
        <v>1336.5245217641195</v>
      </c>
      <c r="AM26" s="69">
        <v>2182.9786591847737</v>
      </c>
      <c r="AN26" s="69">
        <v>571.34973219235746</v>
      </c>
      <c r="AO26" s="69">
        <v>2704.4226923624674</v>
      </c>
      <c r="AP26" s="69">
        <v>389.7403447310129</v>
      </c>
      <c r="AQ26" s="69">
        <v>830.46983677546177</v>
      </c>
    </row>
    <row r="27" spans="1:43" x14ac:dyDescent="0.25">
      <c r="A27" s="11">
        <v>42205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693.84479748407944</v>
      </c>
      <c r="J27" s="60">
        <v>1184.9202004114775</v>
      </c>
      <c r="K27" s="60">
        <v>65.025331745545259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596.53</v>
      </c>
      <c r="V27" s="62">
        <v>0</v>
      </c>
      <c r="W27" s="62">
        <v>54.47</v>
      </c>
      <c r="X27" s="62">
        <v>0</v>
      </c>
      <c r="Y27" s="62">
        <v>433.87</v>
      </c>
      <c r="Z27" s="62">
        <v>0</v>
      </c>
      <c r="AA27" s="72">
        <v>0</v>
      </c>
      <c r="AB27" s="69">
        <v>79.524375470479086</v>
      </c>
      <c r="AC27" s="69">
        <v>0</v>
      </c>
      <c r="AD27" s="69">
        <v>21.950449223650843</v>
      </c>
      <c r="AE27" s="69">
        <v>21.54</v>
      </c>
      <c r="AF27" s="69">
        <v>0</v>
      </c>
      <c r="AG27" s="69">
        <v>1</v>
      </c>
      <c r="AH27" s="69">
        <v>195.83976108233139</v>
      </c>
      <c r="AI27" s="69">
        <v>453.43062453269954</v>
      </c>
      <c r="AJ27" s="69">
        <v>1358.1844507217406</v>
      </c>
      <c r="AK27" s="69">
        <v>655.79764881134042</v>
      </c>
      <c r="AL27" s="69">
        <v>1429.1072281519571</v>
      </c>
      <c r="AM27" s="69">
        <v>2245.8026191711429</v>
      </c>
      <c r="AN27" s="69">
        <v>581.71789105733239</v>
      </c>
      <c r="AO27" s="69">
        <v>2628.5745752970374</v>
      </c>
      <c r="AP27" s="69">
        <v>398.78137116432185</v>
      </c>
      <c r="AQ27" s="69">
        <v>930.13017619450898</v>
      </c>
    </row>
    <row r="28" spans="1:43" x14ac:dyDescent="0.25">
      <c r="A28" s="11">
        <v>42206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771.78740615844731</v>
      </c>
      <c r="J28" s="60">
        <v>1300.5091252644854</v>
      </c>
      <c r="K28" s="60">
        <v>71.080853291352682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646.23</v>
      </c>
      <c r="V28" s="62">
        <v>0</v>
      </c>
      <c r="W28" s="62">
        <v>61</v>
      </c>
      <c r="X28" s="62">
        <v>0</v>
      </c>
      <c r="Y28" s="66">
        <v>473.22</v>
      </c>
      <c r="Z28" s="66">
        <v>0</v>
      </c>
      <c r="AA28" s="67">
        <v>0</v>
      </c>
      <c r="AB28" s="68">
        <v>85.472162882488163</v>
      </c>
      <c r="AC28" s="69">
        <v>0</v>
      </c>
      <c r="AD28" s="69">
        <v>23.973349967267744</v>
      </c>
      <c r="AE28" s="68">
        <v>23.54</v>
      </c>
      <c r="AF28" s="68">
        <v>0</v>
      </c>
      <c r="AG28" s="68">
        <v>1</v>
      </c>
      <c r="AH28" s="69">
        <v>195.12937524318693</v>
      </c>
      <c r="AI28" s="69">
        <v>457.1208908081054</v>
      </c>
      <c r="AJ28" s="69">
        <v>1359.1446269989015</v>
      </c>
      <c r="AK28" s="69">
        <v>655.54151023228974</v>
      </c>
      <c r="AL28" s="69">
        <v>1494.7575872421266</v>
      </c>
      <c r="AM28" s="69">
        <v>2275.9293865203858</v>
      </c>
      <c r="AN28" s="69">
        <v>568.01284249623609</v>
      </c>
      <c r="AO28" s="69">
        <v>2991.0077523549394</v>
      </c>
      <c r="AP28" s="69">
        <v>403.69835116068526</v>
      </c>
      <c r="AQ28" s="69">
        <v>935.0897755940756</v>
      </c>
    </row>
    <row r="29" spans="1:43" x14ac:dyDescent="0.25">
      <c r="A29" s="11">
        <v>42207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782.51410420735567</v>
      </c>
      <c r="J29" s="60">
        <v>1366.8893799463876</v>
      </c>
      <c r="K29" s="60">
        <v>75.002490079403216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680.6</v>
      </c>
      <c r="V29" s="62">
        <v>0</v>
      </c>
      <c r="W29" s="62">
        <v>65.319999999999993</v>
      </c>
      <c r="X29" s="62">
        <v>0</v>
      </c>
      <c r="Y29" s="66">
        <v>502.93</v>
      </c>
      <c r="Z29" s="66">
        <v>0</v>
      </c>
      <c r="AA29" s="67">
        <v>0</v>
      </c>
      <c r="AB29" s="68">
        <v>94.558083619012592</v>
      </c>
      <c r="AC29" s="69">
        <v>0</v>
      </c>
      <c r="AD29" s="69">
        <v>25.445526362790023</v>
      </c>
      <c r="AE29" s="68">
        <v>24.95</v>
      </c>
      <c r="AF29" s="68">
        <v>0</v>
      </c>
      <c r="AG29" s="68">
        <v>1</v>
      </c>
      <c r="AH29" s="69">
        <v>184.79774661858877</v>
      </c>
      <c r="AI29" s="69">
        <v>452.25142286618546</v>
      </c>
      <c r="AJ29" s="69">
        <v>1396.4846408843994</v>
      </c>
      <c r="AK29" s="69">
        <v>663.41151990890512</v>
      </c>
      <c r="AL29" s="69">
        <v>1508.5849453608193</v>
      </c>
      <c r="AM29" s="69">
        <v>2373.884350967407</v>
      </c>
      <c r="AN29" s="69">
        <v>581.86077343622844</v>
      </c>
      <c r="AO29" s="69">
        <v>3336.451887639364</v>
      </c>
      <c r="AP29" s="69">
        <v>409.42815287907916</v>
      </c>
      <c r="AQ29" s="69">
        <v>1014.5958740234377</v>
      </c>
    </row>
    <row r="30" spans="1:43" x14ac:dyDescent="0.25">
      <c r="A30" s="11">
        <v>42208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808.70242576599139</v>
      </c>
      <c r="J30" s="60">
        <v>1464.4300460815407</v>
      </c>
      <c r="K30" s="60">
        <v>80.351543994744631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686.48</v>
      </c>
      <c r="V30" s="62">
        <v>0</v>
      </c>
      <c r="W30" s="62">
        <v>65.349999999999994</v>
      </c>
      <c r="X30" s="62">
        <v>0</v>
      </c>
      <c r="Y30" s="66">
        <v>512.57000000000005</v>
      </c>
      <c r="Z30" s="66">
        <v>0</v>
      </c>
      <c r="AA30" s="67">
        <v>0</v>
      </c>
      <c r="AB30" s="68">
        <v>101.07605823940831</v>
      </c>
      <c r="AC30" s="69">
        <v>0</v>
      </c>
      <c r="AD30" s="69">
        <v>25.891653886106319</v>
      </c>
      <c r="AE30" s="68">
        <v>25.53</v>
      </c>
      <c r="AF30" s="68">
        <v>0</v>
      </c>
      <c r="AG30" s="68">
        <v>1</v>
      </c>
      <c r="AH30" s="69">
        <v>199.54984922409056</v>
      </c>
      <c r="AI30" s="69">
        <v>472.6608083407084</v>
      </c>
      <c r="AJ30" s="69">
        <v>1420.6272747675578</v>
      </c>
      <c r="AK30" s="69">
        <v>672.13495238622033</v>
      </c>
      <c r="AL30" s="69">
        <v>1525.3226565678915</v>
      </c>
      <c r="AM30" s="69">
        <v>2438.828259150187</v>
      </c>
      <c r="AN30" s="69">
        <v>644.19758683840439</v>
      </c>
      <c r="AO30" s="69">
        <v>3278.5369174957277</v>
      </c>
      <c r="AP30" s="69">
        <v>422.46833732922863</v>
      </c>
      <c r="AQ30" s="69">
        <v>1142.6694295883181</v>
      </c>
    </row>
    <row r="31" spans="1:43" x14ac:dyDescent="0.25">
      <c r="A31" s="11">
        <v>42209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814.16053044001308</v>
      </c>
      <c r="J31" s="60">
        <v>1510.0271788279229</v>
      </c>
      <c r="K31" s="60">
        <v>82.856382779280665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722.23</v>
      </c>
      <c r="V31" s="62">
        <v>0</v>
      </c>
      <c r="W31" s="62">
        <v>69.540000000000006</v>
      </c>
      <c r="X31" s="62">
        <v>0</v>
      </c>
      <c r="Y31" s="66">
        <v>551.13</v>
      </c>
      <c r="Z31" s="66">
        <v>0</v>
      </c>
      <c r="AA31" s="67">
        <v>0</v>
      </c>
      <c r="AB31" s="68">
        <v>105.35273790889131</v>
      </c>
      <c r="AC31" s="69">
        <v>0</v>
      </c>
      <c r="AD31" s="69">
        <v>27.760890460014338</v>
      </c>
      <c r="AE31" s="68">
        <v>27.47</v>
      </c>
      <c r="AF31" s="68">
        <v>0</v>
      </c>
      <c r="AG31" s="68">
        <v>1</v>
      </c>
      <c r="AH31" s="69">
        <v>196.26315307617187</v>
      </c>
      <c r="AI31" s="69">
        <v>468.55556898117067</v>
      </c>
      <c r="AJ31" s="69">
        <v>1380.6379332224528</v>
      </c>
      <c r="AK31" s="69">
        <v>674.50168768564856</v>
      </c>
      <c r="AL31" s="69">
        <v>1512.1741621017457</v>
      </c>
      <c r="AM31" s="69">
        <v>2394.2799727121983</v>
      </c>
      <c r="AN31" s="69">
        <v>650.71237770716345</v>
      </c>
      <c r="AO31" s="69">
        <v>3410.884693145752</v>
      </c>
      <c r="AP31" s="69">
        <v>416.87322371800747</v>
      </c>
      <c r="AQ31" s="69">
        <v>946.57775815327966</v>
      </c>
    </row>
    <row r="32" spans="1:43" x14ac:dyDescent="0.25">
      <c r="A32" s="11">
        <v>42210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763.55397993723591</v>
      </c>
      <c r="J32" s="60">
        <v>1437.3110116958626</v>
      </c>
      <c r="K32" s="60">
        <v>78.912155405680579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683.76</v>
      </c>
      <c r="V32" s="62">
        <v>0</v>
      </c>
      <c r="W32" s="62">
        <v>67.3</v>
      </c>
      <c r="X32" s="62">
        <v>0</v>
      </c>
      <c r="Y32" s="66">
        <v>523.45000000000005</v>
      </c>
      <c r="Z32" s="66">
        <v>0</v>
      </c>
      <c r="AA32" s="67">
        <v>0</v>
      </c>
      <c r="AB32" s="68">
        <v>88.325912920634011</v>
      </c>
      <c r="AC32" s="69">
        <v>0</v>
      </c>
      <c r="AD32" s="69">
        <v>26.404839495817829</v>
      </c>
      <c r="AE32" s="68">
        <v>26.09</v>
      </c>
      <c r="AF32" s="68">
        <v>0</v>
      </c>
      <c r="AG32" s="68">
        <v>1</v>
      </c>
      <c r="AH32" s="69">
        <v>199.19108136494955</v>
      </c>
      <c r="AI32" s="69">
        <v>471.60573593775439</v>
      </c>
      <c r="AJ32" s="69">
        <v>1394.414176368713</v>
      </c>
      <c r="AK32" s="69">
        <v>692.31051880518589</v>
      </c>
      <c r="AL32" s="69">
        <v>1462.8655971527098</v>
      </c>
      <c r="AM32" s="69">
        <v>2390.413233311971</v>
      </c>
      <c r="AN32" s="69">
        <v>656.6977203369139</v>
      </c>
      <c r="AO32" s="69">
        <v>3437.6256088256837</v>
      </c>
      <c r="AP32" s="69">
        <v>415.05404564539595</v>
      </c>
      <c r="AQ32" s="69">
        <v>955.26369323730489</v>
      </c>
    </row>
    <row r="33" spans="1:43" x14ac:dyDescent="0.25">
      <c r="A33" s="11">
        <v>42211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718.29680690765417</v>
      </c>
      <c r="J33" s="60">
        <v>1360.2652191797911</v>
      </c>
      <c r="K33" s="60">
        <v>74.689811416466995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652.79</v>
      </c>
      <c r="V33" s="62">
        <v>0</v>
      </c>
      <c r="W33" s="62">
        <v>63.98</v>
      </c>
      <c r="X33" s="62">
        <v>0</v>
      </c>
      <c r="Y33" s="66">
        <v>498.8</v>
      </c>
      <c r="Z33" s="66">
        <v>0</v>
      </c>
      <c r="AA33" s="67">
        <v>0</v>
      </c>
      <c r="AB33" s="68">
        <v>87.949409267637606</v>
      </c>
      <c r="AC33" s="69">
        <v>0</v>
      </c>
      <c r="AD33" s="69">
        <v>25.175653515921702</v>
      </c>
      <c r="AE33" s="68">
        <v>24.9</v>
      </c>
      <c r="AF33" s="68">
        <v>0</v>
      </c>
      <c r="AG33" s="68">
        <v>1</v>
      </c>
      <c r="AH33" s="69">
        <v>198.04582214355469</v>
      </c>
      <c r="AI33" s="69">
        <v>477.3871179262797</v>
      </c>
      <c r="AJ33" s="69">
        <v>1437.1692576090491</v>
      </c>
      <c r="AK33" s="69">
        <v>694.62296059926359</v>
      </c>
      <c r="AL33" s="69">
        <v>1381.8746791203816</v>
      </c>
      <c r="AM33" s="69">
        <v>2383.3017742156985</v>
      </c>
      <c r="AN33" s="69">
        <v>661.20967985788968</v>
      </c>
      <c r="AO33" s="69">
        <v>3364.0295653025314</v>
      </c>
      <c r="AP33" s="69">
        <v>424.30400880177825</v>
      </c>
      <c r="AQ33" s="69">
        <v>995.26920261383077</v>
      </c>
    </row>
    <row r="34" spans="1:43" x14ac:dyDescent="0.25">
      <c r="A34" s="11">
        <v>42212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771.12053794860867</v>
      </c>
      <c r="J34" s="60">
        <v>1593.1887364705385</v>
      </c>
      <c r="K34" s="60">
        <v>87.274353905518979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745.98</v>
      </c>
      <c r="V34" s="62">
        <v>0</v>
      </c>
      <c r="W34" s="62">
        <v>72.84</v>
      </c>
      <c r="X34" s="62">
        <v>0</v>
      </c>
      <c r="Y34" s="66">
        <v>570.24</v>
      </c>
      <c r="Z34" s="66">
        <v>0</v>
      </c>
      <c r="AA34" s="67">
        <v>0</v>
      </c>
      <c r="AB34" s="68">
        <v>109.93508755895891</v>
      </c>
      <c r="AC34" s="69">
        <v>0</v>
      </c>
      <c r="AD34" s="69">
        <v>28.76953250567113</v>
      </c>
      <c r="AE34" s="68">
        <v>28.33</v>
      </c>
      <c r="AF34" s="68">
        <v>0</v>
      </c>
      <c r="AG34" s="68">
        <v>1</v>
      </c>
      <c r="AH34" s="69">
        <v>192.08375018437704</v>
      </c>
      <c r="AI34" s="69">
        <v>474.35998919804894</v>
      </c>
      <c r="AJ34" s="69">
        <v>1471.1201495488488</v>
      </c>
      <c r="AK34" s="69">
        <v>698.67534618377681</v>
      </c>
      <c r="AL34" s="69">
        <v>1373.5627175649008</v>
      </c>
      <c r="AM34" s="69">
        <v>2492.2504194895428</v>
      </c>
      <c r="AN34" s="69">
        <v>673.19991690317795</v>
      </c>
      <c r="AO34" s="69">
        <v>3502.3265327453614</v>
      </c>
      <c r="AP34" s="69">
        <v>412.865531428655</v>
      </c>
      <c r="AQ34" s="69">
        <v>1032.8343919436138</v>
      </c>
    </row>
    <row r="35" spans="1:43" x14ac:dyDescent="0.25">
      <c r="A35" s="11">
        <v>42213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753.60727256139069</v>
      </c>
      <c r="J35" s="60">
        <v>1714.7590916951508</v>
      </c>
      <c r="K35" s="60">
        <v>90.018956291675593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787.82</v>
      </c>
      <c r="V35" s="62">
        <v>0</v>
      </c>
      <c r="W35" s="62">
        <v>77.400000000000006</v>
      </c>
      <c r="X35" s="62">
        <v>0</v>
      </c>
      <c r="Y35" s="66">
        <v>585.5</v>
      </c>
      <c r="Z35" s="66">
        <v>0</v>
      </c>
      <c r="AA35" s="67">
        <v>0</v>
      </c>
      <c r="AB35" s="68">
        <v>113.4370646635674</v>
      </c>
      <c r="AC35" s="69">
        <v>0</v>
      </c>
      <c r="AD35" s="69">
        <v>29.842645172278111</v>
      </c>
      <c r="AE35" s="68">
        <v>29.34</v>
      </c>
      <c r="AF35" s="68">
        <v>0</v>
      </c>
      <c r="AG35" s="68">
        <v>1</v>
      </c>
      <c r="AH35" s="69">
        <v>202.44578996499379</v>
      </c>
      <c r="AI35" s="69">
        <v>470.62521378199261</v>
      </c>
      <c r="AJ35" s="69">
        <v>1365.2157058080036</v>
      </c>
      <c r="AK35" s="69">
        <v>687.83170820871999</v>
      </c>
      <c r="AL35" s="69">
        <v>1468.4585293451942</v>
      </c>
      <c r="AM35" s="69">
        <v>2538.7134581247965</v>
      </c>
      <c r="AN35" s="69">
        <v>637.72411684989936</v>
      </c>
      <c r="AO35" s="69">
        <v>3732.512820688883</v>
      </c>
      <c r="AP35" s="69">
        <v>372.25412162144988</v>
      </c>
      <c r="AQ35" s="69">
        <v>944.21180810928342</v>
      </c>
    </row>
    <row r="36" spans="1:43" x14ac:dyDescent="0.25">
      <c r="A36" s="11">
        <v>42214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797.59985065460239</v>
      </c>
      <c r="J36" s="60">
        <v>1706.9265839258837</v>
      </c>
      <c r="K36" s="60">
        <v>92.041819846630048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758.41</v>
      </c>
      <c r="V36" s="62">
        <v>0</v>
      </c>
      <c r="W36" s="62">
        <v>72.59</v>
      </c>
      <c r="X36" s="62">
        <v>0</v>
      </c>
      <c r="Y36" s="66">
        <v>564.11</v>
      </c>
      <c r="Z36" s="66">
        <v>0</v>
      </c>
      <c r="AA36" s="67">
        <v>0</v>
      </c>
      <c r="AB36" s="68">
        <v>108.29633753034948</v>
      </c>
      <c r="AC36" s="69">
        <v>0</v>
      </c>
      <c r="AD36" s="69">
        <v>28.339597370889472</v>
      </c>
      <c r="AE36" s="68">
        <v>27.84</v>
      </c>
      <c r="AF36" s="68">
        <v>0</v>
      </c>
      <c r="AG36" s="68">
        <v>1</v>
      </c>
      <c r="AH36" s="69">
        <v>201.97196619510652</v>
      </c>
      <c r="AI36" s="69">
        <v>468.72064291636144</v>
      </c>
      <c r="AJ36" s="69">
        <v>1376.3567766825361</v>
      </c>
      <c r="AK36" s="69">
        <v>685.41844952901215</v>
      </c>
      <c r="AL36" s="69">
        <v>1511.6269949595137</v>
      </c>
      <c r="AM36" s="69">
        <v>2868.7604921976722</v>
      </c>
      <c r="AN36" s="69">
        <v>597.09385566711433</v>
      </c>
      <c r="AO36" s="69">
        <v>3414.6508494059244</v>
      </c>
      <c r="AP36" s="69">
        <v>365.26265341440831</v>
      </c>
      <c r="AQ36" s="69">
        <v>924.08278249104819</v>
      </c>
    </row>
    <row r="37" spans="1:43" x14ac:dyDescent="0.25">
      <c r="A37" s="11">
        <v>42215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877.53252092997297</v>
      </c>
      <c r="J37" s="60">
        <v>1751.2729063669844</v>
      </c>
      <c r="K37" s="60">
        <v>95.994977438449851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723.49</v>
      </c>
      <c r="V37" s="62">
        <v>0</v>
      </c>
      <c r="W37" s="62">
        <v>73.09</v>
      </c>
      <c r="X37" s="62">
        <v>0</v>
      </c>
      <c r="Y37" s="66">
        <v>594.07000000000005</v>
      </c>
      <c r="Z37" s="66">
        <v>0</v>
      </c>
      <c r="AA37" s="67">
        <v>0</v>
      </c>
      <c r="AB37" s="68">
        <v>103.59343326356561</v>
      </c>
      <c r="AC37" s="69">
        <v>0</v>
      </c>
      <c r="AD37" s="69">
        <v>27.993676825364432</v>
      </c>
      <c r="AE37" s="68">
        <v>27.58</v>
      </c>
      <c r="AF37" s="68">
        <v>0</v>
      </c>
      <c r="AG37" s="68">
        <v>1</v>
      </c>
      <c r="AH37" s="69">
        <v>193.80591107209523</v>
      </c>
      <c r="AI37" s="69">
        <v>467.35141685803734</v>
      </c>
      <c r="AJ37" s="69">
        <v>1418.8621240615844</v>
      </c>
      <c r="AK37" s="69">
        <v>690.62087033589683</v>
      </c>
      <c r="AL37" s="69">
        <v>1515.8002696990964</v>
      </c>
      <c r="AM37" s="69">
        <v>3751.1238492329917</v>
      </c>
      <c r="AN37" s="69">
        <v>628.73558630943285</v>
      </c>
      <c r="AO37" s="69">
        <v>3394.1825847625732</v>
      </c>
      <c r="AP37" s="69">
        <v>382.23403741518655</v>
      </c>
      <c r="AQ37" s="69">
        <v>1050.2349122047424</v>
      </c>
    </row>
    <row r="38" spans="1:43" ht="15.75" thickBot="1" x14ac:dyDescent="0.3">
      <c r="A38" s="11">
        <v>42216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983.42573947906453</v>
      </c>
      <c r="J38" s="74">
        <v>1941.9411838531505</v>
      </c>
      <c r="K38" s="74">
        <v>106.58447038332606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785.86</v>
      </c>
      <c r="V38" s="80">
        <v>0</v>
      </c>
      <c r="W38" s="81">
        <v>79.819999999999993</v>
      </c>
      <c r="X38" s="81">
        <v>0</v>
      </c>
      <c r="Y38" s="80">
        <v>653.95000000000005</v>
      </c>
      <c r="Z38" s="80">
        <v>0</v>
      </c>
      <c r="AA38" s="82">
        <v>0</v>
      </c>
      <c r="AB38" s="83">
        <v>112.19861521191046</v>
      </c>
      <c r="AC38" s="84">
        <v>0</v>
      </c>
      <c r="AD38" s="85">
        <v>30.302111430962849</v>
      </c>
      <c r="AE38" s="83">
        <v>29.94</v>
      </c>
      <c r="AF38" s="83">
        <v>0</v>
      </c>
      <c r="AG38" s="83">
        <v>1</v>
      </c>
      <c r="AH38" s="84">
        <v>202.74466346104938</v>
      </c>
      <c r="AI38" s="84">
        <v>473.66128158569336</v>
      </c>
      <c r="AJ38" s="84">
        <v>1422.5067752838133</v>
      </c>
      <c r="AK38" s="84">
        <v>707.41032946904488</v>
      </c>
      <c r="AL38" s="84">
        <v>1522.0878023783364</v>
      </c>
      <c r="AM38" s="84">
        <v>3918.1185997009275</v>
      </c>
      <c r="AN38" s="84">
        <v>655.45504013697303</v>
      </c>
      <c r="AO38" s="84">
        <v>3668.6042376200357</v>
      </c>
      <c r="AP38" s="84">
        <v>470.1062285264332</v>
      </c>
      <c r="AQ38" s="84">
        <v>1018.5319387753804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22805.532553931076</v>
      </c>
      <c r="J39" s="30">
        <f t="shared" si="0"/>
        <v>40843.454940724376</v>
      </c>
      <c r="K39" s="30">
        <f t="shared" si="0"/>
        <v>2234.9101062754803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19504.032216305186</v>
      </c>
      <c r="V39" s="264">
        <f t="shared" si="0"/>
        <v>0</v>
      </c>
      <c r="W39" s="264">
        <f t="shared" si="0"/>
        <v>1810.0181850632025</v>
      </c>
      <c r="X39" s="264">
        <f t="shared" si="0"/>
        <v>0</v>
      </c>
      <c r="Y39" s="264">
        <f t="shared" si="0"/>
        <v>14749.312842076621</v>
      </c>
      <c r="Z39" s="264">
        <f t="shared" si="0"/>
        <v>0</v>
      </c>
      <c r="AA39" s="272">
        <f t="shared" si="0"/>
        <v>0</v>
      </c>
      <c r="AB39" s="275">
        <f t="shared" si="0"/>
        <v>2724.2571394317656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6286.5106829722727</v>
      </c>
      <c r="AI39" s="275">
        <f t="shared" si="1"/>
        <v>14426.519165054957</v>
      </c>
      <c r="AJ39" s="275">
        <f t="shared" si="1"/>
        <v>42610.081129137681</v>
      </c>
      <c r="AK39" s="275">
        <f t="shared" si="1"/>
        <v>20456.740104611716</v>
      </c>
      <c r="AL39" s="275">
        <f t="shared" si="1"/>
        <v>43724.565076828003</v>
      </c>
      <c r="AM39" s="275">
        <f t="shared" si="1"/>
        <v>76144.519875335682</v>
      </c>
      <c r="AN39" s="275">
        <f t="shared" si="1"/>
        <v>18551.718309116368</v>
      </c>
      <c r="AO39" s="275">
        <f t="shared" si="1"/>
        <v>93650.08155113853</v>
      </c>
      <c r="AP39" s="275">
        <f t="shared" si="1"/>
        <v>12314.913748327892</v>
      </c>
      <c r="AQ39" s="275">
        <f t="shared" si="1"/>
        <v>28917.107970460256</v>
      </c>
    </row>
    <row r="40" spans="1:43" ht="15.75" thickBot="1" x14ac:dyDescent="0.3">
      <c r="A40" s="47" t="s">
        <v>174</v>
      </c>
      <c r="B40" s="32">
        <f>Projection!$AC$30</f>
        <v>0.80583665399999982</v>
      </c>
      <c r="C40" s="33">
        <f>Projection!$AC$28</f>
        <v>1.2134866799999999</v>
      </c>
      <c r="D40" s="33">
        <f>Projection!$AC$31</f>
        <v>2.3118479999999999</v>
      </c>
      <c r="E40" s="33">
        <f>Projection!$AC$26</f>
        <v>4.3368000000000002</v>
      </c>
      <c r="F40" s="33">
        <f>Projection!$AC$23</f>
        <v>0</v>
      </c>
      <c r="G40" s="33">
        <f>Projection!$AC$24</f>
        <v>5.7325000000000001E-2</v>
      </c>
      <c r="H40" s="34">
        <f>Projection!$AC$29</f>
        <v>3.6159737999999999</v>
      </c>
      <c r="I40" s="32">
        <f>Projection!$AC$30</f>
        <v>0.80583665399999982</v>
      </c>
      <c r="J40" s="33">
        <f>Projection!$AC$28</f>
        <v>1.2134866799999999</v>
      </c>
      <c r="K40" s="33">
        <f>Projection!$AC$26</f>
        <v>4.3368000000000002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1.2134866799999999</v>
      </c>
      <c r="T40" s="38">
        <f>Projection!$AC$28</f>
        <v>1.2134866799999999</v>
      </c>
      <c r="U40" s="26">
        <f>Projection!$AC$27</f>
        <v>0.23649999999999999</v>
      </c>
      <c r="V40" s="27">
        <f>Projection!$AC$27</f>
        <v>0.23649999999999999</v>
      </c>
      <c r="W40" s="27">
        <f>Projection!$AC$22</f>
        <v>1.1599999999999999</v>
      </c>
      <c r="X40" s="27">
        <f>Projection!$AC$22</f>
        <v>1.1599999999999999</v>
      </c>
      <c r="Y40" s="27">
        <f>Projection!$AC$31</f>
        <v>2.3118479999999999</v>
      </c>
      <c r="Z40" s="27">
        <f>Projection!$AC$31</f>
        <v>2.3118479999999999</v>
      </c>
      <c r="AA40" s="28">
        <v>0</v>
      </c>
      <c r="AB40" s="41">
        <f>Projection!$AC$27</f>
        <v>0.23649999999999999</v>
      </c>
      <c r="AC40" s="41">
        <f>Projection!$AC$30</f>
        <v>0.80583665399999982</v>
      </c>
      <c r="AD40" s="279">
        <f>SUM(AD8:AD38)</f>
        <v>736.15203989777285</v>
      </c>
      <c r="AE40" s="279">
        <f>SUM(AE8:AE38)</f>
        <v>725.05132104588756</v>
      </c>
      <c r="AF40" s="279">
        <f>SUM(AF8:AF38)</f>
        <v>0</v>
      </c>
      <c r="AG40" s="279">
        <f>IF(SUM(AE40:AF40)&gt;0, AE40/(AE40+AF40), "")</f>
        <v>1</v>
      </c>
      <c r="AH40" s="315">
        <v>6.9000000000000006E-2</v>
      </c>
      <c r="AI40" s="315">
        <f t="shared" ref="AI40:AQ40" si="2">$AH$40</f>
        <v>6.9000000000000006E-2</v>
      </c>
      <c r="AJ40" s="315">
        <f t="shared" si="2"/>
        <v>6.9000000000000006E-2</v>
      </c>
      <c r="AK40" s="315">
        <f t="shared" si="2"/>
        <v>6.9000000000000006E-2</v>
      </c>
      <c r="AL40" s="315">
        <f t="shared" si="2"/>
        <v>6.9000000000000006E-2</v>
      </c>
      <c r="AM40" s="315">
        <f t="shared" si="2"/>
        <v>6.9000000000000006E-2</v>
      </c>
      <c r="AN40" s="315">
        <f t="shared" si="2"/>
        <v>6.9000000000000006E-2</v>
      </c>
      <c r="AO40" s="315">
        <f t="shared" si="2"/>
        <v>6.9000000000000006E-2</v>
      </c>
      <c r="AP40" s="315">
        <f t="shared" si="2"/>
        <v>6.9000000000000006E-2</v>
      </c>
      <c r="AQ40" s="315">
        <f t="shared" si="2"/>
        <v>6.9000000000000006E-2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18377.53404594789</v>
      </c>
      <c r="J41" s="36">
        <f t="shared" si="3"/>
        <v>49562.988535749217</v>
      </c>
      <c r="K41" s="36">
        <f t="shared" si="3"/>
        <v>9692.3581488955042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4612.7036191561765</v>
      </c>
      <c r="V41" s="270">
        <f t="shared" si="3"/>
        <v>0</v>
      </c>
      <c r="W41" s="270">
        <f t="shared" si="3"/>
        <v>2099.6210946733149</v>
      </c>
      <c r="X41" s="270">
        <f t="shared" si="3"/>
        <v>0</v>
      </c>
      <c r="Y41" s="270">
        <f t="shared" si="3"/>
        <v>34098.169395329147</v>
      </c>
      <c r="Z41" s="270">
        <f t="shared" si="3"/>
        <v>0</v>
      </c>
      <c r="AA41" s="274">
        <f t="shared" si="3"/>
        <v>0</v>
      </c>
      <c r="AB41" s="277">
        <f t="shared" si="3"/>
        <v>644.28681347561258</v>
      </c>
      <c r="AC41" s="277">
        <f t="shared" si="3"/>
        <v>0</v>
      </c>
      <c r="AH41" s="280">
        <f t="shared" ref="AH41:AQ41" si="4">AH40*AH39</f>
        <v>433.76923712508687</v>
      </c>
      <c r="AI41" s="280">
        <f t="shared" si="4"/>
        <v>995.4298223887921</v>
      </c>
      <c r="AJ41" s="280">
        <f t="shared" si="4"/>
        <v>2940.0955979105001</v>
      </c>
      <c r="AK41" s="280">
        <f t="shared" si="4"/>
        <v>1411.5150672182085</v>
      </c>
      <c r="AL41" s="280">
        <f t="shared" si="4"/>
        <v>3016.9949903011325</v>
      </c>
      <c r="AM41" s="280">
        <f t="shared" si="4"/>
        <v>5253.9718713981629</v>
      </c>
      <c r="AN41" s="280">
        <f t="shared" si="4"/>
        <v>1280.0685633290295</v>
      </c>
      <c r="AO41" s="280">
        <f t="shared" si="4"/>
        <v>6461.855627028559</v>
      </c>
      <c r="AP41" s="280">
        <f t="shared" si="4"/>
        <v>849.72904863462463</v>
      </c>
      <c r="AQ41" s="280">
        <f t="shared" si="4"/>
        <v>1995.2804499617578</v>
      </c>
    </row>
    <row r="42" spans="1:43" ht="49.5" customHeight="1" thickTop="1" thickBot="1" x14ac:dyDescent="0.3">
      <c r="A42" s="561" t="s">
        <v>229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162.63999999999999</v>
      </c>
      <c r="AI42" s="280" t="s">
        <v>199</v>
      </c>
      <c r="AJ42" s="280">
        <v>239.66</v>
      </c>
      <c r="AK42" s="280">
        <v>42.98</v>
      </c>
      <c r="AL42" s="280">
        <v>201.33</v>
      </c>
      <c r="AM42" s="280">
        <v>1098.96</v>
      </c>
      <c r="AN42" s="280">
        <v>136.59</v>
      </c>
      <c r="AO42" s="280" t="s">
        <v>199</v>
      </c>
      <c r="AP42" s="280">
        <v>35.520000000000003</v>
      </c>
      <c r="AQ42" s="280">
        <v>150.03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119087.66165322687</v>
      </c>
      <c r="C44" s="12"/>
      <c r="D44" s="284" t="s">
        <v>135</v>
      </c>
      <c r="E44" s="285">
        <f>SUM(B41:H41)+P41+R41+T41+V41+X41+Z41</f>
        <v>0</v>
      </c>
      <c r="F44" s="12"/>
      <c r="G44" s="284" t="s">
        <v>135</v>
      </c>
      <c r="H44" s="285">
        <f>SUM(I41:N41)+O41+Q41+S41+U41+W41+Y41</f>
        <v>118443.37483975125</v>
      </c>
      <c r="I44" s="12"/>
      <c r="J44" s="284" t="s">
        <v>200</v>
      </c>
      <c r="K44" s="285">
        <v>126939.69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24638.710275295853</v>
      </c>
      <c r="C45" s="12"/>
      <c r="D45" s="286" t="s">
        <v>185</v>
      </c>
      <c r="E45" s="287">
        <f>AH41*(1-$AG$40)+AI41+AJ41*0.5+AL41+AM41*(1-$AG$40)+AN41*(1-$AG$40)+AO41*(1-$AG$40)+AP41*0.5+AQ41*0.5</f>
        <v>6904.977360943366</v>
      </c>
      <c r="F45" s="24"/>
      <c r="G45" s="286" t="s">
        <v>185</v>
      </c>
      <c r="H45" s="287">
        <f>AH41*AG40+AJ41*0.5+AK41+AM41*AG40+AN41*AG40+AO41*AG40+AP41*0.5+AQ41*0.5</f>
        <v>17733.732914352488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1810.0181850632025</v>
      </c>
      <c r="U45" s="258">
        <f>(T45*8.34*0.895)/27000</f>
        <v>0.50038958291730595</v>
      </c>
    </row>
    <row r="46" spans="1:43" ht="32.25" thickBot="1" x14ac:dyDescent="0.3">
      <c r="A46" s="288" t="s">
        <v>186</v>
      </c>
      <c r="B46" s="289">
        <f>SUM(AH42:AQ42)</f>
        <v>2067.71</v>
      </c>
      <c r="C46" s="12"/>
      <c r="D46" s="288" t="s">
        <v>186</v>
      </c>
      <c r="E46" s="289">
        <f>AH42*(1-$AG$40)+AJ42*0.5+AL42+AM42*(1-$AG$40)+AN42*(1-$AG$40)+AP42*0.5+AQ42*0.5</f>
        <v>413.935</v>
      </c>
      <c r="F46" s="23"/>
      <c r="G46" s="288" t="s">
        <v>186</v>
      </c>
      <c r="H46" s="289">
        <f>AH42*AG40+AJ42*0.5+AK42+AM42*AG40+AN42*AG40+AP42*0.5+AQ42*0.5</f>
        <v>1653.7750000000001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126939.69</v>
      </c>
      <c r="C47" s="12"/>
      <c r="D47" s="288" t="s">
        <v>189</v>
      </c>
      <c r="E47" s="289">
        <f>K44*0.5</f>
        <v>63469.845000000001</v>
      </c>
      <c r="F47" s="24"/>
      <c r="G47" s="288" t="s">
        <v>187</v>
      </c>
      <c r="H47" s="289">
        <f>K44*0.5</f>
        <v>63469.845000000001</v>
      </c>
      <c r="I47" s="12"/>
      <c r="J47" s="284" t="s">
        <v>200</v>
      </c>
      <c r="K47" s="285">
        <v>166874.88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166874.88</v>
      </c>
      <c r="C48" s="12"/>
      <c r="D48" s="288" t="s">
        <v>188</v>
      </c>
      <c r="E48" s="289">
        <f>K47*0.5</f>
        <v>83437.440000000002</v>
      </c>
      <c r="F48" s="23"/>
      <c r="G48" s="288" t="s">
        <v>188</v>
      </c>
      <c r="H48" s="289">
        <f>K47*0.5</f>
        <v>83437.440000000002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736.15203989777285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725.05132104588756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2234.9101062754803</v>
      </c>
      <c r="U49" s="258">
        <f>(T49*8.34*1.04)/45000</f>
        <v>0.43077147328424464</v>
      </c>
    </row>
    <row r="50" spans="1:25" ht="48" thickTop="1" thickBot="1" x14ac:dyDescent="0.3">
      <c r="A50" s="293" t="s">
        <v>192</v>
      </c>
      <c r="B50" s="295">
        <f>(SUM(B44:B48)/AD40)</f>
        <v>597.17100286724713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>
        <f>SUM(H44:H48)/AE40</f>
        <v>392.71450101403661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22228.289355736953</v>
      </c>
      <c r="U50" s="258">
        <f>T50/2000/8</f>
        <v>1.3892680847335597</v>
      </c>
    </row>
    <row r="51" spans="1:25" ht="47.25" customHeight="1" thickTop="1" thickBot="1" x14ac:dyDescent="0.3">
      <c r="A51" s="283" t="s">
        <v>193</v>
      </c>
      <c r="B51" s="296">
        <f>B50/1000</f>
        <v>0.59717100286724711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>
        <f>H50/1000</f>
        <v>0.3927145010140366</v>
      </c>
      <c r="I51" s="365">
        <f>H44/H49</f>
        <v>163.35860842084463</v>
      </c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40843.454940724376</v>
      </c>
      <c r="U51" s="258">
        <f>(T51*8.34*1.4)/45000</f>
        <v>10.597515108619952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0</v>
      </c>
      <c r="U52" s="258">
        <f>(T52*8.34*1.135)/45000</f>
        <v>0</v>
      </c>
    </row>
    <row r="53" spans="1:25" ht="48" customHeight="1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22805.532553931076</v>
      </c>
      <c r="U53" s="258">
        <f>(T53*8.34*1.029*0.03)/3300</f>
        <v>1.7792171600298086</v>
      </c>
    </row>
    <row r="54" spans="1:25" ht="51.75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14749.312842076621</v>
      </c>
      <c r="U54" s="261">
        <f>(T54*1.54*8.34)/45000</f>
        <v>4.2096505426332289</v>
      </c>
    </row>
    <row r="55" spans="1:25" ht="24" thickTop="1" x14ac:dyDescent="0.25">
      <c r="A55" s="588"/>
      <c r="B55" s="58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0"/>
      <c r="B56" s="59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6"/>
      <c r="B57" s="58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7"/>
      <c r="B58" s="58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6"/>
      <c r="B59" s="58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7"/>
      <c r="B60" s="587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</row>
    <row r="62" spans="1:25" x14ac:dyDescent="0.25">
      <c r="A62" s="12"/>
      <c r="B62" s="12"/>
    </row>
  </sheetData>
  <sheetProtection algorithmName="SHA-512" hashValue="DepnrSEV6BQl1HbGgg7KeQP5qfUrAIirohgm7IWwTu4COb0G2zMT10REAOXXZ4Wt7aoqY2i8ZLYc3tAluOu7Uw==" saltValue="xOzA6K4znMrvkZ7ueNzQKQ==" spinCount="100000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1"/>
  <sheetViews>
    <sheetView zoomScale="75" zoomScaleNormal="75" workbookViewId="0">
      <selection activeCell="A43" sqref="A43:H51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42217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909.52869885762584</v>
      </c>
      <c r="J8" s="50">
        <v>1725.4499249776195</v>
      </c>
      <c r="K8" s="50">
        <v>94.736184342702231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697.67</v>
      </c>
      <c r="V8" s="54">
        <v>0</v>
      </c>
      <c r="W8" s="54">
        <v>71.47</v>
      </c>
      <c r="X8" s="54">
        <v>0</v>
      </c>
      <c r="Y8" s="54">
        <v>603.16</v>
      </c>
      <c r="Z8" s="54">
        <v>0</v>
      </c>
      <c r="AA8" s="55">
        <v>0</v>
      </c>
      <c r="AB8" s="56">
        <v>106.1119426462366</v>
      </c>
      <c r="AC8" s="57">
        <v>0</v>
      </c>
      <c r="AD8" s="57">
        <v>27.862087481551718</v>
      </c>
      <c r="AE8" s="58">
        <v>27.39</v>
      </c>
      <c r="AF8" s="58">
        <v>0</v>
      </c>
      <c r="AG8" s="58">
        <v>1</v>
      </c>
      <c r="AH8" s="57">
        <v>198.31950192451478</v>
      </c>
      <c r="AI8" s="57">
        <v>475.9351019859314</v>
      </c>
      <c r="AJ8" s="57">
        <v>1447.4156296412148</v>
      </c>
      <c r="AK8" s="57">
        <v>740.1860953013105</v>
      </c>
      <c r="AL8" s="57">
        <v>1522.8239784240727</v>
      </c>
      <c r="AM8" s="57">
        <v>3747.5905344645184</v>
      </c>
      <c r="AN8" s="57">
        <v>668.88659830093388</v>
      </c>
      <c r="AO8" s="57">
        <v>3505.7587763468423</v>
      </c>
      <c r="AP8" s="57">
        <v>504.66985003153491</v>
      </c>
      <c r="AQ8" s="57">
        <v>966.91556552251177</v>
      </c>
    </row>
    <row r="9" spans="1:47" x14ac:dyDescent="0.25">
      <c r="A9" s="11">
        <v>42218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852.22633101145379</v>
      </c>
      <c r="J9" s="60">
        <v>1550.9942747751888</v>
      </c>
      <c r="K9" s="60">
        <v>85.034241104126153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637.66999999999996</v>
      </c>
      <c r="V9" s="62">
        <v>0</v>
      </c>
      <c r="W9" s="62">
        <v>64.599999999999994</v>
      </c>
      <c r="X9" s="62">
        <v>0</v>
      </c>
      <c r="Y9" s="66">
        <v>558.29999999999995</v>
      </c>
      <c r="Z9" s="66">
        <v>0</v>
      </c>
      <c r="AA9" s="67">
        <v>0</v>
      </c>
      <c r="AB9" s="68">
        <v>94.617493359246907</v>
      </c>
      <c r="AC9" s="69">
        <v>0</v>
      </c>
      <c r="AD9" s="69">
        <v>25.417435145378139</v>
      </c>
      <c r="AE9" s="68">
        <v>25</v>
      </c>
      <c r="AF9" s="68">
        <v>0</v>
      </c>
      <c r="AG9" s="68">
        <v>1</v>
      </c>
      <c r="AH9" s="69">
        <v>197.72126770019531</v>
      </c>
      <c r="AI9" s="69">
        <v>472.01689097086586</v>
      </c>
      <c r="AJ9" s="69">
        <v>1382.6848492940269</v>
      </c>
      <c r="AK9" s="69">
        <v>742.20853770573933</v>
      </c>
      <c r="AL9" s="69">
        <v>1506.3151573181153</v>
      </c>
      <c r="AM9" s="69">
        <v>3411.434390004476</v>
      </c>
      <c r="AN9" s="69">
        <v>659.97317034403477</v>
      </c>
      <c r="AO9" s="69">
        <v>3040.597027206421</v>
      </c>
      <c r="AP9" s="69">
        <v>508.9478967348735</v>
      </c>
      <c r="AQ9" s="69">
        <v>912.97832692464181</v>
      </c>
    </row>
    <row r="10" spans="1:47" x14ac:dyDescent="0.25">
      <c r="A10" s="11">
        <v>42219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852.29018974304313</v>
      </c>
      <c r="J10" s="60">
        <v>1551.564058430989</v>
      </c>
      <c r="K10" s="60">
        <v>85.06698887348179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645.19000000000005</v>
      </c>
      <c r="V10" s="62">
        <v>0</v>
      </c>
      <c r="W10" s="62">
        <v>64.540000000000006</v>
      </c>
      <c r="X10" s="62">
        <v>0</v>
      </c>
      <c r="Y10" s="66">
        <v>560.36</v>
      </c>
      <c r="Z10" s="66">
        <v>0</v>
      </c>
      <c r="AA10" s="67">
        <v>0</v>
      </c>
      <c r="AB10" s="68">
        <v>94.617430178323062</v>
      </c>
      <c r="AC10" s="69">
        <v>0</v>
      </c>
      <c r="AD10" s="69">
        <v>25.410576633612315</v>
      </c>
      <c r="AE10" s="68">
        <v>25</v>
      </c>
      <c r="AF10" s="68">
        <v>0</v>
      </c>
      <c r="AG10" s="68">
        <v>1</v>
      </c>
      <c r="AH10" s="69">
        <v>207.20124955177306</v>
      </c>
      <c r="AI10" s="69">
        <v>467.74236278533937</v>
      </c>
      <c r="AJ10" s="69">
        <v>1362.9396745045976</v>
      </c>
      <c r="AK10" s="69">
        <v>734.5441506703695</v>
      </c>
      <c r="AL10" s="69">
        <v>1485.3200089772547</v>
      </c>
      <c r="AM10" s="69">
        <v>3385.5569905598954</v>
      </c>
      <c r="AN10" s="69">
        <v>629.43253930409742</v>
      </c>
      <c r="AO10" s="69">
        <v>3084.5246798197431</v>
      </c>
      <c r="AP10" s="69">
        <v>493.46976346969603</v>
      </c>
      <c r="AQ10" s="69">
        <v>922.02410662968953</v>
      </c>
    </row>
    <row r="11" spans="1:47" x14ac:dyDescent="0.25">
      <c r="A11" s="11">
        <v>42220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897.08305714925086</v>
      </c>
      <c r="J11" s="60">
        <v>1632.4137919108066</v>
      </c>
      <c r="K11" s="60">
        <v>93.833199993769227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657.11</v>
      </c>
      <c r="V11" s="62">
        <v>0</v>
      </c>
      <c r="W11" s="62">
        <v>65.62</v>
      </c>
      <c r="X11" s="62">
        <v>0</v>
      </c>
      <c r="Y11" s="66">
        <v>570.70000000000005</v>
      </c>
      <c r="Z11" s="66">
        <v>0</v>
      </c>
      <c r="AA11" s="67">
        <v>0</v>
      </c>
      <c r="AB11" s="68">
        <v>94.615869961843927</v>
      </c>
      <c r="AC11" s="69">
        <v>0</v>
      </c>
      <c r="AD11" s="69">
        <v>25.898766558700174</v>
      </c>
      <c r="AE11" s="68">
        <v>25.47</v>
      </c>
      <c r="AF11" s="68">
        <v>0</v>
      </c>
      <c r="AG11" s="68">
        <v>1</v>
      </c>
      <c r="AH11" s="69">
        <v>198.1677752017975</v>
      </c>
      <c r="AI11" s="69">
        <v>457.73109229405725</v>
      </c>
      <c r="AJ11" s="69">
        <v>1404.8301616032918</v>
      </c>
      <c r="AK11" s="69">
        <v>743.635388914744</v>
      </c>
      <c r="AL11" s="69">
        <v>1451.7924502690632</v>
      </c>
      <c r="AM11" s="69">
        <v>3417.8018470764159</v>
      </c>
      <c r="AN11" s="69">
        <v>600.24622260729473</v>
      </c>
      <c r="AO11" s="69">
        <v>3134.8069273630781</v>
      </c>
      <c r="AP11" s="69">
        <v>507.35709253946942</v>
      </c>
      <c r="AQ11" s="69">
        <v>935.58647441864002</v>
      </c>
    </row>
    <row r="12" spans="1:47" x14ac:dyDescent="0.25">
      <c r="A12" s="11">
        <v>42221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899.99651355743435</v>
      </c>
      <c r="J12" s="60">
        <v>1637.9051119486473</v>
      </c>
      <c r="K12" s="60">
        <v>97.834253700573967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670</v>
      </c>
      <c r="V12" s="62">
        <v>0</v>
      </c>
      <c r="W12" s="62">
        <v>66.92</v>
      </c>
      <c r="X12" s="62">
        <v>0</v>
      </c>
      <c r="Y12" s="66">
        <v>569.61</v>
      </c>
      <c r="Z12" s="66">
        <v>0</v>
      </c>
      <c r="AA12" s="67">
        <v>0</v>
      </c>
      <c r="AB12" s="68">
        <v>84.784472756914383</v>
      </c>
      <c r="AC12" s="69">
        <v>0</v>
      </c>
      <c r="AD12" s="69">
        <v>25.926103960143156</v>
      </c>
      <c r="AE12" s="68">
        <v>25.59</v>
      </c>
      <c r="AF12" s="68">
        <v>0</v>
      </c>
      <c r="AG12" s="68">
        <v>1</v>
      </c>
      <c r="AH12" s="69">
        <v>202.84024666150412</v>
      </c>
      <c r="AI12" s="69">
        <v>473.19632298151652</v>
      </c>
      <c r="AJ12" s="69">
        <v>1438.8795097351071</v>
      </c>
      <c r="AK12" s="69">
        <v>749.39728482564294</v>
      </c>
      <c r="AL12" s="69">
        <v>1355.0927022933961</v>
      </c>
      <c r="AM12" s="69">
        <v>3583.3807210286468</v>
      </c>
      <c r="AN12" s="69">
        <v>656.18671366373701</v>
      </c>
      <c r="AO12" s="69">
        <v>3502.2597170511885</v>
      </c>
      <c r="AP12" s="69">
        <v>513.94551722208644</v>
      </c>
      <c r="AQ12" s="69">
        <v>1016.9242230097452</v>
      </c>
    </row>
    <row r="13" spans="1:47" x14ac:dyDescent="0.25">
      <c r="A13" s="11">
        <v>42222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958.39299303690518</v>
      </c>
      <c r="J13" s="60">
        <v>1843.6934983571384</v>
      </c>
      <c r="K13" s="60">
        <v>103.42385496695806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705.41</v>
      </c>
      <c r="V13" s="62">
        <v>0</v>
      </c>
      <c r="W13" s="62">
        <v>71.73</v>
      </c>
      <c r="X13" s="62">
        <v>0</v>
      </c>
      <c r="Y13" s="66">
        <v>599.71</v>
      </c>
      <c r="Z13" s="66">
        <v>0</v>
      </c>
      <c r="AA13" s="67">
        <v>0</v>
      </c>
      <c r="AB13" s="68">
        <v>83.231700929008056</v>
      </c>
      <c r="AC13" s="69">
        <v>0</v>
      </c>
      <c r="AD13" s="69">
        <v>27.906512439250967</v>
      </c>
      <c r="AE13" s="68">
        <v>27.45</v>
      </c>
      <c r="AF13" s="68">
        <v>0</v>
      </c>
      <c r="AG13" s="68">
        <v>1</v>
      </c>
      <c r="AH13" s="69">
        <v>196.93723804155985</v>
      </c>
      <c r="AI13" s="69">
        <v>472.96078910827634</v>
      </c>
      <c r="AJ13" s="69">
        <v>1421.7312659581503</v>
      </c>
      <c r="AK13" s="69">
        <v>755.31514803568518</v>
      </c>
      <c r="AL13" s="69">
        <v>1365.809372901916</v>
      </c>
      <c r="AM13" s="69">
        <v>3809.664500172933</v>
      </c>
      <c r="AN13" s="69">
        <v>675.95896685918149</v>
      </c>
      <c r="AO13" s="69">
        <v>3431.2356114705403</v>
      </c>
      <c r="AP13" s="69">
        <v>499.60041033426927</v>
      </c>
      <c r="AQ13" s="69">
        <v>941.94429556528735</v>
      </c>
    </row>
    <row r="14" spans="1:47" x14ac:dyDescent="0.25">
      <c r="A14" s="11">
        <v>42223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961.90286019643236</v>
      </c>
      <c r="J14" s="60">
        <v>1847.8216421763118</v>
      </c>
      <c r="K14" s="60">
        <v>102.50402084986366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639.49</v>
      </c>
      <c r="V14" s="62">
        <v>0</v>
      </c>
      <c r="W14" s="62">
        <v>65</v>
      </c>
      <c r="X14" s="62">
        <v>0</v>
      </c>
      <c r="Y14" s="66">
        <v>559.44000000000005</v>
      </c>
      <c r="Z14" s="66">
        <v>0</v>
      </c>
      <c r="AA14" s="67">
        <v>0</v>
      </c>
      <c r="AB14" s="68">
        <v>62.966043519973212</v>
      </c>
      <c r="AC14" s="69">
        <v>0</v>
      </c>
      <c r="AD14" s="69">
        <v>24.9622550858392</v>
      </c>
      <c r="AE14" s="68">
        <v>24.6</v>
      </c>
      <c r="AF14" s="68">
        <v>0</v>
      </c>
      <c r="AG14" s="68">
        <v>1</v>
      </c>
      <c r="AH14" s="69">
        <v>200.62558345794679</v>
      </c>
      <c r="AI14" s="69">
        <v>470.35447508494059</v>
      </c>
      <c r="AJ14" s="69">
        <v>1432.4180390675865</v>
      </c>
      <c r="AK14" s="69">
        <v>778.51213823954254</v>
      </c>
      <c r="AL14" s="69">
        <v>1354.9011767069494</v>
      </c>
      <c r="AM14" s="69">
        <v>3945.889627329509</v>
      </c>
      <c r="AN14" s="69">
        <v>669.57073774337766</v>
      </c>
      <c r="AO14" s="69">
        <v>3146.8918352762853</v>
      </c>
      <c r="AP14" s="69">
        <v>510.72655680974322</v>
      </c>
      <c r="AQ14" s="69">
        <v>991.23383995691938</v>
      </c>
    </row>
    <row r="15" spans="1:47" x14ac:dyDescent="0.25">
      <c r="A15" s="11">
        <v>42224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1007.4211812337244</v>
      </c>
      <c r="J15" s="60">
        <v>1946.4525174458818</v>
      </c>
      <c r="K15" s="60">
        <v>108.41063872178395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661.18</v>
      </c>
      <c r="V15" s="62">
        <v>0</v>
      </c>
      <c r="W15" s="62">
        <v>64.28</v>
      </c>
      <c r="X15" s="62">
        <v>0</v>
      </c>
      <c r="Y15" s="66">
        <v>595.33000000000004</v>
      </c>
      <c r="Z15" s="66">
        <v>0</v>
      </c>
      <c r="AA15" s="67">
        <v>0</v>
      </c>
      <c r="AB15" s="68">
        <v>52.792124043569778</v>
      </c>
      <c r="AC15" s="69">
        <v>0</v>
      </c>
      <c r="AD15" s="69">
        <v>25.999240909682381</v>
      </c>
      <c r="AE15" s="68">
        <v>25.65</v>
      </c>
      <c r="AF15" s="68">
        <v>0</v>
      </c>
      <c r="AG15" s="68">
        <v>1</v>
      </c>
      <c r="AH15" s="69">
        <v>198.87603483200073</v>
      </c>
      <c r="AI15" s="69">
        <v>469.63543446858728</v>
      </c>
      <c r="AJ15" s="69">
        <v>1390.8621956507363</v>
      </c>
      <c r="AK15" s="69">
        <v>775.13675454457598</v>
      </c>
      <c r="AL15" s="69">
        <v>1360.6665888468426</v>
      </c>
      <c r="AM15" s="69">
        <v>4110.1286646525059</v>
      </c>
      <c r="AN15" s="69">
        <v>654.8005092302958</v>
      </c>
      <c r="AO15" s="69">
        <v>3255.1652570088704</v>
      </c>
      <c r="AP15" s="69">
        <v>480.38143440882368</v>
      </c>
      <c r="AQ15" s="69">
        <v>934.99828224182124</v>
      </c>
    </row>
    <row r="16" spans="1:47" x14ac:dyDescent="0.25">
      <c r="A16" s="11">
        <v>42225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1056.7945991516115</v>
      </c>
      <c r="J16" s="60">
        <v>2019.7230206807428</v>
      </c>
      <c r="K16" s="60">
        <v>108.22512625058492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635.21</v>
      </c>
      <c r="V16" s="62">
        <v>0</v>
      </c>
      <c r="W16" s="62">
        <v>61.61</v>
      </c>
      <c r="X16" s="62">
        <v>0</v>
      </c>
      <c r="Y16" s="66">
        <v>572.53</v>
      </c>
      <c r="Z16" s="66">
        <v>0</v>
      </c>
      <c r="AA16" s="67">
        <v>0</v>
      </c>
      <c r="AB16" s="68">
        <v>52.788960176043879</v>
      </c>
      <c r="AC16" s="69">
        <v>0</v>
      </c>
      <c r="AD16" s="69">
        <v>25.006079212824492</v>
      </c>
      <c r="AE16" s="68">
        <v>24.64</v>
      </c>
      <c r="AF16" s="68">
        <v>0</v>
      </c>
      <c r="AG16" s="68">
        <v>1</v>
      </c>
      <c r="AH16" s="69">
        <v>200.44481237729391</v>
      </c>
      <c r="AI16" s="69">
        <v>474.11667658487954</v>
      </c>
      <c r="AJ16" s="69">
        <v>1388.3279005050658</v>
      </c>
      <c r="AK16" s="69">
        <v>790.11147346496568</v>
      </c>
      <c r="AL16" s="69">
        <v>1370.0645059585572</v>
      </c>
      <c r="AM16" s="69">
        <v>4052.3538040161134</v>
      </c>
      <c r="AN16" s="69">
        <v>652.52978630065911</v>
      </c>
      <c r="AO16" s="69">
        <v>3253.2262650807702</v>
      </c>
      <c r="AP16" s="69">
        <v>495.63235301971429</v>
      </c>
      <c r="AQ16" s="69">
        <v>945.91471255620309</v>
      </c>
    </row>
    <row r="17" spans="1:43" x14ac:dyDescent="0.25">
      <c r="A17" s="11">
        <v>42226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1111.5909741083788</v>
      </c>
      <c r="J17" s="50">
        <v>2019.7197213490806</v>
      </c>
      <c r="K17" s="50">
        <v>108.19840862751009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632.04999999999995</v>
      </c>
      <c r="V17" s="66">
        <v>0</v>
      </c>
      <c r="W17" s="62">
        <v>61.3</v>
      </c>
      <c r="X17" s="62">
        <v>0</v>
      </c>
      <c r="Y17" s="66">
        <v>573.80999999999995</v>
      </c>
      <c r="Z17" s="66">
        <v>0</v>
      </c>
      <c r="AA17" s="67">
        <v>0</v>
      </c>
      <c r="AB17" s="68">
        <v>52.789042051632862</v>
      </c>
      <c r="AC17" s="69">
        <v>0</v>
      </c>
      <c r="AD17" s="69">
        <v>24.926490235328711</v>
      </c>
      <c r="AE17" s="68">
        <v>24.53</v>
      </c>
      <c r="AF17" s="68">
        <v>0</v>
      </c>
      <c r="AG17" s="68">
        <v>1</v>
      </c>
      <c r="AH17" s="69">
        <v>211.43245017528531</v>
      </c>
      <c r="AI17" s="69">
        <v>474.22165482838943</v>
      </c>
      <c r="AJ17" s="69">
        <v>1343.5244926452633</v>
      </c>
      <c r="AK17" s="69">
        <v>761.14510955810545</v>
      </c>
      <c r="AL17" s="69">
        <v>1412.3822713216148</v>
      </c>
      <c r="AM17" s="69">
        <v>3997.9710566202798</v>
      </c>
      <c r="AN17" s="69">
        <v>634.41069315274558</v>
      </c>
      <c r="AO17" s="69">
        <v>3262.3563632965079</v>
      </c>
      <c r="AP17" s="69">
        <v>472.50498215357459</v>
      </c>
      <c r="AQ17" s="69">
        <v>969.80841833750401</v>
      </c>
    </row>
    <row r="18" spans="1:43" x14ac:dyDescent="0.25">
      <c r="A18" s="11">
        <v>42227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1034.0861788431796</v>
      </c>
      <c r="J18" s="60">
        <v>1709.7350797653198</v>
      </c>
      <c r="K18" s="60">
        <v>94.324442013105298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546.6</v>
      </c>
      <c r="V18" s="62">
        <v>0</v>
      </c>
      <c r="W18" s="62">
        <v>52.56</v>
      </c>
      <c r="X18" s="62">
        <v>0</v>
      </c>
      <c r="Y18" s="66">
        <v>501.91</v>
      </c>
      <c r="Z18" s="66">
        <v>0</v>
      </c>
      <c r="AA18" s="67">
        <v>0</v>
      </c>
      <c r="AB18" s="68">
        <v>48.921491702397013</v>
      </c>
      <c r="AC18" s="69">
        <v>0</v>
      </c>
      <c r="AD18" s="69">
        <v>21.66363451547091</v>
      </c>
      <c r="AE18" s="68">
        <v>21.26</v>
      </c>
      <c r="AF18" s="68">
        <v>0</v>
      </c>
      <c r="AG18" s="68">
        <v>1</v>
      </c>
      <c r="AH18" s="69">
        <v>194.72681240240735</v>
      </c>
      <c r="AI18" s="69">
        <v>459.44201951026912</v>
      </c>
      <c r="AJ18" s="69">
        <v>1364.3875036239622</v>
      </c>
      <c r="AK18" s="69">
        <v>718.8974902788799</v>
      </c>
      <c r="AL18" s="69">
        <v>1484.8409586588543</v>
      </c>
      <c r="AM18" s="69">
        <v>3774.3365109761562</v>
      </c>
      <c r="AN18" s="69">
        <v>612.2734994729359</v>
      </c>
      <c r="AO18" s="69">
        <v>3165.2964188893638</v>
      </c>
      <c r="AP18" s="69">
        <v>477.0950294176738</v>
      </c>
      <c r="AQ18" s="69">
        <v>1009.8677671750388</v>
      </c>
    </row>
    <row r="19" spans="1:43" x14ac:dyDescent="0.25">
      <c r="A19" s="11">
        <v>42228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1054.9062871932988</v>
      </c>
      <c r="J19" s="60">
        <v>1429.360789934793</v>
      </c>
      <c r="K19" s="60">
        <v>82.96185497045515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485.02</v>
      </c>
      <c r="V19" s="62">
        <v>0</v>
      </c>
      <c r="W19" s="62">
        <v>44.9</v>
      </c>
      <c r="X19" s="62">
        <v>0</v>
      </c>
      <c r="Y19" s="66">
        <v>437.98</v>
      </c>
      <c r="Z19" s="66">
        <v>0</v>
      </c>
      <c r="AA19" s="67">
        <v>0</v>
      </c>
      <c r="AB19" s="68">
        <v>43.684212814437053</v>
      </c>
      <c r="AC19" s="69">
        <v>0</v>
      </c>
      <c r="AD19" s="69">
        <v>18.916093726952862</v>
      </c>
      <c r="AE19" s="68">
        <v>18.63</v>
      </c>
      <c r="AF19" s="68">
        <v>0</v>
      </c>
      <c r="AG19" s="68">
        <v>1</v>
      </c>
      <c r="AH19" s="69">
        <v>194.29942061106365</v>
      </c>
      <c r="AI19" s="69">
        <v>465.80964775085442</v>
      </c>
      <c r="AJ19" s="69">
        <v>1389.2499090830488</v>
      </c>
      <c r="AK19" s="69">
        <v>725.24970115025837</v>
      </c>
      <c r="AL19" s="69">
        <v>1487.7760595957438</v>
      </c>
      <c r="AM19" s="69">
        <v>3514.7095205942796</v>
      </c>
      <c r="AN19" s="69">
        <v>638.18106568654377</v>
      </c>
      <c r="AO19" s="69">
        <v>2655.7856160481774</v>
      </c>
      <c r="AP19" s="69">
        <v>495.42460651397715</v>
      </c>
      <c r="AQ19" s="69">
        <v>1034.1355926513672</v>
      </c>
    </row>
    <row r="20" spans="1:43" x14ac:dyDescent="0.25">
      <c r="A20" s="11">
        <v>42229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1307.5459670384735</v>
      </c>
      <c r="J20" s="60">
        <v>1595.2684315363574</v>
      </c>
      <c r="K20" s="60">
        <v>92.230933368205868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603.86</v>
      </c>
      <c r="V20" s="62">
        <v>0</v>
      </c>
      <c r="W20" s="62">
        <v>55.71</v>
      </c>
      <c r="X20" s="62">
        <v>0</v>
      </c>
      <c r="Y20" s="66">
        <v>553.84</v>
      </c>
      <c r="Z20" s="66">
        <v>0</v>
      </c>
      <c r="AA20" s="67">
        <v>0</v>
      </c>
      <c r="AB20" s="68">
        <v>49.136124674478864</v>
      </c>
      <c r="AC20" s="69">
        <v>0</v>
      </c>
      <c r="AD20" s="69">
        <v>23.4327270388603</v>
      </c>
      <c r="AE20" s="68">
        <v>23.05</v>
      </c>
      <c r="AF20" s="68">
        <v>0</v>
      </c>
      <c r="AG20" s="68">
        <v>1</v>
      </c>
      <c r="AH20" s="69">
        <v>195.34829732577006</v>
      </c>
      <c r="AI20" s="69">
        <v>472.9596513271332</v>
      </c>
      <c r="AJ20" s="69">
        <v>1430.7193353652951</v>
      </c>
      <c r="AK20" s="69">
        <v>734.46910502115884</v>
      </c>
      <c r="AL20" s="69">
        <v>1494.0779874165853</v>
      </c>
      <c r="AM20" s="69">
        <v>3713.7396324157717</v>
      </c>
      <c r="AN20" s="69">
        <v>681.47276379267373</v>
      </c>
      <c r="AO20" s="69">
        <v>3107.2871925354002</v>
      </c>
      <c r="AP20" s="69">
        <v>523.63628900845845</v>
      </c>
      <c r="AQ20" s="69">
        <v>1092.4831331888836</v>
      </c>
    </row>
    <row r="21" spans="1:43" x14ac:dyDescent="0.25">
      <c r="A21" s="11">
        <v>42230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1235.421020698549</v>
      </c>
      <c r="J21" s="60">
        <v>1480.1993439992286</v>
      </c>
      <c r="K21" s="60">
        <v>87.100951671600356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494.63</v>
      </c>
      <c r="V21" s="62">
        <v>0</v>
      </c>
      <c r="W21" s="62">
        <v>45.64</v>
      </c>
      <c r="X21" s="62">
        <v>0</v>
      </c>
      <c r="Y21" s="66">
        <v>459.07</v>
      </c>
      <c r="Z21" s="66">
        <v>0</v>
      </c>
      <c r="AA21" s="67">
        <v>0</v>
      </c>
      <c r="AB21" s="68">
        <v>49.13444529109524</v>
      </c>
      <c r="AC21" s="69">
        <v>0</v>
      </c>
      <c r="AD21" s="69">
        <v>19.280399758285917</v>
      </c>
      <c r="AE21" s="68">
        <v>18.95</v>
      </c>
      <c r="AF21" s="68">
        <v>0</v>
      </c>
      <c r="AG21" s="68">
        <v>1</v>
      </c>
      <c r="AH21" s="69">
        <v>202.91116035779316</v>
      </c>
      <c r="AI21" s="69">
        <v>473.2632375399271</v>
      </c>
      <c r="AJ21" s="69">
        <v>1367.7560077031453</v>
      </c>
      <c r="AK21" s="69">
        <v>727.58989260991427</v>
      </c>
      <c r="AL21" s="69">
        <v>1499.3802100499472</v>
      </c>
      <c r="AM21" s="69">
        <v>3573.3417472839355</v>
      </c>
      <c r="AN21" s="69">
        <v>686.45584077835076</v>
      </c>
      <c r="AO21" s="69">
        <v>2852.6266464233404</v>
      </c>
      <c r="AP21" s="69">
        <v>532.56171744664516</v>
      </c>
      <c r="AQ21" s="69">
        <v>1055.8001393318177</v>
      </c>
    </row>
    <row r="22" spans="1:43" x14ac:dyDescent="0.25">
      <c r="A22" s="11">
        <v>42231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1304.7960265477498</v>
      </c>
      <c r="J22" s="60">
        <v>1564.7714625040678</v>
      </c>
      <c r="K22" s="60">
        <v>92.233507116635664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571.09</v>
      </c>
      <c r="V22" s="62">
        <v>0</v>
      </c>
      <c r="W22" s="62">
        <v>52.45</v>
      </c>
      <c r="X22" s="62">
        <v>0</v>
      </c>
      <c r="Y22" s="66">
        <v>519.85</v>
      </c>
      <c r="Z22" s="66">
        <v>0</v>
      </c>
      <c r="AA22" s="67">
        <v>0</v>
      </c>
      <c r="AB22" s="68">
        <v>43.082700151866447</v>
      </c>
      <c r="AC22" s="69">
        <v>0</v>
      </c>
      <c r="AD22" s="69">
        <v>22.195966595411285</v>
      </c>
      <c r="AE22" s="68">
        <v>21.83</v>
      </c>
      <c r="AF22" s="68">
        <v>0</v>
      </c>
      <c r="AG22" s="68">
        <v>1</v>
      </c>
      <c r="AH22" s="69">
        <v>198.42344670295716</v>
      </c>
      <c r="AI22" s="69">
        <v>477.34404144287112</v>
      </c>
      <c r="AJ22" s="69">
        <v>1398.9921226501467</v>
      </c>
      <c r="AK22" s="69">
        <v>751.45717830657964</v>
      </c>
      <c r="AL22" s="69">
        <v>1512.6675118764247</v>
      </c>
      <c r="AM22" s="69">
        <v>3584.2058118184405</v>
      </c>
      <c r="AN22" s="69">
        <v>681.70694977442429</v>
      </c>
      <c r="AO22" s="69">
        <v>3025.4655953725178</v>
      </c>
      <c r="AP22" s="69">
        <v>540.53877668380744</v>
      </c>
      <c r="AQ22" s="69">
        <v>1001.8414172172547</v>
      </c>
    </row>
    <row r="23" spans="1:43" x14ac:dyDescent="0.25">
      <c r="A23" s="11">
        <v>42232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1319.7889626185092</v>
      </c>
      <c r="J23" s="60">
        <v>1573.5704723358128</v>
      </c>
      <c r="K23" s="60">
        <v>90.909882287184431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573.67999999999995</v>
      </c>
      <c r="V23" s="62">
        <v>0</v>
      </c>
      <c r="W23" s="62">
        <v>53.57</v>
      </c>
      <c r="X23" s="62">
        <v>0</v>
      </c>
      <c r="Y23" s="66">
        <v>519.80999999999995</v>
      </c>
      <c r="Z23" s="66">
        <v>0</v>
      </c>
      <c r="AA23" s="67">
        <v>0</v>
      </c>
      <c r="AB23" s="68">
        <v>42.182179718546529</v>
      </c>
      <c r="AC23" s="69">
        <v>0</v>
      </c>
      <c r="AD23" s="69">
        <v>22.391776463720522</v>
      </c>
      <c r="AE23" s="68">
        <v>22.03</v>
      </c>
      <c r="AF23" s="68">
        <v>0</v>
      </c>
      <c r="AG23" s="68">
        <v>1</v>
      </c>
      <c r="AH23" s="69">
        <v>198.42169189453125</v>
      </c>
      <c r="AI23" s="69">
        <v>472.37119433085121</v>
      </c>
      <c r="AJ23" s="69">
        <v>1359.9933102289835</v>
      </c>
      <c r="AK23" s="69">
        <v>749.60205971399932</v>
      </c>
      <c r="AL23" s="69">
        <v>1496.8306952158614</v>
      </c>
      <c r="AM23" s="69">
        <v>3613.5208969116202</v>
      </c>
      <c r="AN23" s="69">
        <v>671.66505435307806</v>
      </c>
      <c r="AO23" s="69">
        <v>3061.989094924927</v>
      </c>
      <c r="AP23" s="69">
        <v>531.2169699033102</v>
      </c>
      <c r="AQ23" s="69">
        <v>946.76396239598591</v>
      </c>
    </row>
    <row r="24" spans="1:43" x14ac:dyDescent="0.25">
      <c r="A24" s="11">
        <v>42233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1319.6209941228258</v>
      </c>
      <c r="J24" s="60">
        <v>1573.6568572998053</v>
      </c>
      <c r="K24" s="60">
        <v>90.753960263729184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573.91</v>
      </c>
      <c r="V24" s="62">
        <v>0</v>
      </c>
      <c r="W24" s="62">
        <v>53.49</v>
      </c>
      <c r="X24" s="62">
        <v>0</v>
      </c>
      <c r="Y24" s="66">
        <v>521.13</v>
      </c>
      <c r="Z24" s="66">
        <v>0</v>
      </c>
      <c r="AA24" s="67">
        <v>0</v>
      </c>
      <c r="AB24" s="68">
        <v>42.181061196326091</v>
      </c>
      <c r="AC24" s="69">
        <v>0</v>
      </c>
      <c r="AD24" s="69">
        <v>22.465428309970417</v>
      </c>
      <c r="AE24" s="68">
        <v>22.1</v>
      </c>
      <c r="AF24" s="68">
        <v>0</v>
      </c>
      <c r="AG24" s="68">
        <v>1</v>
      </c>
      <c r="AH24" s="69">
        <v>209.106107211113</v>
      </c>
      <c r="AI24" s="69">
        <v>473.33830413818356</v>
      </c>
      <c r="AJ24" s="69">
        <v>1410.3408800760906</v>
      </c>
      <c r="AK24" s="69">
        <v>737.12882636388156</v>
      </c>
      <c r="AL24" s="69">
        <v>1423.5888372421266</v>
      </c>
      <c r="AM24" s="69">
        <v>3676.265165201823</v>
      </c>
      <c r="AN24" s="69">
        <v>655.56277592976869</v>
      </c>
      <c r="AO24" s="69">
        <v>3536.4444807688396</v>
      </c>
      <c r="AP24" s="69">
        <v>501.04098345438643</v>
      </c>
      <c r="AQ24" s="69">
        <v>926.71933994293204</v>
      </c>
    </row>
    <row r="25" spans="1:43" x14ac:dyDescent="0.25">
      <c r="A25" s="11">
        <v>42234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1308.9534472783425</v>
      </c>
      <c r="J25" s="60">
        <v>1548.269981066388</v>
      </c>
      <c r="K25" s="60">
        <v>89.47694125970196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569.67999999999995</v>
      </c>
      <c r="V25" s="62">
        <v>0</v>
      </c>
      <c r="W25" s="62">
        <v>52.75</v>
      </c>
      <c r="X25" s="62">
        <v>0</v>
      </c>
      <c r="Y25" s="66">
        <v>512.29999999999995</v>
      </c>
      <c r="Z25" s="66">
        <v>0</v>
      </c>
      <c r="AA25" s="67">
        <v>0</v>
      </c>
      <c r="AB25" s="68">
        <v>42.178248741890833</v>
      </c>
      <c r="AC25" s="69">
        <v>0</v>
      </c>
      <c r="AD25" s="69">
        <v>22.055358249942419</v>
      </c>
      <c r="AE25" s="68">
        <v>21.78</v>
      </c>
      <c r="AF25" s="68">
        <v>0</v>
      </c>
      <c r="AG25" s="68">
        <v>1</v>
      </c>
      <c r="AH25" s="69">
        <v>188.21759661038718</v>
      </c>
      <c r="AI25" s="69">
        <v>430.48072042465213</v>
      </c>
      <c r="AJ25" s="69">
        <v>1304.4519485473636</v>
      </c>
      <c r="AK25" s="69">
        <v>737.07031030654923</v>
      </c>
      <c r="AL25" s="69">
        <v>1354.3064801534015</v>
      </c>
      <c r="AM25" s="69">
        <v>3628.498842112223</v>
      </c>
      <c r="AN25" s="69">
        <v>524.70811270078025</v>
      </c>
      <c r="AO25" s="69">
        <v>3027.4962162017819</v>
      </c>
      <c r="AP25" s="69">
        <v>514.68322582244866</v>
      </c>
      <c r="AQ25" s="69">
        <v>827.51965080897014</v>
      </c>
    </row>
    <row r="26" spans="1:43" x14ac:dyDescent="0.25">
      <c r="A26" s="11">
        <v>42235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1229.0796388626088</v>
      </c>
      <c r="J26" s="60">
        <v>1434.421697298686</v>
      </c>
      <c r="K26" s="60">
        <v>82.510733413695974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525.59</v>
      </c>
      <c r="V26" s="62">
        <v>0</v>
      </c>
      <c r="W26" s="62">
        <v>51.7</v>
      </c>
      <c r="X26" s="62">
        <v>0</v>
      </c>
      <c r="Y26" s="66">
        <v>469.25</v>
      </c>
      <c r="Z26" s="66">
        <v>0</v>
      </c>
      <c r="AA26" s="67">
        <v>0</v>
      </c>
      <c r="AB26" s="68">
        <v>40.376547137896388</v>
      </c>
      <c r="AC26" s="69">
        <v>0</v>
      </c>
      <c r="AD26" s="69">
        <v>20.369047486450921</v>
      </c>
      <c r="AE26" s="68">
        <v>20.100000000000001</v>
      </c>
      <c r="AF26" s="68">
        <v>0</v>
      </c>
      <c r="AG26" s="68">
        <v>1</v>
      </c>
      <c r="AH26" s="69">
        <v>190.49891726970674</v>
      </c>
      <c r="AI26" s="69">
        <v>409.1065855662028</v>
      </c>
      <c r="AJ26" s="69">
        <v>1148.4269916534427</v>
      </c>
      <c r="AK26" s="69">
        <v>721.00638001759842</v>
      </c>
      <c r="AL26" s="69">
        <v>1346.8630229949952</v>
      </c>
      <c r="AM26" s="69">
        <v>3494.6141418457032</v>
      </c>
      <c r="AN26" s="69">
        <v>473.76859774589531</v>
      </c>
      <c r="AO26" s="69">
        <v>2613.973919804891</v>
      </c>
      <c r="AP26" s="69">
        <v>493.9171877543132</v>
      </c>
      <c r="AQ26" s="69">
        <v>823.47847499847421</v>
      </c>
    </row>
    <row r="27" spans="1:43" x14ac:dyDescent="0.25">
      <c r="A27" s="11">
        <v>42236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1212.9308213551842</v>
      </c>
      <c r="J27" s="60">
        <v>1438.0340370178196</v>
      </c>
      <c r="K27" s="60">
        <v>82.77095402081784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535.79</v>
      </c>
      <c r="V27" s="62">
        <v>0</v>
      </c>
      <c r="W27" s="62">
        <v>52.31</v>
      </c>
      <c r="X27" s="62">
        <v>0</v>
      </c>
      <c r="Y27" s="62">
        <v>477.74</v>
      </c>
      <c r="Z27" s="62">
        <v>0</v>
      </c>
      <c r="AA27" s="72">
        <v>0</v>
      </c>
      <c r="AB27" s="69">
        <v>39.866432624393298</v>
      </c>
      <c r="AC27" s="69">
        <v>0</v>
      </c>
      <c r="AD27" s="69">
        <v>20.824109868208552</v>
      </c>
      <c r="AE27" s="69">
        <v>20.5</v>
      </c>
      <c r="AF27" s="69">
        <v>0</v>
      </c>
      <c r="AG27" s="69">
        <v>1</v>
      </c>
      <c r="AH27" s="69">
        <v>179.55371237595875</v>
      </c>
      <c r="AI27" s="69">
        <v>422.46049933433522</v>
      </c>
      <c r="AJ27" s="69">
        <v>1237.2333818435668</v>
      </c>
      <c r="AK27" s="69">
        <v>731.67644777297983</v>
      </c>
      <c r="AL27" s="69">
        <v>1345.2494087855018</v>
      </c>
      <c r="AM27" s="69">
        <v>3519.6160153706874</v>
      </c>
      <c r="AN27" s="69">
        <v>543.78441398938492</v>
      </c>
      <c r="AO27" s="69">
        <v>2802.8818628946942</v>
      </c>
      <c r="AP27" s="69">
        <v>493.68725605010991</v>
      </c>
      <c r="AQ27" s="69">
        <v>922.947825908661</v>
      </c>
    </row>
    <row r="28" spans="1:43" x14ac:dyDescent="0.25">
      <c r="A28" s="11">
        <v>42237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1238.893129730224</v>
      </c>
      <c r="J28" s="60">
        <v>1496.8962297439589</v>
      </c>
      <c r="K28" s="60">
        <v>86.398809214432987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558.75</v>
      </c>
      <c r="V28" s="62">
        <v>0</v>
      </c>
      <c r="W28" s="62">
        <v>52.54</v>
      </c>
      <c r="X28" s="62">
        <v>0</v>
      </c>
      <c r="Y28" s="66">
        <v>496.95</v>
      </c>
      <c r="Z28" s="66">
        <v>0</v>
      </c>
      <c r="AA28" s="67">
        <v>0</v>
      </c>
      <c r="AB28" s="68">
        <v>41.153375768660666</v>
      </c>
      <c r="AC28" s="69">
        <v>0</v>
      </c>
      <c r="AD28" s="69">
        <v>21.702557924058723</v>
      </c>
      <c r="AE28" s="68">
        <v>21.37</v>
      </c>
      <c r="AF28" s="68">
        <v>0</v>
      </c>
      <c r="AG28" s="68">
        <v>1</v>
      </c>
      <c r="AH28" s="69">
        <v>195.03638493220012</v>
      </c>
      <c r="AI28" s="69">
        <v>445.39793834686287</v>
      </c>
      <c r="AJ28" s="69">
        <v>1428.6246290206907</v>
      </c>
      <c r="AK28" s="69">
        <v>738.80454222361243</v>
      </c>
      <c r="AL28" s="69">
        <v>1326.5137406667072</v>
      </c>
      <c r="AM28" s="69">
        <v>3596.2160840352367</v>
      </c>
      <c r="AN28" s="69">
        <v>606.48260211944591</v>
      </c>
      <c r="AO28" s="69">
        <v>2789.3695757548012</v>
      </c>
      <c r="AP28" s="69">
        <v>471.66530698140468</v>
      </c>
      <c r="AQ28" s="69">
        <v>1000.6497378667196</v>
      </c>
    </row>
    <row r="29" spans="1:43" x14ac:dyDescent="0.25">
      <c r="A29" s="11">
        <v>42238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1075.6192519386614</v>
      </c>
      <c r="J29" s="60">
        <v>1538.7993987401351</v>
      </c>
      <c r="K29" s="60">
        <v>88.768156627814179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575.13</v>
      </c>
      <c r="V29" s="62">
        <v>0</v>
      </c>
      <c r="W29" s="62">
        <v>54.73</v>
      </c>
      <c r="X29" s="62">
        <v>0</v>
      </c>
      <c r="Y29" s="66">
        <v>511.21</v>
      </c>
      <c r="Z29" s="66">
        <v>0</v>
      </c>
      <c r="AA29" s="67">
        <v>0</v>
      </c>
      <c r="AB29" s="68">
        <v>42.177045241990953</v>
      </c>
      <c r="AC29" s="69">
        <v>0</v>
      </c>
      <c r="AD29" s="69">
        <v>22.330248665809641</v>
      </c>
      <c r="AE29" s="68">
        <v>22</v>
      </c>
      <c r="AF29" s="68">
        <v>0</v>
      </c>
      <c r="AG29" s="68">
        <v>1</v>
      </c>
      <c r="AH29" s="69">
        <v>208.17643820444744</v>
      </c>
      <c r="AI29" s="69">
        <v>455.22781794865932</v>
      </c>
      <c r="AJ29" s="69">
        <v>1362.6195177714033</v>
      </c>
      <c r="AK29" s="69">
        <v>744.16120160420735</v>
      </c>
      <c r="AL29" s="69">
        <v>1332.245751253764</v>
      </c>
      <c r="AM29" s="69">
        <v>3585.4842559814456</v>
      </c>
      <c r="AN29" s="69">
        <v>620.32489735285446</v>
      </c>
      <c r="AO29" s="69">
        <v>2885.5749562581382</v>
      </c>
      <c r="AP29" s="69">
        <v>462.5464357376099</v>
      </c>
      <c r="AQ29" s="69">
        <v>883.81826327641818</v>
      </c>
    </row>
    <row r="30" spans="1:43" x14ac:dyDescent="0.25">
      <c r="A30" s="11">
        <v>42239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976.91026070912585</v>
      </c>
      <c r="J30" s="60">
        <v>1538.820933214824</v>
      </c>
      <c r="K30" s="60">
        <v>88.945409826437739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574.92999999999995</v>
      </c>
      <c r="V30" s="62">
        <v>0</v>
      </c>
      <c r="W30" s="62">
        <v>54.49</v>
      </c>
      <c r="X30" s="62">
        <v>0</v>
      </c>
      <c r="Y30" s="66">
        <v>511.3</v>
      </c>
      <c r="Z30" s="66">
        <v>0</v>
      </c>
      <c r="AA30" s="67">
        <v>0</v>
      </c>
      <c r="AB30" s="68">
        <v>42.174950443373298</v>
      </c>
      <c r="AC30" s="69">
        <v>0</v>
      </c>
      <c r="AD30" s="69">
        <v>22.325181239181102</v>
      </c>
      <c r="AE30" s="68">
        <v>22</v>
      </c>
      <c r="AF30" s="68">
        <v>0</v>
      </c>
      <c r="AG30" s="68">
        <v>1</v>
      </c>
      <c r="AH30" s="69">
        <v>207.54773386319479</v>
      </c>
      <c r="AI30" s="69">
        <v>438.66712352434791</v>
      </c>
      <c r="AJ30" s="69">
        <v>1334.9165583928423</v>
      </c>
      <c r="AK30" s="69">
        <v>730.2503298123678</v>
      </c>
      <c r="AL30" s="69">
        <v>1337.8607901891075</v>
      </c>
      <c r="AM30" s="69">
        <v>3556.7778432210284</v>
      </c>
      <c r="AN30" s="69">
        <v>534.36906275749209</v>
      </c>
      <c r="AO30" s="69">
        <v>2764.9156730651857</v>
      </c>
      <c r="AP30" s="69">
        <v>444.49990768432622</v>
      </c>
      <c r="AQ30" s="69">
        <v>769.85796248118083</v>
      </c>
    </row>
    <row r="31" spans="1:43" x14ac:dyDescent="0.25">
      <c r="A31" s="11">
        <v>42240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976.12808132171506</v>
      </c>
      <c r="J31" s="60">
        <v>1590.7761030197107</v>
      </c>
      <c r="K31" s="60">
        <v>91.809469278653395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595.76</v>
      </c>
      <c r="V31" s="62">
        <v>0</v>
      </c>
      <c r="W31" s="62">
        <v>56.49</v>
      </c>
      <c r="X31" s="62">
        <v>0</v>
      </c>
      <c r="Y31" s="66">
        <v>529.69000000000005</v>
      </c>
      <c r="Z31" s="66">
        <v>0</v>
      </c>
      <c r="AA31" s="67">
        <v>0</v>
      </c>
      <c r="AB31" s="68">
        <v>42.974666478898193</v>
      </c>
      <c r="AC31" s="69">
        <v>0</v>
      </c>
      <c r="AD31" s="69">
        <v>23.115188819832305</v>
      </c>
      <c r="AE31" s="68">
        <v>22.78</v>
      </c>
      <c r="AF31" s="68">
        <v>0</v>
      </c>
      <c r="AG31" s="68">
        <v>1</v>
      </c>
      <c r="AH31" s="69">
        <v>184.37230801582336</v>
      </c>
      <c r="AI31" s="69">
        <v>416.18224134445194</v>
      </c>
      <c r="AJ31" s="69">
        <v>1323.9817375818889</v>
      </c>
      <c r="AK31" s="69">
        <v>742.65247252782183</v>
      </c>
      <c r="AL31" s="69">
        <v>1333.2222616831464</v>
      </c>
      <c r="AM31" s="69">
        <v>3732.3825983683269</v>
      </c>
      <c r="AN31" s="69">
        <v>593.48525775273629</v>
      </c>
      <c r="AO31" s="69">
        <v>2973.0520502726235</v>
      </c>
      <c r="AP31" s="69">
        <v>387.39765844345095</v>
      </c>
      <c r="AQ31" s="69">
        <v>899.16701472600278</v>
      </c>
    </row>
    <row r="32" spans="1:43" x14ac:dyDescent="0.25">
      <c r="A32" s="11">
        <v>42241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1009.0948250452672</v>
      </c>
      <c r="J32" s="60">
        <v>1755.6441834767636</v>
      </c>
      <c r="K32" s="60">
        <v>101.60224551359849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632.78</v>
      </c>
      <c r="V32" s="62">
        <v>0</v>
      </c>
      <c r="W32" s="62">
        <v>61.76</v>
      </c>
      <c r="X32" s="62">
        <v>0</v>
      </c>
      <c r="Y32" s="66">
        <v>572.41</v>
      </c>
      <c r="Z32" s="66">
        <v>0</v>
      </c>
      <c r="AA32" s="67">
        <v>0</v>
      </c>
      <c r="AB32" s="68">
        <v>50.673295217089816</v>
      </c>
      <c r="AC32" s="69">
        <v>0</v>
      </c>
      <c r="AD32" s="69">
        <v>24.644220617082425</v>
      </c>
      <c r="AE32" s="68">
        <v>24.24</v>
      </c>
      <c r="AF32" s="68">
        <v>0</v>
      </c>
      <c r="AG32" s="68">
        <v>1</v>
      </c>
      <c r="AH32" s="69">
        <v>195.66328254540761</v>
      </c>
      <c r="AI32" s="69">
        <v>387.44896728197722</v>
      </c>
      <c r="AJ32" s="69">
        <v>1441.0186302185057</v>
      </c>
      <c r="AK32" s="69">
        <v>754.23188250859573</v>
      </c>
      <c r="AL32" s="69">
        <v>1348.8132703145343</v>
      </c>
      <c r="AM32" s="69">
        <v>3967.1026723225909</v>
      </c>
      <c r="AN32" s="69">
        <v>622.93601452509552</v>
      </c>
      <c r="AO32" s="69">
        <v>3270.1241752624519</v>
      </c>
      <c r="AP32" s="69">
        <v>374.14835631052654</v>
      </c>
      <c r="AQ32" s="69">
        <v>1026.693396250407</v>
      </c>
    </row>
    <row r="33" spans="1:43" x14ac:dyDescent="0.25">
      <c r="A33" s="11">
        <v>42242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1001.3141546885175</v>
      </c>
      <c r="J33" s="60">
        <v>1745.1840721130368</v>
      </c>
      <c r="K33" s="60">
        <v>100.90801638762181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645.29501126607227</v>
      </c>
      <c r="V33" s="62">
        <v>0</v>
      </c>
      <c r="W33" s="62">
        <v>59.570414090156682</v>
      </c>
      <c r="X33" s="62">
        <v>0</v>
      </c>
      <c r="Y33" s="66">
        <v>590.88346697489408</v>
      </c>
      <c r="Z33" s="66">
        <v>0</v>
      </c>
      <c r="AA33" s="67">
        <v>0</v>
      </c>
      <c r="AB33" s="68">
        <v>50.113908465703027</v>
      </c>
      <c r="AC33" s="69">
        <v>0</v>
      </c>
      <c r="AD33" s="69">
        <v>25.422366058826498</v>
      </c>
      <c r="AE33" s="68">
        <v>25.000918920942929</v>
      </c>
      <c r="AF33" s="68">
        <v>0</v>
      </c>
      <c r="AG33" s="68">
        <v>1</v>
      </c>
      <c r="AH33" s="69">
        <v>204.58909606933594</v>
      </c>
      <c r="AI33" s="69">
        <v>386.57560138702394</v>
      </c>
      <c r="AJ33" s="69">
        <v>1436.4714644749956</v>
      </c>
      <c r="AK33" s="69">
        <v>746.15985225041709</v>
      </c>
      <c r="AL33" s="69">
        <v>1333.0220972061159</v>
      </c>
      <c r="AM33" s="69">
        <v>3947.3029238382978</v>
      </c>
      <c r="AN33" s="69">
        <v>669.95810508728027</v>
      </c>
      <c r="AO33" s="69">
        <v>3265.9504375457764</v>
      </c>
      <c r="AP33" s="69">
        <v>373.8377777099609</v>
      </c>
      <c r="AQ33" s="69">
        <v>1049.2951025644938</v>
      </c>
    </row>
    <row r="34" spans="1:43" x14ac:dyDescent="0.25">
      <c r="A34" s="11">
        <v>42243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1031.7906206130988</v>
      </c>
      <c r="J34" s="60">
        <v>1801.4867595672613</v>
      </c>
      <c r="K34" s="60">
        <v>104.03087998231264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640.57000000000005</v>
      </c>
      <c r="V34" s="62">
        <v>0</v>
      </c>
      <c r="W34" s="62">
        <v>59.76</v>
      </c>
      <c r="X34" s="62">
        <v>0</v>
      </c>
      <c r="Y34" s="66">
        <v>588.29</v>
      </c>
      <c r="Z34" s="66">
        <v>0</v>
      </c>
      <c r="AA34" s="67">
        <v>0</v>
      </c>
      <c r="AB34" s="68">
        <v>50.113644716474376</v>
      </c>
      <c r="AC34" s="69">
        <v>0</v>
      </c>
      <c r="AD34" s="69">
        <v>25.333181781901235</v>
      </c>
      <c r="AE34" s="68">
        <v>24.88</v>
      </c>
      <c r="AF34" s="68">
        <v>0</v>
      </c>
      <c r="AG34" s="68">
        <v>1</v>
      </c>
      <c r="AH34" s="69">
        <v>199.57745161056516</v>
      </c>
      <c r="AI34" s="69">
        <v>428.78596426645908</v>
      </c>
      <c r="AJ34" s="69">
        <v>1363.3259500503541</v>
      </c>
      <c r="AK34" s="69">
        <v>744.5934722582499</v>
      </c>
      <c r="AL34" s="69">
        <v>1287.3780060450233</v>
      </c>
      <c r="AM34" s="69">
        <v>4020.7398979187005</v>
      </c>
      <c r="AN34" s="69">
        <v>686.89875322977707</v>
      </c>
      <c r="AO34" s="69">
        <v>3365.3194304148356</v>
      </c>
      <c r="AP34" s="69">
        <v>372.95551946957903</v>
      </c>
      <c r="AQ34" s="69">
        <v>964.0686781565347</v>
      </c>
    </row>
    <row r="35" spans="1:43" x14ac:dyDescent="0.25">
      <c r="A35" s="11">
        <v>42244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930.06552340189592</v>
      </c>
      <c r="J35" s="60">
        <v>1580.8331193288161</v>
      </c>
      <c r="K35" s="60">
        <v>92.426291159788946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596.23</v>
      </c>
      <c r="V35" s="62">
        <v>0</v>
      </c>
      <c r="W35" s="62">
        <v>56.78</v>
      </c>
      <c r="X35" s="62">
        <v>0</v>
      </c>
      <c r="Y35" s="66">
        <v>547.95000000000005</v>
      </c>
      <c r="Z35" s="66">
        <v>0</v>
      </c>
      <c r="AA35" s="67">
        <v>0</v>
      </c>
      <c r="AB35" s="68">
        <v>48.392840923203877</v>
      </c>
      <c r="AC35" s="69">
        <v>0</v>
      </c>
      <c r="AD35" s="69">
        <v>23.588315423329679</v>
      </c>
      <c r="AE35" s="68">
        <v>23.18</v>
      </c>
      <c r="AF35" s="68">
        <v>0</v>
      </c>
      <c r="AG35" s="68">
        <v>1</v>
      </c>
      <c r="AH35" s="69">
        <v>202.45052052338917</v>
      </c>
      <c r="AI35" s="69">
        <v>442.76001609166457</v>
      </c>
      <c r="AJ35" s="69">
        <v>1359.4644573847454</v>
      </c>
      <c r="AK35" s="69">
        <v>743.03875748316455</v>
      </c>
      <c r="AL35" s="69">
        <v>1285.2425005594889</v>
      </c>
      <c r="AM35" s="69">
        <v>3803.5560841878255</v>
      </c>
      <c r="AN35" s="69">
        <v>670.9186357816061</v>
      </c>
      <c r="AO35" s="69">
        <v>3207.7147885640461</v>
      </c>
      <c r="AP35" s="69">
        <v>363.42568891843166</v>
      </c>
      <c r="AQ35" s="69">
        <v>915.06620200475072</v>
      </c>
    </row>
    <row r="36" spans="1:43" x14ac:dyDescent="0.25">
      <c r="A36" s="11">
        <v>42245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916.55107262929232</v>
      </c>
      <c r="J36" s="60">
        <v>1547.7819179534924</v>
      </c>
      <c r="K36" s="60">
        <v>91.074088982740932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600.91</v>
      </c>
      <c r="V36" s="62">
        <v>0</v>
      </c>
      <c r="W36" s="62">
        <v>56.14</v>
      </c>
      <c r="X36" s="62">
        <v>0</v>
      </c>
      <c r="Y36" s="66">
        <v>547.78</v>
      </c>
      <c r="Z36" s="66">
        <v>0</v>
      </c>
      <c r="AA36" s="67">
        <v>0</v>
      </c>
      <c r="AB36" s="68">
        <v>48.803622309367391</v>
      </c>
      <c r="AC36" s="69">
        <v>0</v>
      </c>
      <c r="AD36" s="69">
        <v>23.587641866339563</v>
      </c>
      <c r="AE36" s="68">
        <v>23.34</v>
      </c>
      <c r="AF36" s="68">
        <v>0</v>
      </c>
      <c r="AG36" s="68">
        <v>1</v>
      </c>
      <c r="AH36" s="69">
        <v>194.44740804036456</v>
      </c>
      <c r="AI36" s="69">
        <v>447.44589996337896</v>
      </c>
      <c r="AJ36" s="69">
        <v>1415.1445311864215</v>
      </c>
      <c r="AK36" s="69">
        <v>742.57739070256548</v>
      </c>
      <c r="AL36" s="69">
        <v>1338.4863452911375</v>
      </c>
      <c r="AM36" s="69">
        <v>3858.0346410115567</v>
      </c>
      <c r="AN36" s="69">
        <v>624.86373106638598</v>
      </c>
      <c r="AO36" s="69">
        <v>3143.6520622253424</v>
      </c>
      <c r="AP36" s="69">
        <v>354.15954608917235</v>
      </c>
      <c r="AQ36" s="69">
        <v>889.10037736892707</v>
      </c>
    </row>
    <row r="37" spans="1:43" x14ac:dyDescent="0.25">
      <c r="A37" s="11">
        <v>42246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907.938307762146</v>
      </c>
      <c r="J37" s="60">
        <v>1566.1681518554699</v>
      </c>
      <c r="K37" s="60">
        <v>92.116171554724446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632.09</v>
      </c>
      <c r="V37" s="62">
        <v>0</v>
      </c>
      <c r="W37" s="62">
        <v>58.53</v>
      </c>
      <c r="X37" s="62">
        <v>0</v>
      </c>
      <c r="Y37" s="66">
        <v>572.92999999999995</v>
      </c>
      <c r="Z37" s="66">
        <v>0</v>
      </c>
      <c r="AA37" s="67">
        <v>0</v>
      </c>
      <c r="AB37" s="68">
        <v>48.759501851929961</v>
      </c>
      <c r="AC37" s="69">
        <v>0</v>
      </c>
      <c r="AD37" s="69">
        <v>24.754372798071966</v>
      </c>
      <c r="AE37" s="68">
        <v>24.5</v>
      </c>
      <c r="AF37" s="68">
        <v>0</v>
      </c>
      <c r="AG37" s="68">
        <v>1</v>
      </c>
      <c r="AH37" s="69">
        <v>189.13625760078429</v>
      </c>
      <c r="AI37" s="69">
        <v>452.07118221918734</v>
      </c>
      <c r="AJ37" s="69">
        <v>1444.4712474822998</v>
      </c>
      <c r="AK37" s="69">
        <v>750.74429400761903</v>
      </c>
      <c r="AL37" s="69">
        <v>1301.5144562403361</v>
      </c>
      <c r="AM37" s="69">
        <v>3883.3915473937982</v>
      </c>
      <c r="AN37" s="69">
        <v>625.87878239949555</v>
      </c>
      <c r="AO37" s="69">
        <v>3277.6099235534671</v>
      </c>
      <c r="AP37" s="69">
        <v>359.37147839864105</v>
      </c>
      <c r="AQ37" s="69">
        <v>988.2250521977744</v>
      </c>
    </row>
    <row r="38" spans="1:43" ht="15.75" thickBot="1" x14ac:dyDescent="0.3">
      <c r="A38" s="11">
        <v>42247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912.84560089111267</v>
      </c>
      <c r="J38" s="74">
        <v>1566.7686254501339</v>
      </c>
      <c r="K38" s="74">
        <v>92.176300235589352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614.66999999999996</v>
      </c>
      <c r="V38" s="80">
        <v>0</v>
      </c>
      <c r="W38" s="81">
        <v>57.02</v>
      </c>
      <c r="X38" s="81">
        <v>0</v>
      </c>
      <c r="Y38" s="80">
        <v>554.48</v>
      </c>
      <c r="Z38" s="80">
        <v>0</v>
      </c>
      <c r="AA38" s="82">
        <v>0</v>
      </c>
      <c r="AB38" s="83">
        <v>49.118044090271461</v>
      </c>
      <c r="AC38" s="84">
        <v>0</v>
      </c>
      <c r="AD38" s="85">
        <v>24.080549407667561</v>
      </c>
      <c r="AE38" s="83">
        <v>23.82</v>
      </c>
      <c r="AF38" s="83">
        <v>0</v>
      </c>
      <c r="AG38" s="83">
        <v>1</v>
      </c>
      <c r="AH38" s="84">
        <v>198.28854780197142</v>
      </c>
      <c r="AI38" s="84">
        <v>452.64392731984458</v>
      </c>
      <c r="AJ38" s="84">
        <v>1375.0462376276655</v>
      </c>
      <c r="AK38" s="84">
        <v>735.0343342463176</v>
      </c>
      <c r="AL38" s="84">
        <v>1396.4490279515583</v>
      </c>
      <c r="AM38" s="84">
        <v>3910.1719212849935</v>
      </c>
      <c r="AN38" s="84">
        <v>652.65533517201743</v>
      </c>
      <c r="AO38" s="84">
        <v>3000.7261182149246</v>
      </c>
      <c r="AP38" s="84">
        <v>372.07306772867838</v>
      </c>
      <c r="AQ38" s="84">
        <v>932.37253742218024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32811.507571335635</v>
      </c>
      <c r="J39" s="30">
        <f t="shared" si="0"/>
        <v>50852.185209274285</v>
      </c>
      <c r="K39" s="30">
        <f t="shared" si="0"/>
        <v>2902.796916580201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18727.945011266074</v>
      </c>
      <c r="V39" s="264">
        <f t="shared" si="0"/>
        <v>0</v>
      </c>
      <c r="W39" s="264">
        <f t="shared" si="0"/>
        <v>1799.960414090157</v>
      </c>
      <c r="X39" s="264">
        <f t="shared" si="0"/>
        <v>0</v>
      </c>
      <c r="Y39" s="264">
        <f t="shared" si="0"/>
        <v>16759.703466974894</v>
      </c>
      <c r="Z39" s="264">
        <f t="shared" si="0"/>
        <v>0</v>
      </c>
      <c r="AA39" s="272">
        <f t="shared" si="0"/>
        <v>0</v>
      </c>
      <c r="AB39" s="275">
        <f t="shared" si="0"/>
        <v>1734.5134191830839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6143.3587518930426</v>
      </c>
      <c r="AI39" s="275">
        <f t="shared" si="1"/>
        <v>14017.693382151923</v>
      </c>
      <c r="AJ39" s="275">
        <f t="shared" si="1"/>
        <v>42710.250070571899</v>
      </c>
      <c r="AK39" s="275">
        <f t="shared" si="1"/>
        <v>23076.588002427416</v>
      </c>
      <c r="AL39" s="275">
        <f t="shared" si="1"/>
        <v>43251.497632408151</v>
      </c>
      <c r="AM39" s="275">
        <f t="shared" si="1"/>
        <v>115415.78089001976</v>
      </c>
      <c r="AN39" s="275">
        <f t="shared" si="1"/>
        <v>19580.346188974385</v>
      </c>
      <c r="AO39" s="275">
        <f t="shared" si="1"/>
        <v>96410.078694915777</v>
      </c>
      <c r="AP39" s="275">
        <f t="shared" si="1"/>
        <v>14427.118642250705</v>
      </c>
      <c r="AQ39" s="275">
        <f t="shared" si="1"/>
        <v>29498.199873097732</v>
      </c>
    </row>
    <row r="40" spans="1:43" ht="15.75" thickBot="1" x14ac:dyDescent="0.3">
      <c r="A40" s="47" t="s">
        <v>174</v>
      </c>
      <c r="B40" s="32">
        <f>Projection!$AC$30</f>
        <v>0.80583665399999982</v>
      </c>
      <c r="C40" s="33">
        <f>Projection!$AC$28</f>
        <v>1.2134866799999999</v>
      </c>
      <c r="D40" s="33">
        <f>Projection!$AC$31</f>
        <v>2.3118479999999999</v>
      </c>
      <c r="E40" s="33">
        <f>Projection!$AC$26</f>
        <v>4.3368000000000002</v>
      </c>
      <c r="F40" s="33">
        <f>Projection!$AC$23</f>
        <v>0</v>
      </c>
      <c r="G40" s="33">
        <f>Projection!$AC$24</f>
        <v>5.7325000000000001E-2</v>
      </c>
      <c r="H40" s="34">
        <f>Projection!$AC$29</f>
        <v>3.6159737999999999</v>
      </c>
      <c r="I40" s="32">
        <f>Projection!$AC$30</f>
        <v>0.80583665399999982</v>
      </c>
      <c r="J40" s="33">
        <f>Projection!$AC$28</f>
        <v>1.2134866799999999</v>
      </c>
      <c r="K40" s="33">
        <f>Projection!$AC$26</f>
        <v>4.3368000000000002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1.2134866799999999</v>
      </c>
      <c r="T40" s="38">
        <f>Projection!$AC$28</f>
        <v>1.2134866799999999</v>
      </c>
      <c r="U40" s="26">
        <f>Projection!$AC$27</f>
        <v>0.23649999999999999</v>
      </c>
      <c r="V40" s="27">
        <f>Projection!$AC$27</f>
        <v>0.23649999999999999</v>
      </c>
      <c r="W40" s="27">
        <f>Projection!$AC$22</f>
        <v>1.1599999999999999</v>
      </c>
      <c r="X40" s="27">
        <f>Projection!$AC$22</f>
        <v>1.1599999999999999</v>
      </c>
      <c r="Y40" s="27">
        <f>Projection!$AC$31</f>
        <v>2.3118479999999999</v>
      </c>
      <c r="Z40" s="27">
        <f>Projection!$AC$31</f>
        <v>2.3118479999999999</v>
      </c>
      <c r="AA40" s="28">
        <v>0</v>
      </c>
      <c r="AB40" s="41">
        <f>Projection!$AC$27</f>
        <v>0.23649999999999999</v>
      </c>
      <c r="AC40" s="41">
        <f>Projection!$AC$30</f>
        <v>0.80583665399999982</v>
      </c>
      <c r="AD40" s="43">
        <f>SUM(AD8:AD38)</f>
        <v>733.7939142776861</v>
      </c>
      <c r="AE40" s="43">
        <f>SUM(AE8:AE38)</f>
        <v>722.66091892094289</v>
      </c>
      <c r="AF40" s="43">
        <f>SUM(AF8:AF38)</f>
        <v>0</v>
      </c>
      <c r="AG40" s="43">
        <f>IF(SUM(AE40:AF40)&gt;0, AE40/(AE40+AF40), "")</f>
        <v>1</v>
      </c>
      <c r="AH40" s="315">
        <v>7.0999999999999994E-2</v>
      </c>
      <c r="AI40" s="315">
        <f t="shared" ref="AI40:AQ40" si="2">$AH$40</f>
        <v>7.0999999999999994E-2</v>
      </c>
      <c r="AJ40" s="315">
        <f t="shared" si="2"/>
        <v>7.0999999999999994E-2</v>
      </c>
      <c r="AK40" s="315">
        <f t="shared" si="2"/>
        <v>7.0999999999999994E-2</v>
      </c>
      <c r="AL40" s="315">
        <f t="shared" si="2"/>
        <v>7.0999999999999994E-2</v>
      </c>
      <c r="AM40" s="315">
        <f t="shared" si="2"/>
        <v>7.0999999999999994E-2</v>
      </c>
      <c r="AN40" s="315">
        <f t="shared" si="2"/>
        <v>7.0999999999999994E-2</v>
      </c>
      <c r="AO40" s="315">
        <f t="shared" si="2"/>
        <v>7.0999999999999994E-2</v>
      </c>
      <c r="AP40" s="315">
        <f t="shared" si="2"/>
        <v>7.0999999999999994E-2</v>
      </c>
      <c r="AQ40" s="315">
        <f t="shared" si="2"/>
        <v>7.0999999999999994E-2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26440.715473980767</v>
      </c>
      <c r="J41" s="36">
        <f t="shared" si="3"/>
        <v>61708.449400347352</v>
      </c>
      <c r="K41" s="36">
        <f t="shared" si="3"/>
        <v>12588.849667825016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4429.1589951644264</v>
      </c>
      <c r="V41" s="270">
        <f t="shared" si="3"/>
        <v>0</v>
      </c>
      <c r="W41" s="270">
        <f t="shared" si="3"/>
        <v>2087.9540803445821</v>
      </c>
      <c r="X41" s="270">
        <f t="shared" si="3"/>
        <v>0</v>
      </c>
      <c r="Y41" s="270">
        <f t="shared" si="3"/>
        <v>38745.88694071897</v>
      </c>
      <c r="Z41" s="270">
        <f t="shared" si="3"/>
        <v>0</v>
      </c>
      <c r="AA41" s="274">
        <f t="shared" si="3"/>
        <v>0</v>
      </c>
      <c r="AB41" s="277">
        <f t="shared" si="3"/>
        <v>410.21242363679931</v>
      </c>
      <c r="AC41" s="277">
        <f t="shared" si="3"/>
        <v>0</v>
      </c>
      <c r="AH41" s="280">
        <f t="shared" ref="AH41:AQ41" si="4">AH40*AH39</f>
        <v>436.17847138440601</v>
      </c>
      <c r="AI41" s="280">
        <f t="shared" si="4"/>
        <v>995.25623013278641</v>
      </c>
      <c r="AJ41" s="280">
        <f t="shared" si="4"/>
        <v>3032.4277550106044</v>
      </c>
      <c r="AK41" s="280">
        <f t="shared" si="4"/>
        <v>1638.4377481723463</v>
      </c>
      <c r="AL41" s="280">
        <f t="shared" si="4"/>
        <v>3070.8563319009786</v>
      </c>
      <c r="AM41" s="280">
        <f t="shared" si="4"/>
        <v>8194.5204431914026</v>
      </c>
      <c r="AN41" s="280">
        <f t="shared" si="4"/>
        <v>1390.2045794171811</v>
      </c>
      <c r="AO41" s="280">
        <f t="shared" si="4"/>
        <v>6845.1155873390198</v>
      </c>
      <c r="AP41" s="280">
        <f t="shared" si="4"/>
        <v>1024.3254235997999</v>
      </c>
      <c r="AQ41" s="280">
        <f t="shared" si="4"/>
        <v>2094.3721909899386</v>
      </c>
    </row>
    <row r="42" spans="1:43" ht="49.5" customHeight="1" thickTop="1" thickBot="1" x14ac:dyDescent="0.3">
      <c r="A42" s="561" t="s">
        <v>230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72</v>
      </c>
      <c r="AI42" s="280" t="s">
        <v>199</v>
      </c>
      <c r="AJ42" s="280">
        <v>50.48</v>
      </c>
      <c r="AK42" s="280">
        <v>51.47</v>
      </c>
      <c r="AL42" s="280">
        <v>36</v>
      </c>
      <c r="AM42" s="280">
        <v>812.51</v>
      </c>
      <c r="AN42" s="280">
        <v>114.83</v>
      </c>
      <c r="AO42" s="280" t="s">
        <v>199</v>
      </c>
      <c r="AP42" s="280">
        <v>36</v>
      </c>
      <c r="AQ42" s="280">
        <v>135.29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146411.22698201792</v>
      </c>
      <c r="C44" s="12"/>
      <c r="D44" s="284" t="s">
        <v>135</v>
      </c>
      <c r="E44" s="285">
        <f>SUM(B41:H41)+P41+R41+T41+V41+X41+Z41</f>
        <v>0</v>
      </c>
      <c r="F44" s="12"/>
      <c r="G44" s="284" t="s">
        <v>135</v>
      </c>
      <c r="H44" s="285">
        <f>SUM(I41:N41)+O41+Q41+S41+U41+W41+Y41</f>
        <v>146001.01455838111</v>
      </c>
      <c r="I44" s="12"/>
      <c r="J44" s="284" t="s">
        <v>200</v>
      </c>
      <c r="K44" s="285">
        <v>117682.77999999998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28721.694761138464</v>
      </c>
      <c r="C45" s="12"/>
      <c r="D45" s="286" t="s">
        <v>185</v>
      </c>
      <c r="E45" s="287">
        <f>AH41*(1-$AG$40)+AI41+AJ41*0.5+AL41+AM41*(1-$AG$40)+AN41*(1-$AG$40)+AO41*(1-$AG$40)+AP41*0.5+AQ41*0.5</f>
        <v>7141.6752468339364</v>
      </c>
      <c r="F45" s="24"/>
      <c r="G45" s="286" t="s">
        <v>185</v>
      </c>
      <c r="H45" s="287">
        <f>AH41*AG40+AJ41*0.5+AK41+AM41*AG40+AN41*AG40+AO41*AG40+AP41*0.5+AQ41*0.5</f>
        <v>21580.019514304531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1799.960414090157</v>
      </c>
      <c r="U45" s="258">
        <f>(T45*8.34*0.895)/27000</f>
        <v>0.49760905625530216</v>
      </c>
    </row>
    <row r="46" spans="1:43" ht="32.25" thickBot="1" x14ac:dyDescent="0.3">
      <c r="A46" s="288" t="s">
        <v>186</v>
      </c>
      <c r="B46" s="289">
        <f>SUM(AH42:AQ42)</f>
        <v>1308.58</v>
      </c>
      <c r="C46" s="12"/>
      <c r="D46" s="288" t="s">
        <v>186</v>
      </c>
      <c r="E46" s="289">
        <f>AH42*(1-$AG$40)+AJ42*0.5+AL42+AM42*(1-$AG$40)+AN42*(1-$AG$40)+AP42*0.5+AQ42*0.5</f>
        <v>146.88499999999999</v>
      </c>
      <c r="F46" s="23"/>
      <c r="G46" s="288" t="s">
        <v>186</v>
      </c>
      <c r="H46" s="289">
        <f>AH42*AG40+AJ42*0.5+AK42+AM42*AG40+AN42*AG40+AP42*0.5+AQ42*0.5</f>
        <v>1161.6949999999999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117682.77999999998</v>
      </c>
      <c r="C47" s="12"/>
      <c r="D47" s="288" t="s">
        <v>189</v>
      </c>
      <c r="E47" s="289">
        <f>K44*0.5</f>
        <v>58841.389999999992</v>
      </c>
      <c r="F47" s="24"/>
      <c r="G47" s="288" t="s">
        <v>187</v>
      </c>
      <c r="H47" s="289">
        <f>K44*0.5</f>
        <v>58841.389999999992</v>
      </c>
      <c r="I47" s="12"/>
      <c r="J47" s="284" t="s">
        <v>200</v>
      </c>
      <c r="K47" s="285">
        <v>38004.339999999997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38004.339999999997</v>
      </c>
      <c r="C48" s="12"/>
      <c r="D48" s="288" t="s">
        <v>188</v>
      </c>
      <c r="E48" s="289">
        <f>K47*0.5</f>
        <v>19002.169999999998</v>
      </c>
      <c r="F48" s="23"/>
      <c r="G48" s="288" t="s">
        <v>188</v>
      </c>
      <c r="H48" s="289">
        <f>K47*0.5</f>
        <v>19002.169999999998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733.7939142776861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722.66091892094289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2902.796916580201</v>
      </c>
      <c r="U49" s="258">
        <f>(T49*8.34*1.04)/45000</f>
        <v>0.5595044296811118</v>
      </c>
    </row>
    <row r="50" spans="1:25" ht="48" thickTop="1" thickBot="1" x14ac:dyDescent="0.3">
      <c r="A50" s="293" t="s">
        <v>192</v>
      </c>
      <c r="B50" s="295">
        <f>(SUM(B44:B48)/AD40)</f>
        <v>452.61839227719531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>
        <f>SUM(H44:H48)/AE40</f>
        <v>341.21990357646763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20462.458430449158</v>
      </c>
      <c r="U50" s="258">
        <f>T50/2000/8</f>
        <v>1.2789036519030723</v>
      </c>
    </row>
    <row r="51" spans="1:25" ht="47.25" customHeight="1" thickTop="1" thickBot="1" x14ac:dyDescent="0.3">
      <c r="A51" s="283" t="s">
        <v>193</v>
      </c>
      <c r="B51" s="296">
        <f>B50/1000</f>
        <v>0.4526183922771953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>
        <f>H50/1000</f>
        <v>0.34121990357646764</v>
      </c>
      <c r="I51" s="365">
        <f>H44/H49</f>
        <v>202.03253107472</v>
      </c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50852.185209274285</v>
      </c>
      <c r="U51" s="258">
        <f>(T51*8.34*1.4)/45000</f>
        <v>13.194446988966366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0</v>
      </c>
      <c r="U52" s="258">
        <f>(T52*8.34*1.135)/45000</f>
        <v>0</v>
      </c>
    </row>
    <row r="53" spans="1:25" ht="48" customHeight="1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32811.507571335635</v>
      </c>
      <c r="U53" s="258">
        <f>(T53*8.34*1.029*0.03)/3300</f>
        <v>2.5598524033285672</v>
      </c>
    </row>
    <row r="54" spans="1:25" ht="42.75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16759.703466974894</v>
      </c>
      <c r="U54" s="261">
        <f>(T54*1.54*8.34)/45000</f>
        <v>4.7834428321875277</v>
      </c>
    </row>
    <row r="55" spans="1:25" ht="24" thickTop="1" x14ac:dyDescent="0.25">
      <c r="A55" s="588"/>
      <c r="B55" s="58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0"/>
      <c r="B56" s="59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6"/>
      <c r="B57" s="58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7"/>
      <c r="B58" s="58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6"/>
      <c r="B59" s="58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7"/>
      <c r="B60" s="587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</row>
  </sheetData>
  <sheetProtection algorithmName="SHA-512" hashValue="hCL5AAk1y+sEhQ6H2DWeqWPwB+wNpxNxZ7+WEGGYy8hrtEJ2x1ibIqk4mACXZymWTzBDJChEfM5HGnK7Lbabmg==" saltValue="/PspLqUksVpiqKvOVlf8nA==" spinCount="100000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75"/>
  <sheetViews>
    <sheetView zoomScale="80" zoomScaleNormal="80" workbookViewId="0">
      <selection activeCell="A43" sqref="A43:H51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38.7109375" customWidth="1"/>
    <col min="5" max="5" width="26.42578125" bestFit="1" customWidth="1"/>
    <col min="6" max="6" width="16.7109375" customWidth="1"/>
    <col min="7" max="7" width="43.710937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3.42578125" bestFit="1" customWidth="1"/>
    <col min="35" max="38" width="18.85546875" bestFit="1" customWidth="1"/>
    <col min="39" max="39" width="23.42578125" bestFit="1" customWidth="1"/>
    <col min="40" max="43" width="18.85546875" bestFit="1" customWidth="1"/>
  </cols>
  <sheetData>
    <row r="1" spans="1:58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8" ht="15" customHeight="1" x14ac:dyDescent="0.25">
      <c r="A2" s="1" t="s">
        <v>2</v>
      </c>
      <c r="B2" s="5"/>
      <c r="O2" s="4"/>
      <c r="P2" s="4"/>
      <c r="Q2" s="4"/>
      <c r="R2" s="4"/>
    </row>
    <row r="3" spans="1:58" ht="15.75" thickBot="1" x14ac:dyDescent="0.3">
      <c r="A3" s="6"/>
      <c r="BE3" t="s">
        <v>171</v>
      </c>
      <c r="BF3" s="262" t="s">
        <v>208</v>
      </c>
    </row>
    <row r="4" spans="1:58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</row>
    <row r="5" spans="1:58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58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8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8" x14ac:dyDescent="0.25">
      <c r="A8" s="11">
        <v>42248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967.42803198496495</v>
      </c>
      <c r="J8" s="50">
        <v>1566.6291266123476</v>
      </c>
      <c r="K8" s="50">
        <v>91.939043331146337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614.85</v>
      </c>
      <c r="V8" s="54">
        <v>0</v>
      </c>
      <c r="W8" s="54">
        <v>57.12</v>
      </c>
      <c r="X8" s="54">
        <v>0</v>
      </c>
      <c r="Y8" s="54">
        <v>556.07000000000005</v>
      </c>
      <c r="Z8" s="54">
        <v>0</v>
      </c>
      <c r="AA8" s="55">
        <v>0</v>
      </c>
      <c r="AB8" s="56">
        <v>49.132230655352558</v>
      </c>
      <c r="AC8" s="57">
        <v>0</v>
      </c>
      <c r="AD8" s="57">
        <v>24.142760713232914</v>
      </c>
      <c r="AE8" s="58">
        <v>23.85</v>
      </c>
      <c r="AF8" s="58">
        <v>0</v>
      </c>
      <c r="AG8" s="58">
        <v>1</v>
      </c>
      <c r="AH8" s="57">
        <v>185.31387459437053</v>
      </c>
      <c r="AI8" s="57">
        <v>437.23958061536149</v>
      </c>
      <c r="AJ8" s="57">
        <v>1395.4347577412925</v>
      </c>
      <c r="AK8" s="57">
        <v>716.32852687835714</v>
      </c>
      <c r="AL8" s="57">
        <v>1482.3258646647137</v>
      </c>
      <c r="AM8" s="57">
        <v>3879.7672312418622</v>
      </c>
      <c r="AN8" s="57">
        <v>605.34465117454533</v>
      </c>
      <c r="AO8" s="57">
        <v>2898.2838516235356</v>
      </c>
      <c r="AP8" s="57">
        <v>373.01855837504075</v>
      </c>
      <c r="AQ8" s="57">
        <v>908.01248579025287</v>
      </c>
    </row>
    <row r="9" spans="1:58" x14ac:dyDescent="0.25">
      <c r="A9" s="11">
        <v>42249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943.81239700317337</v>
      </c>
      <c r="J9" s="60">
        <v>1514.5549537658676</v>
      </c>
      <c r="K9" s="60">
        <v>89.300881365934941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590.55999999999995</v>
      </c>
      <c r="V9" s="62">
        <v>0</v>
      </c>
      <c r="W9" s="62">
        <v>54.43</v>
      </c>
      <c r="X9" s="62">
        <v>0</v>
      </c>
      <c r="Y9" s="66">
        <v>538.35</v>
      </c>
      <c r="Z9" s="66">
        <v>0</v>
      </c>
      <c r="AA9" s="67">
        <v>0</v>
      </c>
      <c r="AB9" s="68">
        <v>49.053943909539363</v>
      </c>
      <c r="AC9" s="69">
        <v>0</v>
      </c>
      <c r="AD9" s="69">
        <v>23.371908810403593</v>
      </c>
      <c r="AE9" s="68">
        <v>22.94</v>
      </c>
      <c r="AF9" s="68">
        <v>0</v>
      </c>
      <c r="AG9" s="68">
        <v>1</v>
      </c>
      <c r="AH9" s="69">
        <v>191.26419202486673</v>
      </c>
      <c r="AI9" s="69">
        <v>448.37320032119749</v>
      </c>
      <c r="AJ9" s="69">
        <v>1390.4725290298461</v>
      </c>
      <c r="AK9" s="69">
        <v>716.33669096628819</v>
      </c>
      <c r="AL9" s="69">
        <v>1506.5251560211179</v>
      </c>
      <c r="AM9" s="69">
        <v>3799.7296315511066</v>
      </c>
      <c r="AN9" s="69">
        <v>632.3767582893372</v>
      </c>
      <c r="AO9" s="69">
        <v>2894.9346056620284</v>
      </c>
      <c r="AP9" s="69">
        <v>394.98754455248519</v>
      </c>
      <c r="AQ9" s="69">
        <v>940.59399693806961</v>
      </c>
    </row>
    <row r="10" spans="1:58" x14ac:dyDescent="0.25">
      <c r="A10" s="11">
        <v>42250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967.39241867065391</v>
      </c>
      <c r="J10" s="60">
        <v>1599.6981823603312</v>
      </c>
      <c r="K10" s="60">
        <v>93.868684752781746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642.34668710496453</v>
      </c>
      <c r="V10" s="62">
        <v>0</v>
      </c>
      <c r="W10" s="62">
        <v>58.950205540657066</v>
      </c>
      <c r="X10" s="62">
        <v>0</v>
      </c>
      <c r="Y10" s="66">
        <v>586.78388935725036</v>
      </c>
      <c r="Z10" s="66">
        <v>0</v>
      </c>
      <c r="AA10" s="67">
        <v>0</v>
      </c>
      <c r="AB10" s="68">
        <v>48.064818427297503</v>
      </c>
      <c r="AC10" s="69">
        <v>0</v>
      </c>
      <c r="AD10" s="69">
        <v>25.37000267770555</v>
      </c>
      <c r="AE10" s="68">
        <v>24.899312185290192</v>
      </c>
      <c r="AF10" s="68">
        <v>0</v>
      </c>
      <c r="AG10" s="68">
        <v>1</v>
      </c>
      <c r="AH10" s="69">
        <v>197.33768417835233</v>
      </c>
      <c r="AI10" s="69">
        <v>448.74646867116286</v>
      </c>
      <c r="AJ10" s="69">
        <v>1342.4977180480957</v>
      </c>
      <c r="AK10" s="69">
        <v>714.12734715143847</v>
      </c>
      <c r="AL10" s="69">
        <v>1471.5003234227495</v>
      </c>
      <c r="AM10" s="69">
        <v>3915.2745501200361</v>
      </c>
      <c r="AN10" s="69">
        <v>628.4381524721781</v>
      </c>
      <c r="AO10" s="69">
        <v>3057.4110155741378</v>
      </c>
      <c r="AP10" s="69">
        <v>429.35135394732157</v>
      </c>
      <c r="AQ10" s="69">
        <v>895.71257918675735</v>
      </c>
    </row>
    <row r="11" spans="1:58" x14ac:dyDescent="0.25">
      <c r="A11" s="11">
        <v>42251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979.54407520294171</v>
      </c>
      <c r="J11" s="60">
        <v>1606.0654684702565</v>
      </c>
      <c r="K11" s="60">
        <v>94.686411798000051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626.76</v>
      </c>
      <c r="V11" s="62">
        <v>0</v>
      </c>
      <c r="W11" s="62">
        <v>60.12</v>
      </c>
      <c r="X11" s="62">
        <v>0</v>
      </c>
      <c r="Y11" s="66">
        <v>573.46</v>
      </c>
      <c r="Z11" s="66">
        <v>0</v>
      </c>
      <c r="AA11" s="67">
        <v>0</v>
      </c>
      <c r="AB11" s="68">
        <v>47.437756069500409</v>
      </c>
      <c r="AC11" s="69">
        <v>0</v>
      </c>
      <c r="AD11" s="69">
        <v>24.760109768973475</v>
      </c>
      <c r="AE11" s="68">
        <v>24.29</v>
      </c>
      <c r="AF11" s="68">
        <v>0</v>
      </c>
      <c r="AG11" s="68">
        <v>1</v>
      </c>
      <c r="AH11" s="69">
        <v>197.68916025956472</v>
      </c>
      <c r="AI11" s="69">
        <v>451.50776287714649</v>
      </c>
      <c r="AJ11" s="69">
        <v>1348.3569438934326</v>
      </c>
      <c r="AK11" s="69">
        <v>714.66829811731975</v>
      </c>
      <c r="AL11" s="69">
        <v>1451.128718694051</v>
      </c>
      <c r="AM11" s="69">
        <v>3988.3654357910154</v>
      </c>
      <c r="AN11" s="69">
        <v>573.39254716237394</v>
      </c>
      <c r="AO11" s="69">
        <v>3092.6262775421146</v>
      </c>
      <c r="AP11" s="69">
        <v>465.88593730926505</v>
      </c>
      <c r="AQ11" s="69">
        <v>823.76890379587815</v>
      </c>
    </row>
    <row r="12" spans="1:58" x14ac:dyDescent="0.25">
      <c r="A12" s="11">
        <v>42252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955.80075105031312</v>
      </c>
      <c r="J12" s="60">
        <v>1587.8807955424008</v>
      </c>
      <c r="K12" s="60">
        <v>93.490840740998451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637.26</v>
      </c>
      <c r="V12" s="62">
        <v>0</v>
      </c>
      <c r="W12" s="62">
        <v>61.67</v>
      </c>
      <c r="X12" s="62">
        <v>0</v>
      </c>
      <c r="Y12" s="66">
        <v>583</v>
      </c>
      <c r="Z12" s="66">
        <v>0</v>
      </c>
      <c r="AA12" s="67">
        <v>0</v>
      </c>
      <c r="AB12" s="68">
        <v>47.524411220020198</v>
      </c>
      <c r="AC12" s="69">
        <v>0</v>
      </c>
      <c r="AD12" s="69">
        <v>25.173421051767143</v>
      </c>
      <c r="AE12" s="68">
        <v>24.71</v>
      </c>
      <c r="AF12" s="68">
        <v>0</v>
      </c>
      <c r="AG12" s="68">
        <v>1</v>
      </c>
      <c r="AH12" s="69">
        <v>201.93060481548309</v>
      </c>
      <c r="AI12" s="69">
        <v>461.70058965682978</v>
      </c>
      <c r="AJ12" s="69">
        <v>1373.8288283665979</v>
      </c>
      <c r="AK12" s="69">
        <v>724.77272529602055</v>
      </c>
      <c r="AL12" s="69">
        <v>1478.033865674337</v>
      </c>
      <c r="AM12" s="69">
        <v>3905.6472162882492</v>
      </c>
      <c r="AN12" s="69">
        <v>595.3391246159872</v>
      </c>
      <c r="AO12" s="69">
        <v>3145.8271509806318</v>
      </c>
      <c r="AP12" s="69">
        <v>485.28434114456172</v>
      </c>
      <c r="AQ12" s="69">
        <v>860.93773409525545</v>
      </c>
    </row>
    <row r="13" spans="1:58" x14ac:dyDescent="0.25">
      <c r="A13" s="11">
        <v>42253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887.848084831238</v>
      </c>
      <c r="J13" s="60">
        <v>1475.3950818379717</v>
      </c>
      <c r="K13" s="60">
        <v>86.63298286199587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586.19000000000005</v>
      </c>
      <c r="V13" s="62">
        <v>0</v>
      </c>
      <c r="W13" s="62">
        <v>55.77</v>
      </c>
      <c r="X13" s="62">
        <v>0</v>
      </c>
      <c r="Y13" s="66">
        <v>535.88</v>
      </c>
      <c r="Z13" s="66">
        <v>0</v>
      </c>
      <c r="AA13" s="67">
        <v>0</v>
      </c>
      <c r="AB13" s="68">
        <v>48.093822932243761</v>
      </c>
      <c r="AC13" s="69">
        <v>0</v>
      </c>
      <c r="AD13" s="69">
        <v>23.145095649692717</v>
      </c>
      <c r="AE13" s="68">
        <v>22.75</v>
      </c>
      <c r="AF13" s="68">
        <v>0</v>
      </c>
      <c r="AG13" s="68">
        <v>1</v>
      </c>
      <c r="AH13" s="69">
        <v>198.0844982703527</v>
      </c>
      <c r="AI13" s="69">
        <v>453.40530853271486</v>
      </c>
      <c r="AJ13" s="69">
        <v>1351.1368405659994</v>
      </c>
      <c r="AK13" s="69">
        <v>723.26307026545214</v>
      </c>
      <c r="AL13" s="69">
        <v>1361.5194796880082</v>
      </c>
      <c r="AM13" s="69">
        <v>3710.0288721720381</v>
      </c>
      <c r="AN13" s="69">
        <v>609.23504207928977</v>
      </c>
      <c r="AO13" s="69">
        <v>2908.4547556559241</v>
      </c>
      <c r="AP13" s="69">
        <v>525.86262947718308</v>
      </c>
      <c r="AQ13" s="69">
        <v>876.51753358840938</v>
      </c>
    </row>
    <row r="14" spans="1:58" x14ac:dyDescent="0.25">
      <c r="A14" s="11">
        <v>42254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883.54692745208854</v>
      </c>
      <c r="J14" s="60">
        <v>1468.2609883626303</v>
      </c>
      <c r="K14" s="60">
        <v>86.234119649728328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591.49</v>
      </c>
      <c r="V14" s="62">
        <v>0</v>
      </c>
      <c r="W14" s="62">
        <v>56.14</v>
      </c>
      <c r="X14" s="62">
        <v>0</v>
      </c>
      <c r="Y14" s="66">
        <v>537.79999999999995</v>
      </c>
      <c r="Z14" s="66">
        <v>0</v>
      </c>
      <c r="AA14" s="67">
        <v>0</v>
      </c>
      <c r="AB14" s="68">
        <v>48.094450894991596</v>
      </c>
      <c r="AC14" s="69">
        <v>0</v>
      </c>
      <c r="AD14" s="69">
        <v>23.23200651804607</v>
      </c>
      <c r="AE14" s="68">
        <v>22.95</v>
      </c>
      <c r="AF14" s="68">
        <v>0</v>
      </c>
      <c r="AG14" s="68">
        <v>1</v>
      </c>
      <c r="AH14" s="69">
        <v>202.86173051993049</v>
      </c>
      <c r="AI14" s="69">
        <v>442.00647015571587</v>
      </c>
      <c r="AJ14" s="69">
        <v>1323.2861052831013</v>
      </c>
      <c r="AK14" s="69">
        <v>722.36176385879503</v>
      </c>
      <c r="AL14" s="69">
        <v>1220.4981306711829</v>
      </c>
      <c r="AM14" s="69">
        <v>3701.4216369628907</v>
      </c>
      <c r="AN14" s="69">
        <v>592.03044484456382</v>
      </c>
      <c r="AO14" s="69">
        <v>2789.6727139790855</v>
      </c>
      <c r="AP14" s="69">
        <v>534.92114321390795</v>
      </c>
      <c r="AQ14" s="69">
        <v>861.4131483395895</v>
      </c>
    </row>
    <row r="15" spans="1:58" x14ac:dyDescent="0.25">
      <c r="A15" s="11">
        <v>42255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922.47229124704961</v>
      </c>
      <c r="J15" s="60">
        <v>1556.3562840143836</v>
      </c>
      <c r="K15" s="60">
        <v>91.406101111570976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591.29999999999995</v>
      </c>
      <c r="V15" s="62">
        <v>0</v>
      </c>
      <c r="W15" s="62">
        <v>56.88</v>
      </c>
      <c r="X15" s="62">
        <v>0</v>
      </c>
      <c r="Y15" s="66">
        <v>540.45000000000005</v>
      </c>
      <c r="Z15" s="66">
        <v>0</v>
      </c>
      <c r="AA15" s="67">
        <v>0</v>
      </c>
      <c r="AB15" s="68">
        <v>48.093886115816254</v>
      </c>
      <c r="AC15" s="69">
        <v>0</v>
      </c>
      <c r="AD15" s="69">
        <v>23.326904122696991</v>
      </c>
      <c r="AE15" s="68">
        <v>23.06</v>
      </c>
      <c r="AF15" s="68">
        <v>0</v>
      </c>
      <c r="AG15" s="68">
        <v>1</v>
      </c>
      <c r="AH15" s="69">
        <v>185.17947265307109</v>
      </c>
      <c r="AI15" s="69">
        <v>428.80747623443597</v>
      </c>
      <c r="AJ15" s="69">
        <v>1349.0855202992761</v>
      </c>
      <c r="AK15" s="69">
        <v>724.00126870473241</v>
      </c>
      <c r="AL15" s="69">
        <v>1210.8789152781171</v>
      </c>
      <c r="AM15" s="69">
        <v>3916.3413230895999</v>
      </c>
      <c r="AN15" s="69">
        <v>556.38430339495335</v>
      </c>
      <c r="AO15" s="69">
        <v>3488.9942476908368</v>
      </c>
      <c r="AP15" s="69">
        <v>528.46510610580447</v>
      </c>
      <c r="AQ15" s="69">
        <v>911.45973253250122</v>
      </c>
    </row>
    <row r="16" spans="1:58" x14ac:dyDescent="0.25">
      <c r="A16" s="11">
        <v>42256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924.35820693969708</v>
      </c>
      <c r="J16" s="60">
        <v>1562.7095719655388</v>
      </c>
      <c r="K16" s="60">
        <v>91.910228153069738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620.09</v>
      </c>
      <c r="V16" s="62">
        <v>0</v>
      </c>
      <c r="W16" s="62">
        <v>60.54</v>
      </c>
      <c r="X16" s="62">
        <v>0</v>
      </c>
      <c r="Y16" s="66">
        <v>567.27</v>
      </c>
      <c r="Z16" s="66">
        <v>0</v>
      </c>
      <c r="AA16" s="67">
        <v>0</v>
      </c>
      <c r="AB16" s="68">
        <v>48.091709030999851</v>
      </c>
      <c r="AC16" s="69">
        <v>0</v>
      </c>
      <c r="AD16" s="69">
        <v>24.576760363578774</v>
      </c>
      <c r="AE16" s="68">
        <v>24.34</v>
      </c>
      <c r="AF16" s="68">
        <v>0</v>
      </c>
      <c r="AG16" s="68">
        <v>1</v>
      </c>
      <c r="AH16" s="69">
        <v>192.3022544622421</v>
      </c>
      <c r="AI16" s="69">
        <v>439.52109381357826</v>
      </c>
      <c r="AJ16" s="69">
        <v>1356.9978091557823</v>
      </c>
      <c r="AK16" s="69">
        <v>728.49873889287301</v>
      </c>
      <c r="AL16" s="69">
        <v>1227.5631866455078</v>
      </c>
      <c r="AM16" s="69">
        <v>3903.519744618734</v>
      </c>
      <c r="AN16" s="69">
        <v>575.96921596527091</v>
      </c>
      <c r="AO16" s="69">
        <v>3006.659478886922</v>
      </c>
      <c r="AP16" s="69">
        <v>520.81062281926484</v>
      </c>
      <c r="AQ16" s="69">
        <v>947.78310969670599</v>
      </c>
    </row>
    <row r="17" spans="1:43" x14ac:dyDescent="0.25">
      <c r="A17" s="11">
        <v>42257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923.77249921162888</v>
      </c>
      <c r="J17" s="50">
        <v>1563.1773913065606</v>
      </c>
      <c r="K17" s="50">
        <v>92.037786018848394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610.28</v>
      </c>
      <c r="V17" s="66">
        <v>0</v>
      </c>
      <c r="W17" s="62">
        <v>58.72</v>
      </c>
      <c r="X17" s="62">
        <v>0</v>
      </c>
      <c r="Y17" s="66">
        <v>559.62</v>
      </c>
      <c r="Z17" s="66">
        <v>0</v>
      </c>
      <c r="AA17" s="67">
        <v>0</v>
      </c>
      <c r="AB17" s="68">
        <v>48.092050735156384</v>
      </c>
      <c r="AC17" s="69">
        <v>0</v>
      </c>
      <c r="AD17" s="69">
        <v>24.300078022479997</v>
      </c>
      <c r="AE17" s="68">
        <v>24.05</v>
      </c>
      <c r="AF17" s="68">
        <v>0</v>
      </c>
      <c r="AG17" s="68">
        <v>1</v>
      </c>
      <c r="AH17" s="69">
        <v>198.86346273422242</v>
      </c>
      <c r="AI17" s="69">
        <v>450.90823144912719</v>
      </c>
      <c r="AJ17" s="69">
        <v>1355.1699666341146</v>
      </c>
      <c r="AK17" s="69">
        <v>729.66436049143465</v>
      </c>
      <c r="AL17" s="69">
        <v>1241.2353757222493</v>
      </c>
      <c r="AM17" s="69">
        <v>3930.7641230265303</v>
      </c>
      <c r="AN17" s="69">
        <v>583.62742258707669</v>
      </c>
      <c r="AO17" s="69">
        <v>3053.219219589233</v>
      </c>
      <c r="AP17" s="69">
        <v>483.13223581314082</v>
      </c>
      <c r="AQ17" s="69">
        <v>902.45113805135088</v>
      </c>
    </row>
    <row r="18" spans="1:43" x14ac:dyDescent="0.25">
      <c r="A18" s="11">
        <v>42258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896.62889984448725</v>
      </c>
      <c r="J18" s="60">
        <v>1563.2795686086004</v>
      </c>
      <c r="K18" s="60">
        <v>91.908096571763522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621.54999999999995</v>
      </c>
      <c r="V18" s="62">
        <v>0</v>
      </c>
      <c r="W18" s="62">
        <v>59.78</v>
      </c>
      <c r="X18" s="62">
        <v>0</v>
      </c>
      <c r="Y18" s="66">
        <v>569.95000000000005</v>
      </c>
      <c r="Z18" s="66">
        <v>0</v>
      </c>
      <c r="AA18" s="67">
        <v>0</v>
      </c>
      <c r="AB18" s="68">
        <v>48.092377646764618</v>
      </c>
      <c r="AC18" s="69">
        <v>0</v>
      </c>
      <c r="AD18" s="69">
        <v>24.75116592513195</v>
      </c>
      <c r="AE18" s="68">
        <v>24.5</v>
      </c>
      <c r="AF18" s="68">
        <v>0</v>
      </c>
      <c r="AG18" s="68">
        <v>1</v>
      </c>
      <c r="AH18" s="69">
        <v>191.08984293937681</v>
      </c>
      <c r="AI18" s="69">
        <v>449.04914504686991</v>
      </c>
      <c r="AJ18" s="69">
        <v>1342.794397354126</v>
      </c>
      <c r="AK18" s="69">
        <v>723.22729632059725</v>
      </c>
      <c r="AL18" s="69">
        <v>1232.3678614934286</v>
      </c>
      <c r="AM18" s="69">
        <v>3912.667097727458</v>
      </c>
      <c r="AN18" s="69">
        <v>542.90195032755526</v>
      </c>
      <c r="AO18" s="69">
        <v>2993.5681151072185</v>
      </c>
      <c r="AP18" s="69">
        <v>474.2598927815755</v>
      </c>
      <c r="AQ18" s="69">
        <v>821.73342135747271</v>
      </c>
    </row>
    <row r="19" spans="1:43" x14ac:dyDescent="0.25">
      <c r="A19" s="11">
        <v>42259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870.59211413065646</v>
      </c>
      <c r="J19" s="60">
        <v>1569.2144360860186</v>
      </c>
      <c r="K19" s="60">
        <v>92.150292595227654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611.46</v>
      </c>
      <c r="V19" s="62">
        <v>0</v>
      </c>
      <c r="W19" s="62">
        <v>58.98</v>
      </c>
      <c r="X19" s="62">
        <v>0</v>
      </c>
      <c r="Y19" s="66">
        <v>562.89</v>
      </c>
      <c r="Z19" s="66">
        <v>0</v>
      </c>
      <c r="AA19" s="67">
        <v>0</v>
      </c>
      <c r="AB19" s="68">
        <v>48.096215923626986</v>
      </c>
      <c r="AC19" s="69">
        <v>0</v>
      </c>
      <c r="AD19" s="69">
        <v>24.451179410351646</v>
      </c>
      <c r="AE19" s="68">
        <v>24.09</v>
      </c>
      <c r="AF19" s="68">
        <v>0</v>
      </c>
      <c r="AG19" s="68">
        <v>1</v>
      </c>
      <c r="AH19" s="69">
        <v>186.78008224169412</v>
      </c>
      <c r="AI19" s="69">
        <v>436.14316797256464</v>
      </c>
      <c r="AJ19" s="69">
        <v>1311.5395277659097</v>
      </c>
      <c r="AK19" s="69">
        <v>725.1163804690043</v>
      </c>
      <c r="AL19" s="69">
        <v>1222.4549816767374</v>
      </c>
      <c r="AM19" s="69">
        <v>3838.7343612670902</v>
      </c>
      <c r="AN19" s="69">
        <v>553.2642296632132</v>
      </c>
      <c r="AO19" s="69">
        <v>3033.9339265187577</v>
      </c>
      <c r="AP19" s="69">
        <v>482.08133703867594</v>
      </c>
      <c r="AQ19" s="69">
        <v>794.24116455713897</v>
      </c>
    </row>
    <row r="20" spans="1:43" x14ac:dyDescent="0.25">
      <c r="A20" s="11">
        <v>42260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873.07533664703465</v>
      </c>
      <c r="J20" s="60">
        <v>1573.6931115468319</v>
      </c>
      <c r="K20" s="60">
        <v>92.493896102905197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621.19000000000005</v>
      </c>
      <c r="V20" s="62">
        <v>0</v>
      </c>
      <c r="W20" s="62">
        <v>60.07</v>
      </c>
      <c r="X20" s="62">
        <v>0</v>
      </c>
      <c r="Y20" s="66">
        <v>573.54999999999995</v>
      </c>
      <c r="Z20" s="66">
        <v>0</v>
      </c>
      <c r="AA20" s="67">
        <v>0</v>
      </c>
      <c r="AB20" s="68">
        <v>48.096513160069634</v>
      </c>
      <c r="AC20" s="69">
        <v>0</v>
      </c>
      <c r="AD20" s="69">
        <v>24.912415300475196</v>
      </c>
      <c r="AE20" s="68">
        <v>24.5</v>
      </c>
      <c r="AF20" s="68">
        <v>0</v>
      </c>
      <c r="AG20" s="68">
        <v>1</v>
      </c>
      <c r="AH20" s="69">
        <v>187.73724638621013</v>
      </c>
      <c r="AI20" s="69">
        <v>438.32432033220937</v>
      </c>
      <c r="AJ20" s="69">
        <v>1346.7220071156821</v>
      </c>
      <c r="AK20" s="69">
        <v>728.86815179189045</v>
      </c>
      <c r="AL20" s="69">
        <v>1229.6003934224448</v>
      </c>
      <c r="AM20" s="69">
        <v>3846.9335932413742</v>
      </c>
      <c r="AN20" s="69">
        <v>596.56167593002317</v>
      </c>
      <c r="AO20" s="69">
        <v>3092.8901789347328</v>
      </c>
      <c r="AP20" s="69">
        <v>488.29743111928309</v>
      </c>
      <c r="AQ20" s="69">
        <v>873.25527884165444</v>
      </c>
    </row>
    <row r="21" spans="1:43" x14ac:dyDescent="0.25">
      <c r="A21" s="11">
        <v>42261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873.40424919128577</v>
      </c>
      <c r="J21" s="60">
        <v>1574.1038730621356</v>
      </c>
      <c r="K21" s="60">
        <v>92.557938118775596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611.39</v>
      </c>
      <c r="V21" s="62">
        <v>0</v>
      </c>
      <c r="W21" s="62">
        <v>59.24</v>
      </c>
      <c r="X21" s="62">
        <v>0</v>
      </c>
      <c r="Y21" s="66">
        <v>565.12</v>
      </c>
      <c r="Z21" s="66">
        <v>0</v>
      </c>
      <c r="AA21" s="67">
        <v>0</v>
      </c>
      <c r="AB21" s="68">
        <v>48.094253892368869</v>
      </c>
      <c r="AC21" s="69">
        <v>0</v>
      </c>
      <c r="AD21" s="69">
        <v>24.555645343330163</v>
      </c>
      <c r="AE21" s="68">
        <v>24.11</v>
      </c>
      <c r="AF21" s="68">
        <v>0</v>
      </c>
      <c r="AG21" s="68">
        <v>1</v>
      </c>
      <c r="AH21" s="69">
        <v>188.48450047175089</v>
      </c>
      <c r="AI21" s="69">
        <v>449.3958618323008</v>
      </c>
      <c r="AJ21" s="69">
        <v>1372.8111937840779</v>
      </c>
      <c r="AK21" s="69">
        <v>726.91480903625495</v>
      </c>
      <c r="AL21" s="69">
        <v>1217.8358194986979</v>
      </c>
      <c r="AM21" s="69">
        <v>3852.2982462565105</v>
      </c>
      <c r="AN21" s="69">
        <v>621.8241003672282</v>
      </c>
      <c r="AO21" s="69">
        <v>3084.6483586629229</v>
      </c>
      <c r="AP21" s="69">
        <v>493.97837390899667</v>
      </c>
      <c r="AQ21" s="69">
        <v>950.18634500503538</v>
      </c>
    </row>
    <row r="22" spans="1:43" x14ac:dyDescent="0.25">
      <c r="A22" s="11">
        <v>42262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871.23740488688179</v>
      </c>
      <c r="J22" s="60">
        <v>1574.0538740793875</v>
      </c>
      <c r="K22" s="60">
        <v>92.529169607162444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616.19000000000005</v>
      </c>
      <c r="V22" s="62">
        <v>0</v>
      </c>
      <c r="W22" s="62">
        <v>59.53</v>
      </c>
      <c r="X22" s="62">
        <v>0</v>
      </c>
      <c r="Y22" s="66">
        <v>569.75</v>
      </c>
      <c r="Z22" s="66">
        <v>0</v>
      </c>
      <c r="AA22" s="67">
        <v>0</v>
      </c>
      <c r="AB22" s="68">
        <v>48.095439150598381</v>
      </c>
      <c r="AC22" s="69">
        <v>0</v>
      </c>
      <c r="AD22" s="69">
        <v>24.738569705353825</v>
      </c>
      <c r="AE22" s="68">
        <v>24.27</v>
      </c>
      <c r="AF22" s="68">
        <v>0</v>
      </c>
      <c r="AG22" s="68">
        <v>1</v>
      </c>
      <c r="AH22" s="69">
        <v>185.49522399902344</v>
      </c>
      <c r="AI22" s="69">
        <v>461.83249197006228</v>
      </c>
      <c r="AJ22" s="69">
        <v>1348.2983292897545</v>
      </c>
      <c r="AK22" s="69">
        <v>723.49921064376827</v>
      </c>
      <c r="AL22" s="69">
        <v>1218.395102564494</v>
      </c>
      <c r="AM22" s="69">
        <v>3828.6978597005209</v>
      </c>
      <c r="AN22" s="69">
        <v>622.97703475952153</v>
      </c>
      <c r="AO22" s="69">
        <v>3270.838800048828</v>
      </c>
      <c r="AP22" s="69">
        <v>493.44851150512682</v>
      </c>
      <c r="AQ22" s="69">
        <v>918.42219746907551</v>
      </c>
    </row>
    <row r="23" spans="1:43" x14ac:dyDescent="0.25">
      <c r="A23" s="11">
        <v>42263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832.85548915863103</v>
      </c>
      <c r="J23" s="60">
        <v>1510.5733715693152</v>
      </c>
      <c r="K23" s="60">
        <v>88.974962246418144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595.03</v>
      </c>
      <c r="V23" s="62">
        <v>0</v>
      </c>
      <c r="W23" s="62">
        <v>57.07</v>
      </c>
      <c r="X23" s="62">
        <v>0</v>
      </c>
      <c r="Y23" s="66">
        <v>550.62</v>
      </c>
      <c r="Z23" s="66">
        <v>0</v>
      </c>
      <c r="AA23" s="67">
        <v>0</v>
      </c>
      <c r="AB23" s="68">
        <v>48.09549503591321</v>
      </c>
      <c r="AC23" s="69">
        <v>0</v>
      </c>
      <c r="AD23" s="69">
        <v>23.915631363126955</v>
      </c>
      <c r="AE23" s="68">
        <v>23.48</v>
      </c>
      <c r="AF23" s="68">
        <v>0</v>
      </c>
      <c r="AG23" s="68">
        <v>1</v>
      </c>
      <c r="AH23" s="69">
        <v>177.41418142318724</v>
      </c>
      <c r="AI23" s="69">
        <v>452.8986183802287</v>
      </c>
      <c r="AJ23" s="69">
        <v>1353.2134076436362</v>
      </c>
      <c r="AK23" s="69">
        <v>723.45521745681765</v>
      </c>
      <c r="AL23" s="69">
        <v>1218.8018604914346</v>
      </c>
      <c r="AM23" s="69">
        <v>3744.73366877238</v>
      </c>
      <c r="AN23" s="69">
        <v>611.22309290568035</v>
      </c>
      <c r="AO23" s="69">
        <v>3158.4482963562014</v>
      </c>
      <c r="AP23" s="69">
        <v>481.31436694463099</v>
      </c>
      <c r="AQ23" s="69">
        <v>926.70098718007421</v>
      </c>
    </row>
    <row r="24" spans="1:43" x14ac:dyDescent="0.25">
      <c r="A24" s="11">
        <v>42264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818.46345189412398</v>
      </c>
      <c r="J24" s="60">
        <v>1480.4099797566726</v>
      </c>
      <c r="K24" s="60">
        <v>87.16500125726084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574.15</v>
      </c>
      <c r="V24" s="62">
        <v>0</v>
      </c>
      <c r="W24" s="62">
        <v>54.89</v>
      </c>
      <c r="X24" s="62">
        <v>0</v>
      </c>
      <c r="Y24" s="66">
        <v>530.28</v>
      </c>
      <c r="Z24" s="66">
        <v>0</v>
      </c>
      <c r="AA24" s="67">
        <v>0</v>
      </c>
      <c r="AB24" s="68">
        <v>48.094012424681097</v>
      </c>
      <c r="AC24" s="69">
        <v>0</v>
      </c>
      <c r="AD24" s="69">
        <v>23.05745147201748</v>
      </c>
      <c r="AE24" s="68">
        <v>22.64</v>
      </c>
      <c r="AF24" s="68">
        <v>0</v>
      </c>
      <c r="AG24" s="68">
        <v>1</v>
      </c>
      <c r="AH24" s="69">
        <v>190.76074510415393</v>
      </c>
      <c r="AI24" s="69">
        <v>447.38816388448072</v>
      </c>
      <c r="AJ24" s="69">
        <v>1316.2546714146933</v>
      </c>
      <c r="AK24" s="69">
        <v>719.38929061889644</v>
      </c>
      <c r="AL24" s="69">
        <v>1005.4109926223755</v>
      </c>
      <c r="AM24" s="69">
        <v>3729.7362747192374</v>
      </c>
      <c r="AN24" s="69">
        <v>553.13831470807384</v>
      </c>
      <c r="AO24" s="69">
        <v>3111.0658077239996</v>
      </c>
      <c r="AP24" s="69">
        <v>490.48965047200528</v>
      </c>
      <c r="AQ24" s="69">
        <v>857.12187611262004</v>
      </c>
    </row>
    <row r="25" spans="1:43" x14ac:dyDescent="0.25">
      <c r="A25" s="11">
        <v>42265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805.78961976369089</v>
      </c>
      <c r="J25" s="60">
        <v>1474.0406819661441</v>
      </c>
      <c r="K25" s="60">
        <v>86.807865778605105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572.48</v>
      </c>
      <c r="V25" s="62">
        <v>0</v>
      </c>
      <c r="W25" s="62">
        <v>55.22</v>
      </c>
      <c r="X25" s="62">
        <v>0</v>
      </c>
      <c r="Y25" s="66">
        <v>521.32000000000005</v>
      </c>
      <c r="Z25" s="66">
        <v>0</v>
      </c>
      <c r="AA25" s="67">
        <v>0</v>
      </c>
      <c r="AB25" s="68">
        <v>48.095342633459225</v>
      </c>
      <c r="AC25" s="69">
        <v>0</v>
      </c>
      <c r="AD25" s="69">
        <v>22.881374108791352</v>
      </c>
      <c r="AE25" s="68">
        <v>22.55</v>
      </c>
      <c r="AF25" s="68">
        <v>0</v>
      </c>
      <c r="AG25" s="68">
        <v>1</v>
      </c>
      <c r="AH25" s="69">
        <v>181.08757792313895</v>
      </c>
      <c r="AI25" s="69">
        <v>427.40899432500203</v>
      </c>
      <c r="AJ25" s="69">
        <v>1180.4339758555093</v>
      </c>
      <c r="AK25" s="69">
        <v>715.70956255594911</v>
      </c>
      <c r="AL25" s="69">
        <v>994.3478560765584</v>
      </c>
      <c r="AM25" s="69">
        <v>3707.4195859273277</v>
      </c>
      <c r="AN25" s="69">
        <v>504.39821947415675</v>
      </c>
      <c r="AO25" s="69">
        <v>2964.9589637756349</v>
      </c>
      <c r="AP25" s="69">
        <v>479.26135292053226</v>
      </c>
      <c r="AQ25" s="69">
        <v>722.27714395523071</v>
      </c>
    </row>
    <row r="26" spans="1:43" x14ac:dyDescent="0.25">
      <c r="A26" s="11">
        <v>42266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816.21968816121273</v>
      </c>
      <c r="J26" s="60">
        <v>1471.3562372207625</v>
      </c>
      <c r="K26" s="60">
        <v>86.215722413857733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589.79</v>
      </c>
      <c r="V26" s="62">
        <v>0</v>
      </c>
      <c r="W26" s="62">
        <v>56.22</v>
      </c>
      <c r="X26" s="62">
        <v>0</v>
      </c>
      <c r="Y26" s="66">
        <v>529.84</v>
      </c>
      <c r="Z26" s="66">
        <v>0</v>
      </c>
      <c r="AA26" s="67">
        <v>0</v>
      </c>
      <c r="AB26" s="68">
        <v>48.093447703785714</v>
      </c>
      <c r="AC26" s="69">
        <v>0</v>
      </c>
      <c r="AD26" s="69">
        <v>23.265963904062918</v>
      </c>
      <c r="AE26" s="68">
        <v>23</v>
      </c>
      <c r="AF26" s="68">
        <v>0</v>
      </c>
      <c r="AG26" s="68">
        <v>1</v>
      </c>
      <c r="AH26" s="69">
        <v>171.5189208984375</v>
      </c>
      <c r="AI26" s="69">
        <v>420.4654078324636</v>
      </c>
      <c r="AJ26" s="69">
        <v>1200.0005242665609</v>
      </c>
      <c r="AK26" s="69">
        <v>716.54633522033691</v>
      </c>
      <c r="AL26" s="69">
        <v>970.92208232879636</v>
      </c>
      <c r="AM26" s="69">
        <v>3703.0773282368982</v>
      </c>
      <c r="AN26" s="69">
        <v>499.4997516155243</v>
      </c>
      <c r="AO26" s="69">
        <v>3045.6098543802896</v>
      </c>
      <c r="AP26" s="69">
        <v>480.8242925326029</v>
      </c>
      <c r="AQ26" s="69">
        <v>733.17742452621474</v>
      </c>
    </row>
    <row r="27" spans="1:43" x14ac:dyDescent="0.25">
      <c r="A27" s="11">
        <v>42267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816.11460208892834</v>
      </c>
      <c r="J27" s="60">
        <v>1470.7170679728185</v>
      </c>
      <c r="K27" s="60">
        <v>86.294063194592937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597.07000000000005</v>
      </c>
      <c r="V27" s="62">
        <v>0</v>
      </c>
      <c r="W27" s="62">
        <v>57.19</v>
      </c>
      <c r="X27" s="62">
        <v>0</v>
      </c>
      <c r="Y27" s="62">
        <v>540.36</v>
      </c>
      <c r="Z27" s="62">
        <v>0</v>
      </c>
      <c r="AA27" s="72">
        <v>0</v>
      </c>
      <c r="AB27" s="69">
        <v>48.094198173946936</v>
      </c>
      <c r="AC27" s="69">
        <v>0</v>
      </c>
      <c r="AD27" s="69">
        <v>23.073234141535252</v>
      </c>
      <c r="AE27" s="69">
        <v>22.81</v>
      </c>
      <c r="AF27" s="69">
        <v>0</v>
      </c>
      <c r="AG27" s="69">
        <v>1</v>
      </c>
      <c r="AH27" s="69">
        <v>173.34520462354024</v>
      </c>
      <c r="AI27" s="69">
        <v>433.5035816987355</v>
      </c>
      <c r="AJ27" s="69">
        <v>1245.5306714375813</v>
      </c>
      <c r="AK27" s="69">
        <v>724.43653256098435</v>
      </c>
      <c r="AL27" s="69">
        <v>990.12610378265379</v>
      </c>
      <c r="AM27" s="69">
        <v>3671.2959390004467</v>
      </c>
      <c r="AN27" s="69">
        <v>536.1561367193857</v>
      </c>
      <c r="AO27" s="69">
        <v>3038.512148666382</v>
      </c>
      <c r="AP27" s="69">
        <v>487.3399282455444</v>
      </c>
      <c r="AQ27" s="69">
        <v>782.48855861028039</v>
      </c>
    </row>
    <row r="28" spans="1:43" x14ac:dyDescent="0.25">
      <c r="A28" s="11">
        <v>42268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815.16086088816223</v>
      </c>
      <c r="J28" s="60">
        <v>1469.2971773147615</v>
      </c>
      <c r="K28" s="60">
        <v>86.722126960754622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592</v>
      </c>
      <c r="V28" s="62">
        <v>0</v>
      </c>
      <c r="W28" s="62">
        <v>56.9</v>
      </c>
      <c r="X28" s="62">
        <v>0</v>
      </c>
      <c r="Y28" s="66">
        <v>547.02</v>
      </c>
      <c r="Z28" s="66">
        <v>0</v>
      </c>
      <c r="AA28" s="67">
        <v>0</v>
      </c>
      <c r="AB28" s="68">
        <v>48.094331947962473</v>
      </c>
      <c r="AC28" s="69">
        <v>0</v>
      </c>
      <c r="AD28" s="69">
        <v>23.234297053019208</v>
      </c>
      <c r="AE28" s="68">
        <v>23</v>
      </c>
      <c r="AF28" s="68">
        <v>0</v>
      </c>
      <c r="AG28" s="68">
        <v>1</v>
      </c>
      <c r="AH28" s="69">
        <v>180.89676570892334</v>
      </c>
      <c r="AI28" s="69">
        <v>449.16266684532161</v>
      </c>
      <c r="AJ28" s="69">
        <v>1407.7924388885499</v>
      </c>
      <c r="AK28" s="69">
        <v>733.24499750137329</v>
      </c>
      <c r="AL28" s="69">
        <v>954.99055442810072</v>
      </c>
      <c r="AM28" s="69">
        <v>3707.6986778259284</v>
      </c>
      <c r="AN28" s="69">
        <v>577.39557209014902</v>
      </c>
      <c r="AO28" s="69">
        <v>2976.6044284820559</v>
      </c>
      <c r="AP28" s="69">
        <v>506.04085311889651</v>
      </c>
      <c r="AQ28" s="69">
        <v>910.20816583633416</v>
      </c>
    </row>
    <row r="29" spans="1:43" x14ac:dyDescent="0.25">
      <c r="A29" s="11">
        <v>42269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821.43653271993082</v>
      </c>
      <c r="J29" s="60">
        <v>1469.6084129333517</v>
      </c>
      <c r="K29" s="60">
        <v>86.54671072959907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582.59</v>
      </c>
      <c r="V29" s="62">
        <v>0</v>
      </c>
      <c r="W29" s="62">
        <v>56.24</v>
      </c>
      <c r="X29" s="62">
        <v>0</v>
      </c>
      <c r="Y29" s="66">
        <v>538.79</v>
      </c>
      <c r="Z29" s="66">
        <v>0</v>
      </c>
      <c r="AA29" s="67">
        <v>0</v>
      </c>
      <c r="AB29" s="68">
        <v>48.096494597858523</v>
      </c>
      <c r="AC29" s="69">
        <v>0</v>
      </c>
      <c r="AD29" s="69">
        <v>22.864563078350503</v>
      </c>
      <c r="AE29" s="68">
        <v>22.63</v>
      </c>
      <c r="AF29" s="68">
        <v>0</v>
      </c>
      <c r="AG29" s="68">
        <v>1</v>
      </c>
      <c r="AH29" s="69">
        <v>189.23594752152763</v>
      </c>
      <c r="AI29" s="69">
        <v>441.39209456443785</v>
      </c>
      <c r="AJ29" s="69">
        <v>1373.276184717814</v>
      </c>
      <c r="AK29" s="69">
        <v>726.27446355819689</v>
      </c>
      <c r="AL29" s="69">
        <v>991.14651902516664</v>
      </c>
      <c r="AM29" s="69">
        <v>3731.7690017700193</v>
      </c>
      <c r="AN29" s="69">
        <v>568.63278218905134</v>
      </c>
      <c r="AO29" s="69">
        <v>3008.070609410604</v>
      </c>
      <c r="AP29" s="69">
        <v>513.95956687927242</v>
      </c>
      <c r="AQ29" s="69">
        <v>859.96433493296308</v>
      </c>
    </row>
    <row r="30" spans="1:43" x14ac:dyDescent="0.25">
      <c r="A30" s="11">
        <v>42270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844.19969145456992</v>
      </c>
      <c r="J30" s="60">
        <v>1469.8040745417279</v>
      </c>
      <c r="K30" s="60">
        <v>86.410347215334681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585.67999999999995</v>
      </c>
      <c r="V30" s="62">
        <v>0</v>
      </c>
      <c r="W30" s="62">
        <v>56.52</v>
      </c>
      <c r="X30" s="62">
        <v>0</v>
      </c>
      <c r="Y30" s="66">
        <v>541.53</v>
      </c>
      <c r="Z30" s="66">
        <v>0</v>
      </c>
      <c r="AA30" s="67">
        <v>0</v>
      </c>
      <c r="AB30" s="68">
        <v>48.098738651805299</v>
      </c>
      <c r="AC30" s="69">
        <v>0</v>
      </c>
      <c r="AD30" s="69">
        <v>22.993785825702879</v>
      </c>
      <c r="AE30" s="68">
        <v>22.76</v>
      </c>
      <c r="AF30" s="68">
        <v>0</v>
      </c>
      <c r="AG30" s="68">
        <v>1</v>
      </c>
      <c r="AH30" s="69">
        <v>182.36836917400359</v>
      </c>
      <c r="AI30" s="69">
        <v>431.05702276229857</v>
      </c>
      <c r="AJ30" s="69">
        <v>1353.225316429138</v>
      </c>
      <c r="AK30" s="69">
        <v>725.98081474304183</v>
      </c>
      <c r="AL30" s="69">
        <v>1023.8532255808511</v>
      </c>
      <c r="AM30" s="69">
        <v>3718.2943656921384</v>
      </c>
      <c r="AN30" s="69">
        <v>558.38703255653377</v>
      </c>
      <c r="AO30" s="69">
        <v>2937.634111150106</v>
      </c>
      <c r="AP30" s="69">
        <v>507.96680943171185</v>
      </c>
      <c r="AQ30" s="69">
        <v>897.88559780120852</v>
      </c>
    </row>
    <row r="31" spans="1:43" x14ac:dyDescent="0.25">
      <c r="A31" s="11">
        <v>42271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711.68586915731657</v>
      </c>
      <c r="J31" s="60">
        <v>1255.1711271286017</v>
      </c>
      <c r="K31" s="60">
        <v>73.684809605280606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498.11</v>
      </c>
      <c r="V31" s="62">
        <v>0</v>
      </c>
      <c r="W31" s="62">
        <v>48.17</v>
      </c>
      <c r="X31" s="62">
        <v>0</v>
      </c>
      <c r="Y31" s="66">
        <v>460.16</v>
      </c>
      <c r="Z31" s="66">
        <v>0</v>
      </c>
      <c r="AA31" s="67">
        <v>0</v>
      </c>
      <c r="AB31" s="68">
        <v>48.096178748872411</v>
      </c>
      <c r="AC31" s="69">
        <v>0</v>
      </c>
      <c r="AD31" s="69">
        <v>19.538202708297302</v>
      </c>
      <c r="AE31" s="68">
        <v>19.32</v>
      </c>
      <c r="AF31" s="68">
        <v>0</v>
      </c>
      <c r="AG31" s="68">
        <v>1</v>
      </c>
      <c r="AH31" s="69">
        <v>197.0186581134796</v>
      </c>
      <c r="AI31" s="69">
        <v>430.50372807184857</v>
      </c>
      <c r="AJ31" s="69">
        <v>1336.5720450719198</v>
      </c>
      <c r="AK31" s="69">
        <v>718.04428068796801</v>
      </c>
      <c r="AL31" s="69">
        <v>986.61829725901305</v>
      </c>
      <c r="AM31" s="69">
        <v>3527.4166188557942</v>
      </c>
      <c r="AN31" s="69">
        <v>561.45313288370755</v>
      </c>
      <c r="AO31" s="69">
        <v>2783.5180926005041</v>
      </c>
      <c r="AP31" s="69">
        <v>517.93083384831743</v>
      </c>
      <c r="AQ31" s="69">
        <v>873.35626134872416</v>
      </c>
    </row>
    <row r="32" spans="1:43" x14ac:dyDescent="0.25">
      <c r="A32" s="11">
        <v>42272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690.7472374280286</v>
      </c>
      <c r="J32" s="60">
        <v>1161.5337463378921</v>
      </c>
      <c r="K32" s="60">
        <v>68.30532809495935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455.41</v>
      </c>
      <c r="V32" s="62">
        <v>0</v>
      </c>
      <c r="W32" s="62">
        <v>43.53</v>
      </c>
      <c r="X32" s="62">
        <v>0</v>
      </c>
      <c r="Y32" s="66">
        <v>413.34</v>
      </c>
      <c r="Z32" s="66">
        <v>0</v>
      </c>
      <c r="AA32" s="67">
        <v>0</v>
      </c>
      <c r="AB32" s="68">
        <v>48.095584193865257</v>
      </c>
      <c r="AC32" s="69">
        <v>0</v>
      </c>
      <c r="AD32" s="69">
        <v>17.558298880524106</v>
      </c>
      <c r="AE32" s="68">
        <v>17.34</v>
      </c>
      <c r="AF32" s="68">
        <v>0</v>
      </c>
      <c r="AG32" s="68">
        <v>1</v>
      </c>
      <c r="AH32" s="69">
        <v>182.99893476963044</v>
      </c>
      <c r="AI32" s="69">
        <v>428.41588915189107</v>
      </c>
      <c r="AJ32" s="69">
        <v>1337.9309574762979</v>
      </c>
      <c r="AK32" s="69">
        <v>717.92791236241646</v>
      </c>
      <c r="AL32" s="69">
        <v>1021.9600486119588</v>
      </c>
      <c r="AM32" s="69">
        <v>3413.8205996195475</v>
      </c>
      <c r="AN32" s="69">
        <v>557.00888730684915</v>
      </c>
      <c r="AO32" s="69">
        <v>3067.1250062306722</v>
      </c>
      <c r="AP32" s="69">
        <v>563.4950944900512</v>
      </c>
      <c r="AQ32" s="69">
        <v>851.45105619430535</v>
      </c>
    </row>
    <row r="33" spans="1:43" x14ac:dyDescent="0.25">
      <c r="A33" s="11">
        <v>42273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603.69677553176848</v>
      </c>
      <c r="J33" s="60">
        <v>941.84493452708034</v>
      </c>
      <c r="K33" s="60">
        <v>55.353919291496219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387.33</v>
      </c>
      <c r="V33" s="62">
        <v>0</v>
      </c>
      <c r="W33" s="62">
        <v>36.54</v>
      </c>
      <c r="X33" s="62">
        <v>0</v>
      </c>
      <c r="Y33" s="66">
        <v>331.29</v>
      </c>
      <c r="Z33" s="66">
        <v>0</v>
      </c>
      <c r="AA33" s="67">
        <v>0</v>
      </c>
      <c r="AB33" s="68">
        <v>40.482396025128821</v>
      </c>
      <c r="AC33" s="69">
        <v>0</v>
      </c>
      <c r="AD33" s="69">
        <v>14.29561963942318</v>
      </c>
      <c r="AE33" s="68">
        <v>14.1</v>
      </c>
      <c r="AF33" s="68">
        <v>0</v>
      </c>
      <c r="AG33" s="68">
        <v>1</v>
      </c>
      <c r="AH33" s="69">
        <v>178.07484394709269</v>
      </c>
      <c r="AI33" s="69">
        <v>432.21409875551865</v>
      </c>
      <c r="AJ33" s="69">
        <v>1361.9101404825849</v>
      </c>
      <c r="AK33" s="69">
        <v>715.90549332300816</v>
      </c>
      <c r="AL33" s="69">
        <v>1042.3398686091102</v>
      </c>
      <c r="AM33" s="69">
        <v>3211.5109673817951</v>
      </c>
      <c r="AN33" s="69">
        <v>569.78905631701161</v>
      </c>
      <c r="AO33" s="69">
        <v>2477.762919616699</v>
      </c>
      <c r="AP33" s="69">
        <v>549.9986426671345</v>
      </c>
      <c r="AQ33" s="69">
        <v>836.94743582407625</v>
      </c>
    </row>
    <row r="34" spans="1:43" x14ac:dyDescent="0.25">
      <c r="A34" s="11">
        <v>42274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617.93775253295939</v>
      </c>
      <c r="J34" s="60">
        <v>851.13603032430069</v>
      </c>
      <c r="K34" s="60">
        <v>50.182906277974531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361.71</v>
      </c>
      <c r="V34" s="62">
        <v>0</v>
      </c>
      <c r="W34" s="62">
        <v>34.04</v>
      </c>
      <c r="X34" s="62">
        <v>0</v>
      </c>
      <c r="Y34" s="66">
        <v>291.02999999999997</v>
      </c>
      <c r="Z34" s="66">
        <v>0</v>
      </c>
      <c r="AA34" s="67">
        <v>0</v>
      </c>
      <c r="AB34" s="68">
        <v>30.964115209049442</v>
      </c>
      <c r="AC34" s="69">
        <v>0</v>
      </c>
      <c r="AD34" s="69">
        <v>13.168990995486578</v>
      </c>
      <c r="AE34" s="68">
        <v>13</v>
      </c>
      <c r="AF34" s="68">
        <v>0</v>
      </c>
      <c r="AG34" s="68">
        <v>1</v>
      </c>
      <c r="AH34" s="69">
        <v>183.85441813468933</v>
      </c>
      <c r="AI34" s="69">
        <v>440.79748803774521</v>
      </c>
      <c r="AJ34" s="69">
        <v>1374.1682109832766</v>
      </c>
      <c r="AK34" s="69">
        <v>716.97813663482657</v>
      </c>
      <c r="AL34" s="69">
        <v>1028.5857840220135</v>
      </c>
      <c r="AM34" s="69">
        <v>3140.8557366689042</v>
      </c>
      <c r="AN34" s="69">
        <v>590.79264899889631</v>
      </c>
      <c r="AO34" s="69">
        <v>1767.9692708333334</v>
      </c>
      <c r="AP34" s="69">
        <v>560.42822856903081</v>
      </c>
      <c r="AQ34" s="69">
        <v>893.77624562581377</v>
      </c>
    </row>
    <row r="35" spans="1:43" x14ac:dyDescent="0.25">
      <c r="A35" s="11">
        <v>42275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476.19951233863827</v>
      </c>
      <c r="J35" s="60">
        <v>684.39638303120626</v>
      </c>
      <c r="K35" s="60">
        <v>40.307596480846321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287.95999999999998</v>
      </c>
      <c r="V35" s="62">
        <v>0</v>
      </c>
      <c r="W35" s="62">
        <v>25.88</v>
      </c>
      <c r="X35" s="62">
        <v>0</v>
      </c>
      <c r="Y35" s="66">
        <v>221.24</v>
      </c>
      <c r="Z35" s="66">
        <v>0</v>
      </c>
      <c r="AA35" s="67">
        <v>0</v>
      </c>
      <c r="AB35" s="68">
        <v>21.035205591387633</v>
      </c>
      <c r="AC35" s="69">
        <v>0</v>
      </c>
      <c r="AD35" s="69">
        <v>10.143573571244863</v>
      </c>
      <c r="AE35" s="68">
        <v>9.9600000000000009</v>
      </c>
      <c r="AF35" s="68">
        <v>0</v>
      </c>
      <c r="AG35" s="68">
        <v>1</v>
      </c>
      <c r="AH35" s="69">
        <v>198.74567198753357</v>
      </c>
      <c r="AI35" s="69">
        <v>445.00817774136857</v>
      </c>
      <c r="AJ35" s="69">
        <v>1326.1560928344727</v>
      </c>
      <c r="AK35" s="69">
        <v>706.05276635487871</v>
      </c>
      <c r="AL35" s="69">
        <v>1021.0179209391275</v>
      </c>
      <c r="AM35" s="69">
        <v>3090.3849102020263</v>
      </c>
      <c r="AN35" s="69">
        <v>579.62711029052741</v>
      </c>
      <c r="AO35" s="69">
        <v>1592.2808928171794</v>
      </c>
      <c r="AP35" s="69">
        <v>424.22115513483686</v>
      </c>
      <c r="AQ35" s="69">
        <v>903.93409989674899</v>
      </c>
    </row>
    <row r="36" spans="1:43" x14ac:dyDescent="0.25">
      <c r="A36" s="11">
        <v>42276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414.84622222582527</v>
      </c>
      <c r="J36" s="60">
        <v>542.49450101852256</v>
      </c>
      <c r="K36" s="60">
        <v>32.065106439590423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250.36831360922832</v>
      </c>
      <c r="V36" s="62">
        <v>0</v>
      </c>
      <c r="W36" s="62">
        <v>22.342771784464524</v>
      </c>
      <c r="X36" s="62">
        <v>0</v>
      </c>
      <c r="Y36" s="66">
        <v>174.23436865011857</v>
      </c>
      <c r="Z36" s="66">
        <v>0</v>
      </c>
      <c r="AA36" s="67">
        <v>0</v>
      </c>
      <c r="AB36" s="68">
        <v>15.283710255225198</v>
      </c>
      <c r="AC36" s="69">
        <v>0</v>
      </c>
      <c r="AD36" s="69">
        <v>8.1519440250264203</v>
      </c>
      <c r="AE36" s="68">
        <v>7.9999243665568027</v>
      </c>
      <c r="AF36" s="68">
        <v>0</v>
      </c>
      <c r="AG36" s="68">
        <v>1</v>
      </c>
      <c r="AH36" s="69">
        <v>200.59203856786093</v>
      </c>
      <c r="AI36" s="69">
        <v>424.67415429751082</v>
      </c>
      <c r="AJ36" s="69">
        <v>1338.0066656748454</v>
      </c>
      <c r="AK36" s="69">
        <v>695.43786347707101</v>
      </c>
      <c r="AL36" s="69">
        <v>1071.1575803756716</v>
      </c>
      <c r="AM36" s="69">
        <v>3091.2309744517001</v>
      </c>
      <c r="AN36" s="69">
        <v>531.96087519327807</v>
      </c>
      <c r="AO36" s="69">
        <v>1426.3601620992029</v>
      </c>
      <c r="AP36" s="69">
        <v>351.55596235593163</v>
      </c>
      <c r="AQ36" s="69">
        <v>797.88373546600337</v>
      </c>
    </row>
    <row r="37" spans="1:43" x14ac:dyDescent="0.25">
      <c r="A37" s="11">
        <v>42277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151.78762515783316</v>
      </c>
      <c r="J37" s="60">
        <v>180.43433603445695</v>
      </c>
      <c r="K37" s="60">
        <v>10.540210148692131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77.806271097395452</v>
      </c>
      <c r="V37" s="62">
        <v>0</v>
      </c>
      <c r="W37" s="62">
        <v>7.0652527769406701</v>
      </c>
      <c r="X37" s="62">
        <v>0</v>
      </c>
      <c r="Y37" s="66">
        <v>54.804994455973365</v>
      </c>
      <c r="Z37" s="66">
        <v>0</v>
      </c>
      <c r="AA37" s="67">
        <v>0</v>
      </c>
      <c r="AB37" s="68">
        <v>4.9776226321856534</v>
      </c>
      <c r="AC37" s="69">
        <v>0</v>
      </c>
      <c r="AD37" s="69">
        <v>2.5645722577969212</v>
      </c>
      <c r="AE37" s="68">
        <v>2.2780669838612568</v>
      </c>
      <c r="AF37" s="68">
        <v>0</v>
      </c>
      <c r="AG37" s="68">
        <v>1</v>
      </c>
      <c r="AH37" s="69">
        <v>196.62947845458984</v>
      </c>
      <c r="AI37" s="69">
        <v>409.93309283256525</v>
      </c>
      <c r="AJ37" s="69">
        <v>1302.0291365941366</v>
      </c>
      <c r="AK37" s="69">
        <v>539.30881598790484</v>
      </c>
      <c r="AL37" s="69">
        <v>1039.2331137339274</v>
      </c>
      <c r="AM37" s="69">
        <v>2267.7121386210119</v>
      </c>
      <c r="AN37" s="69">
        <v>516.68764600753786</v>
      </c>
      <c r="AO37" s="69">
        <v>783.63825138409925</v>
      </c>
      <c r="AP37" s="69">
        <v>192.80166329542789</v>
      </c>
      <c r="AQ37" s="69">
        <v>828.03718932469678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23978.054618795715</v>
      </c>
      <c r="J39" s="30">
        <f t="shared" si="0"/>
        <v>40787.890769298887</v>
      </c>
      <c r="K39" s="30">
        <f t="shared" si="0"/>
        <v>2398.7231489151714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16200.391271811588</v>
      </c>
      <c r="V39" s="264">
        <f t="shared" si="0"/>
        <v>0</v>
      </c>
      <c r="W39" s="264">
        <f t="shared" si="0"/>
        <v>1545.7582301020625</v>
      </c>
      <c r="X39" s="264">
        <f t="shared" si="0"/>
        <v>0</v>
      </c>
      <c r="Y39" s="264">
        <f t="shared" si="0"/>
        <v>14665.803252463349</v>
      </c>
      <c r="Z39" s="264">
        <f t="shared" si="0"/>
        <v>0</v>
      </c>
      <c r="AA39" s="272">
        <f t="shared" si="0"/>
        <v>0</v>
      </c>
      <c r="AB39" s="275">
        <f t="shared" si="0"/>
        <v>1315.8507535894735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I39" si="1">SUM(AH8:AH38)</f>
        <v>5674.9555869022997</v>
      </c>
      <c r="AI39" s="275">
        <f t="shared" si="1"/>
        <v>13211.784348662693</v>
      </c>
      <c r="AJ39" s="275">
        <f t="shared" ref="AJ39:AQ39" si="2">SUM(AJ8:AJ38)</f>
        <v>40114.932914098106</v>
      </c>
      <c r="AK39" s="275">
        <f t="shared" si="2"/>
        <v>21436.341121927893</v>
      </c>
      <c r="AL39" s="275">
        <f t="shared" si="2"/>
        <v>35132.374983024594</v>
      </c>
      <c r="AM39" s="275">
        <f t="shared" si="2"/>
        <v>109387.14771080019</v>
      </c>
      <c r="AN39" s="275">
        <f t="shared" si="2"/>
        <v>17205.816912889477</v>
      </c>
      <c r="AO39" s="275">
        <f t="shared" si="2"/>
        <v>83951.521511983869</v>
      </c>
      <c r="AP39" s="275">
        <f t="shared" si="2"/>
        <v>14281.413420017559</v>
      </c>
      <c r="AQ39" s="275">
        <f t="shared" si="2"/>
        <v>25961.698881880438</v>
      </c>
    </row>
    <row r="40" spans="1:43" ht="15.75" thickBot="1" x14ac:dyDescent="0.3">
      <c r="A40" s="47" t="s">
        <v>174</v>
      </c>
      <c r="B40" s="32">
        <f>Projection!$AC$30</f>
        <v>0.80583665399999982</v>
      </c>
      <c r="C40" s="33">
        <f>Projection!$AC$28</f>
        <v>1.2134866799999999</v>
      </c>
      <c r="D40" s="33">
        <f>Projection!$AC$31</f>
        <v>2.3118479999999999</v>
      </c>
      <c r="E40" s="33">
        <f>Projection!$AC$26</f>
        <v>4.3368000000000002</v>
      </c>
      <c r="F40" s="33">
        <f>Projection!$AC$23</f>
        <v>0</v>
      </c>
      <c r="G40" s="33">
        <f>Projection!$AC$24</f>
        <v>5.7325000000000001E-2</v>
      </c>
      <c r="H40" s="34">
        <f>Projection!$AC$29</f>
        <v>3.6159737999999999</v>
      </c>
      <c r="I40" s="32">
        <f>Projection!$AC$30</f>
        <v>0.80583665399999982</v>
      </c>
      <c r="J40" s="33">
        <f>Projection!$AC$28</f>
        <v>1.2134866799999999</v>
      </c>
      <c r="K40" s="33">
        <f>Projection!$AC$26</f>
        <v>4.3368000000000002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6">
        <v>15.77</v>
      </c>
      <c r="P40" s="267">
        <v>15.77</v>
      </c>
      <c r="Q40" s="267">
        <v>15.77</v>
      </c>
      <c r="R40" s="267">
        <v>15.77</v>
      </c>
      <c r="S40" s="267">
        <f>Projection!$AC$28</f>
        <v>1.2134866799999999</v>
      </c>
      <c r="T40" s="268">
        <f>Projection!$AC$28</f>
        <v>1.2134866799999999</v>
      </c>
      <c r="U40" s="266">
        <f>Projection!$AC$27</f>
        <v>0.23649999999999999</v>
      </c>
      <c r="V40" s="267">
        <f>Projection!$AC$27</f>
        <v>0.23649999999999999</v>
      </c>
      <c r="W40" s="267">
        <f>Projection!$AC$22</f>
        <v>1.1599999999999999</v>
      </c>
      <c r="X40" s="267">
        <f>Projection!$AC$22</f>
        <v>1.1599999999999999</v>
      </c>
      <c r="Y40" s="267">
        <f>Projection!$AC$31</f>
        <v>2.3118479999999999</v>
      </c>
      <c r="Z40" s="267">
        <f>Projection!$AC$31</f>
        <v>2.3118479999999999</v>
      </c>
      <c r="AA40" s="273">
        <v>0</v>
      </c>
      <c r="AB40" s="276">
        <f>Projection!$AC$27</f>
        <v>0.23649999999999999</v>
      </c>
      <c r="AC40" s="276">
        <f>Projection!$AC$30</f>
        <v>0.80583665399999982</v>
      </c>
      <c r="AD40" s="279">
        <f>SUM(AD8:AD38)</f>
        <v>635.51552640762588</v>
      </c>
      <c r="AE40" s="279">
        <f>SUM(AE8:AE38)</f>
        <v>626.17730353570835</v>
      </c>
      <c r="AF40" s="279">
        <f>SUM(AF8:AF38)</f>
        <v>0</v>
      </c>
      <c r="AG40" s="279">
        <f>IF(SUM(AE40:AF40)&gt;0, AE40/(AE40+AF40), "")</f>
        <v>1</v>
      </c>
      <c r="AH40" s="315">
        <v>6.9000000000000006E-2</v>
      </c>
      <c r="AI40" s="315">
        <f t="shared" ref="AI40:AQ40" si="3">$AH$40</f>
        <v>6.9000000000000006E-2</v>
      </c>
      <c r="AJ40" s="315">
        <f t="shared" si="3"/>
        <v>6.9000000000000006E-2</v>
      </c>
      <c r="AK40" s="315">
        <f t="shared" si="3"/>
        <v>6.9000000000000006E-2</v>
      </c>
      <c r="AL40" s="315">
        <f t="shared" si="3"/>
        <v>6.9000000000000006E-2</v>
      </c>
      <c r="AM40" s="315">
        <f t="shared" si="3"/>
        <v>6.9000000000000006E-2</v>
      </c>
      <c r="AN40" s="315">
        <f t="shared" si="3"/>
        <v>6.9000000000000006E-2</v>
      </c>
      <c r="AO40" s="315">
        <f t="shared" si="3"/>
        <v>6.9000000000000006E-2</v>
      </c>
      <c r="AP40" s="315">
        <f t="shared" si="3"/>
        <v>6.9000000000000006E-2</v>
      </c>
      <c r="AQ40" s="315">
        <f t="shared" si="3"/>
        <v>6.9000000000000006E-2</v>
      </c>
    </row>
    <row r="41" spans="1:43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0</v>
      </c>
      <c r="D41" s="36">
        <f t="shared" si="4"/>
        <v>0</v>
      </c>
      <c r="E41" s="36">
        <f t="shared" si="4"/>
        <v>0</v>
      </c>
      <c r="F41" s="36">
        <f t="shared" si="4"/>
        <v>0</v>
      </c>
      <c r="G41" s="36">
        <f t="shared" si="4"/>
        <v>0</v>
      </c>
      <c r="H41" s="37">
        <f t="shared" si="4"/>
        <v>0</v>
      </c>
      <c r="I41" s="35">
        <f t="shared" si="4"/>
        <v>19322.395303439582</v>
      </c>
      <c r="J41" s="36">
        <f t="shared" si="4"/>
        <v>49495.56215383915</v>
      </c>
      <c r="K41" s="36">
        <f t="shared" si="4"/>
        <v>10402.782552215316</v>
      </c>
      <c r="L41" s="36">
        <f t="shared" si="4"/>
        <v>0</v>
      </c>
      <c r="M41" s="36">
        <f t="shared" si="4"/>
        <v>0</v>
      </c>
      <c r="N41" s="37">
        <f t="shared" si="4"/>
        <v>0</v>
      </c>
      <c r="O41" s="269">
        <f t="shared" si="4"/>
        <v>0</v>
      </c>
      <c r="P41" s="270">
        <f t="shared" si="4"/>
        <v>0</v>
      </c>
      <c r="Q41" s="270">
        <f t="shared" si="4"/>
        <v>0</v>
      </c>
      <c r="R41" s="270">
        <f t="shared" si="4"/>
        <v>0</v>
      </c>
      <c r="S41" s="270">
        <f t="shared" si="4"/>
        <v>0</v>
      </c>
      <c r="T41" s="271">
        <f t="shared" si="4"/>
        <v>0</v>
      </c>
      <c r="U41" s="269">
        <f t="shared" si="4"/>
        <v>3831.3925357834405</v>
      </c>
      <c r="V41" s="270">
        <f t="shared" si="4"/>
        <v>0</v>
      </c>
      <c r="W41" s="270">
        <f t="shared" si="4"/>
        <v>1793.0795469183925</v>
      </c>
      <c r="X41" s="270">
        <f t="shared" si="4"/>
        <v>0</v>
      </c>
      <c r="Y41" s="270">
        <f t="shared" si="4"/>
        <v>33905.107917600886</v>
      </c>
      <c r="Z41" s="270">
        <f t="shared" si="4"/>
        <v>0</v>
      </c>
      <c r="AA41" s="274">
        <f t="shared" si="4"/>
        <v>0</v>
      </c>
      <c r="AB41" s="277">
        <f t="shared" si="4"/>
        <v>311.19870322391046</v>
      </c>
      <c r="AC41" s="277">
        <f t="shared" si="4"/>
        <v>0</v>
      </c>
      <c r="AH41" s="280">
        <f t="shared" ref="AH41:AI41" si="5">AH40*AH39</f>
        <v>391.57193549625873</v>
      </c>
      <c r="AI41" s="280">
        <f t="shared" si="5"/>
        <v>911.61312005772595</v>
      </c>
      <c r="AJ41" s="280">
        <f t="shared" ref="AJ41:AQ41" si="6">AJ40*AJ39</f>
        <v>2767.9303710727695</v>
      </c>
      <c r="AK41" s="280">
        <f t="shared" si="6"/>
        <v>1479.1075374130248</v>
      </c>
      <c r="AL41" s="280">
        <f t="shared" si="6"/>
        <v>2424.1338738286972</v>
      </c>
      <c r="AM41" s="280">
        <f t="shared" si="6"/>
        <v>7547.7131920452139</v>
      </c>
      <c r="AN41" s="280">
        <f t="shared" si="6"/>
        <v>1187.201366989374</v>
      </c>
      <c r="AO41" s="280">
        <f t="shared" si="6"/>
        <v>5792.6549843268876</v>
      </c>
      <c r="AP41" s="280">
        <f t="shared" si="6"/>
        <v>985.41752598121172</v>
      </c>
      <c r="AQ41" s="280">
        <f t="shared" si="6"/>
        <v>1791.3572228497503</v>
      </c>
    </row>
    <row r="42" spans="1:43" ht="49.5" customHeight="1" thickTop="1" thickBot="1" x14ac:dyDescent="0.3">
      <c r="A42" s="561" t="s">
        <v>231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72.099999999999994</v>
      </c>
      <c r="AI42" s="280" t="s">
        <v>199</v>
      </c>
      <c r="AJ42" s="280">
        <v>170.3</v>
      </c>
      <c r="AK42" s="280">
        <v>52.03</v>
      </c>
      <c r="AL42" s="280">
        <v>36.049999999999997</v>
      </c>
      <c r="AM42" s="280">
        <v>812.52</v>
      </c>
      <c r="AN42" s="280">
        <v>139.86000000000001</v>
      </c>
      <c r="AO42" s="280" t="s">
        <v>199</v>
      </c>
      <c r="AP42" s="280">
        <v>36.049999999999997</v>
      </c>
      <c r="AQ42" s="280">
        <v>151.83000000000001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61.5" customHeight="1" thickTop="1" thickBot="1" x14ac:dyDescent="0.3">
      <c r="A44" s="284" t="s">
        <v>135</v>
      </c>
      <c r="B44" s="285">
        <f>SUM(B41:AC41)</f>
        <v>119061.51871302068</v>
      </c>
      <c r="C44" s="12"/>
      <c r="D44" s="284" t="s">
        <v>135</v>
      </c>
      <c r="E44" s="285">
        <f>SUM(B41:H41)+P41+R41+T41+V41+X41+Z41</f>
        <v>0</v>
      </c>
      <c r="F44" s="12"/>
      <c r="G44" s="284" t="s">
        <v>135</v>
      </c>
      <c r="H44" s="285">
        <f>SUM(I41:N41)+O41+Q41+S41+U41+W41+Y41</f>
        <v>118750.32000979676</v>
      </c>
      <c r="I44" s="12"/>
      <c r="J44" s="284" t="s">
        <v>200</v>
      </c>
      <c r="K44" s="285">
        <v>113488.75</v>
      </c>
      <c r="L44" s="12"/>
      <c r="M44" s="12"/>
      <c r="N44" s="12"/>
      <c r="O44" s="12"/>
      <c r="P44" s="12"/>
      <c r="Q44" s="12"/>
      <c r="R44" s="303" t="s">
        <v>135</v>
      </c>
      <c r="S44" s="304"/>
      <c r="T44" s="299" t="s">
        <v>169</v>
      </c>
      <c r="U44" s="257" t="s">
        <v>170</v>
      </c>
    </row>
    <row r="45" spans="1:43" ht="60" customHeight="1" thickBot="1" x14ac:dyDescent="0.4">
      <c r="A45" s="286" t="s">
        <v>185</v>
      </c>
      <c r="B45" s="287">
        <f>SUM(AH41:AQ41)</f>
        <v>25278.701130060912</v>
      </c>
      <c r="C45" s="12"/>
      <c r="D45" s="286" t="s">
        <v>185</v>
      </c>
      <c r="E45" s="287">
        <f>AH41*(1-$AG$40)+AI41+AJ41*0.5+AL41+AM41*(1-$AG$40)+AN41*(1-$AG$40)+AO41*(1-$AG$40)+AP41*0.5+AQ41*0.5</f>
        <v>6108.0995538382886</v>
      </c>
      <c r="F45" s="24"/>
      <c r="G45" s="286" t="s">
        <v>185</v>
      </c>
      <c r="H45" s="287">
        <f>AH41*AG40+AJ41*0.5+AK41+AM41*AG40+AN41*AG40+AO41*AG40+AP41*0.5+AQ41*0.5</f>
        <v>19170.601576222623</v>
      </c>
      <c r="I45" s="12"/>
      <c r="J45" s="12"/>
      <c r="K45" s="290"/>
      <c r="L45" s="12"/>
      <c r="M45" s="12"/>
      <c r="N45" s="12"/>
      <c r="O45" s="12"/>
      <c r="P45" s="12"/>
      <c r="Q45" s="12"/>
      <c r="R45" s="301" t="s">
        <v>141</v>
      </c>
      <c r="S45" s="302"/>
      <c r="T45" s="256">
        <f>$W$39+$X$39</f>
        <v>1545.7582301020625</v>
      </c>
      <c r="U45" s="258">
        <f>(T45*8.34*0.895)/27000</f>
        <v>0.42733345025743796</v>
      </c>
    </row>
    <row r="46" spans="1:43" ht="32.25" thickBot="1" x14ac:dyDescent="0.3">
      <c r="A46" s="288" t="s">
        <v>186</v>
      </c>
      <c r="B46" s="289">
        <f>SUM(AH42:AQ42)</f>
        <v>1470.74</v>
      </c>
      <c r="C46" s="12"/>
      <c r="D46" s="288" t="s">
        <v>186</v>
      </c>
      <c r="E46" s="289">
        <f>AH42*(1-$AG$40)+AJ42*0.5+AL42+AM42*(1-$AG$40)+AN42*(1-$AG$40)+AP42*0.5+AQ42*0.5</f>
        <v>215.14</v>
      </c>
      <c r="F46" s="23"/>
      <c r="G46" s="288" t="s">
        <v>186</v>
      </c>
      <c r="H46" s="289">
        <f>AH42*AG40+AJ42*0.5+AK42+AM42*AG40+AN42*AG40+AP42*0.5+AQ42*0.5</f>
        <v>1255.5999999999999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01" t="s">
        <v>145</v>
      </c>
      <c r="S46" s="302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113488.75</v>
      </c>
      <c r="C47" s="12"/>
      <c r="D47" s="288" t="s">
        <v>189</v>
      </c>
      <c r="E47" s="289">
        <f>K44*0.5</f>
        <v>56744.375</v>
      </c>
      <c r="F47" s="24"/>
      <c r="G47" s="288" t="s">
        <v>187</v>
      </c>
      <c r="H47" s="289">
        <f>K44*0.5</f>
        <v>56744.375</v>
      </c>
      <c r="I47" s="12"/>
      <c r="J47" s="284" t="s">
        <v>200</v>
      </c>
      <c r="K47" s="285">
        <v>41684.550000000003</v>
      </c>
      <c r="L47" s="12"/>
      <c r="M47" s="12"/>
      <c r="N47" s="12"/>
      <c r="O47" s="12"/>
      <c r="P47" s="12"/>
      <c r="Q47" s="12"/>
      <c r="R47" s="301" t="s">
        <v>148</v>
      </c>
      <c r="S47" s="302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41684.550000000003</v>
      </c>
      <c r="C48" s="12"/>
      <c r="D48" s="288" t="s">
        <v>188</v>
      </c>
      <c r="E48" s="289">
        <f>K47*0.5</f>
        <v>20842.275000000001</v>
      </c>
      <c r="F48" s="23"/>
      <c r="G48" s="288" t="s">
        <v>188</v>
      </c>
      <c r="H48" s="289">
        <f>K47*0.5</f>
        <v>20842.275000000001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01" t="s">
        <v>150</v>
      </c>
      <c r="S48" s="302"/>
      <c r="T48" s="256">
        <f>$L$39</f>
        <v>0</v>
      </c>
      <c r="U48" s="258">
        <f>T48*9.34*0.107</f>
        <v>0</v>
      </c>
    </row>
    <row r="49" spans="1:21" ht="46.5" customHeight="1" thickTop="1" thickBot="1" x14ac:dyDescent="0.3">
      <c r="A49" s="293" t="s">
        <v>196</v>
      </c>
      <c r="B49" s="294">
        <f>AD40</f>
        <v>635.51552640762588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626.17730353570835</v>
      </c>
      <c r="I49" s="12"/>
      <c r="J49" s="12"/>
      <c r="K49" s="86"/>
      <c r="L49" s="12"/>
      <c r="M49" s="12"/>
      <c r="N49" s="12"/>
      <c r="O49" s="12"/>
      <c r="P49" s="12"/>
      <c r="Q49" s="12"/>
      <c r="R49" s="301" t="s">
        <v>152</v>
      </c>
      <c r="S49" s="302"/>
      <c r="T49" s="256">
        <f>$E$39+$K$39</f>
        <v>2398.7231489151714</v>
      </c>
      <c r="U49" s="258">
        <f>(T49*8.34*1.04)/45000</f>
        <v>0.46234589120956959</v>
      </c>
    </row>
    <row r="50" spans="1:21" ht="48" customHeight="1" thickTop="1" thickBot="1" x14ac:dyDescent="0.3">
      <c r="A50" s="293" t="s">
        <v>192</v>
      </c>
      <c r="B50" s="295">
        <f>(SUM(B44:B48)/AD40)</f>
        <v>473.60646174052295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>
        <f>SUM(H44:H48)/AE40</f>
        <v>346.1690009555868</v>
      </c>
      <c r="I50" s="12"/>
      <c r="J50" s="12"/>
      <c r="K50" s="86"/>
      <c r="L50" s="12"/>
      <c r="M50" s="12"/>
      <c r="N50" s="12"/>
      <c r="O50" s="12"/>
      <c r="P50" s="12"/>
      <c r="Q50" s="12"/>
      <c r="R50" s="301" t="s">
        <v>153</v>
      </c>
      <c r="S50" s="302"/>
      <c r="T50" s="256">
        <f>$U$39+$V$39+$AB$39</f>
        <v>17516.242025401061</v>
      </c>
      <c r="U50" s="258">
        <f>T50/2000/8</f>
        <v>1.0947651265875664</v>
      </c>
    </row>
    <row r="51" spans="1:21" ht="48" customHeight="1" thickTop="1" thickBot="1" x14ac:dyDescent="0.3">
      <c r="A51" s="283" t="s">
        <v>193</v>
      </c>
      <c r="B51" s="296">
        <f>B50/1000</f>
        <v>0.47360646174052295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>
        <f>H50/1000</f>
        <v>0.34616900095558678</v>
      </c>
      <c r="I51" s="12"/>
      <c r="J51" s="12"/>
      <c r="K51" s="86"/>
      <c r="L51" s="12"/>
      <c r="M51" s="12"/>
      <c r="N51" s="12"/>
      <c r="O51" s="12"/>
      <c r="P51" s="12"/>
      <c r="Q51" s="12"/>
      <c r="R51" s="301" t="s">
        <v>154</v>
      </c>
      <c r="S51" s="302"/>
      <c r="T51" s="256">
        <f>$C$39+$J$39+$S$39+$T$39</f>
        <v>40787.890769298887</v>
      </c>
      <c r="U51" s="258">
        <f>(T51*8.34*1.4)/45000</f>
        <v>10.583098058274084</v>
      </c>
    </row>
    <row r="52" spans="1:21" ht="48" customHeight="1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365">
        <f>H44/H49</f>
        <v>189.64328368223093</v>
      </c>
      <c r="J52" s="12"/>
      <c r="K52" s="86"/>
      <c r="L52" s="12"/>
      <c r="M52" s="12"/>
      <c r="N52" s="12"/>
      <c r="O52" s="12"/>
      <c r="P52" s="12"/>
      <c r="Q52" s="12"/>
      <c r="R52" s="301" t="s">
        <v>155</v>
      </c>
      <c r="S52" s="302"/>
      <c r="T52" s="256">
        <f>$H$39</f>
        <v>0</v>
      </c>
      <c r="U52" s="258">
        <f>(T52*8.34*1.135)/45000</f>
        <v>0</v>
      </c>
    </row>
    <row r="53" spans="1:21" ht="47.25" customHeight="1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1" t="s">
        <v>156</v>
      </c>
      <c r="S53" s="302"/>
      <c r="T53" s="256">
        <f>$B$39+$I$39+$AC$39</f>
        <v>23978.054618795715</v>
      </c>
      <c r="U53" s="258">
        <f>(T53*8.34*1.029*0.03)/3300</f>
        <v>1.870693707371438</v>
      </c>
    </row>
    <row r="54" spans="1:21" ht="78.75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14665.803252463349</v>
      </c>
      <c r="U54" s="261">
        <f>(T54*1.54*8.34)/45000</f>
        <v>4.1858157922964061</v>
      </c>
    </row>
    <row r="55" spans="1:21" ht="71.25" customHeight="1" thickTop="1" x14ac:dyDescent="0.25">
      <c r="A55" s="306"/>
      <c r="B55" s="306"/>
      <c r="C55" s="306"/>
      <c r="D55" s="306"/>
      <c r="E55" s="306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21" ht="94.5" customHeight="1" x14ac:dyDescent="0.25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46.5" customHeight="1" x14ac:dyDescent="0.25">
      <c r="A57" s="592"/>
      <c r="B57" s="593"/>
      <c r="C57" s="593"/>
      <c r="D57" s="593"/>
      <c r="E57" s="593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18.75" x14ac:dyDescent="0.25">
      <c r="A58" s="592"/>
      <c r="B58" s="593"/>
      <c r="C58" s="593"/>
      <c r="D58" s="593"/>
      <c r="E58" s="593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5" customHeight="1" x14ac:dyDescent="0.25">
      <c r="A59" s="281"/>
      <c r="B59" s="28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x14ac:dyDescent="0.25">
      <c r="A60" s="282"/>
      <c r="B60" s="28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ht="15" customHeight="1" x14ac:dyDescent="0.25">
      <c r="A61" s="281"/>
      <c r="B61" s="28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 x14ac:dyDescent="0.25">
      <c r="A62" s="282"/>
      <c r="B62" s="282"/>
      <c r="C62" s="12"/>
      <c r="D62" s="12"/>
      <c r="E62" s="12"/>
      <c r="F62" s="12"/>
      <c r="G62" s="12"/>
      <c r="H62" s="12"/>
      <c r="I62" s="12"/>
      <c r="J62" s="12"/>
      <c r="K62" s="12"/>
    </row>
    <row r="63" spans="1:21" x14ac:dyDescent="0.25">
      <c r="A63" s="12"/>
      <c r="B63" s="12"/>
      <c r="C63" s="12"/>
      <c r="D63" s="12"/>
      <c r="E63" s="12"/>
      <c r="F63" s="12"/>
      <c r="G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5" spans="1:25" x14ac:dyDescent="0.25">
      <c r="A65" s="12"/>
      <c r="B65" s="12"/>
      <c r="C65" s="12"/>
      <c r="D65" s="12"/>
      <c r="E65" s="12"/>
      <c r="F65" s="12"/>
      <c r="G65" s="12"/>
    </row>
    <row r="67" spans="1:25" x14ac:dyDescent="0.25">
      <c r="A67" s="45"/>
      <c r="B67" s="45"/>
      <c r="C67" s="45"/>
      <c r="D67" s="45"/>
      <c r="E67" s="45"/>
      <c r="F67" s="45"/>
      <c r="G67" s="45"/>
      <c r="H67" s="45"/>
    </row>
    <row r="68" spans="1:25" x14ac:dyDescent="0.25">
      <c r="A68" s="12"/>
      <c r="B68" s="12"/>
      <c r="S68" s="12"/>
      <c r="T68" s="12"/>
      <c r="U68" s="12"/>
      <c r="V68" s="12"/>
      <c r="W68" s="12"/>
      <c r="X68" s="12"/>
      <c r="Y68" s="12"/>
    </row>
    <row r="69" spans="1:25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ht="93" customHeight="1" x14ac:dyDescent="0.25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75" customHeight="1" x14ac:dyDescent="0.25">
      <c r="A71" s="12"/>
      <c r="B71" s="12"/>
    </row>
    <row r="72" spans="1:25" ht="51.75" customHeight="1" x14ac:dyDescent="0.25">
      <c r="A72" s="12"/>
      <c r="B72" s="12"/>
    </row>
    <row r="73" spans="1:25" x14ac:dyDescent="0.25">
      <c r="A73" s="12"/>
      <c r="B73" s="12"/>
      <c r="C73" s="12"/>
      <c r="D73" s="12"/>
    </row>
    <row r="74" spans="1:25" x14ac:dyDescent="0.25">
      <c r="A74" s="12"/>
      <c r="B74" s="12"/>
      <c r="C74" s="12"/>
      <c r="D74" s="12"/>
      <c r="E74" s="12"/>
    </row>
    <row r="75" spans="1:25" x14ac:dyDescent="0.25">
      <c r="A75" s="12"/>
      <c r="B75" s="12"/>
      <c r="C75" s="12"/>
      <c r="D75" s="12"/>
      <c r="E75" s="12"/>
    </row>
  </sheetData>
  <sheetProtection algorithmName="SHA-512" hashValue="/0x89mYn+jDHRmscp4544ZFHCnVQFGiaSSt6uQidLhp7e0UqcCRmlf1VMO7SiMc7/qKOcR4/t/uuDfZ4tPadEw==" saltValue="v2zF7qrR1cSMhHaLGdCsOg==" spinCount="100000" sheet="1" objects="1" scenarios="1" selectLockedCells="1" selectUnlockedCells="1"/>
  <mergeCells count="32">
    <mergeCell ref="R54:S54"/>
    <mergeCell ref="A54:E54"/>
    <mergeCell ref="A57:E57"/>
    <mergeCell ref="A58:E58"/>
    <mergeCell ref="J46:K46"/>
    <mergeCell ref="A53:E53"/>
    <mergeCell ref="B4:H5"/>
    <mergeCell ref="I4:N5"/>
    <mergeCell ref="J43:K43"/>
    <mergeCell ref="A42:K42"/>
    <mergeCell ref="AD4:AD5"/>
    <mergeCell ref="R43:U43"/>
    <mergeCell ref="A43:B43"/>
    <mergeCell ref="D43:E43"/>
    <mergeCell ref="G43:H43"/>
    <mergeCell ref="AE4:AE5"/>
    <mergeCell ref="AF4:AF5"/>
    <mergeCell ref="AG4:AG5"/>
    <mergeCell ref="O4:T5"/>
    <mergeCell ref="U4:AA5"/>
    <mergeCell ref="AB4:AB5"/>
    <mergeCell ref="AC4:AC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</mergeCells>
  <printOptions horizontalCentered="1"/>
  <pageMargins left="0.33" right="0.19" top="0.75" bottom="0.75" header="0.3" footer="0.3"/>
  <pageSetup paperSize="17" scale="68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6"/>
  <sheetViews>
    <sheetView topLeftCell="AF7" zoomScale="75" zoomScaleNormal="75" workbookViewId="0">
      <selection activeCell="AF11" sqref="AF11:AF12"/>
    </sheetView>
  </sheetViews>
  <sheetFormatPr defaultRowHeight="15" x14ac:dyDescent="0.25"/>
  <cols>
    <col min="1" max="1" width="26.2851562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171</v>
      </c>
      <c r="BA3" s="262" t="s">
        <v>208</v>
      </c>
    </row>
    <row r="4" spans="1:53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</row>
    <row r="5" spans="1:53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3" x14ac:dyDescent="0.25">
      <c r="A8" s="11">
        <v>42278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197.01600964864096</v>
      </c>
      <c r="AI8" s="57">
        <v>417.65193991661067</v>
      </c>
      <c r="AJ8" s="57">
        <v>1353.5163416544599</v>
      </c>
      <c r="AK8" s="57">
        <v>374.81556394894909</v>
      </c>
      <c r="AL8" s="57">
        <v>1049.7943482081093</v>
      </c>
      <c r="AM8" s="57">
        <v>1938.946831766764</v>
      </c>
      <c r="AN8" s="57">
        <v>535.62263971964512</v>
      </c>
      <c r="AO8" s="57">
        <v>194.86689601739246</v>
      </c>
      <c r="AP8" s="57">
        <v>126.06637903054553</v>
      </c>
      <c r="AQ8" s="57">
        <v>915.93642403284707</v>
      </c>
    </row>
    <row r="9" spans="1:53" x14ac:dyDescent="0.25">
      <c r="A9" s="11">
        <v>42279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0</v>
      </c>
      <c r="AH9" s="69">
        <v>175.76620945135753</v>
      </c>
      <c r="AI9" s="69">
        <v>408.05088658332824</v>
      </c>
      <c r="AJ9" s="69">
        <v>1338.1014470418293</v>
      </c>
      <c r="AK9" s="69">
        <v>258.23044251600902</v>
      </c>
      <c r="AL9" s="69">
        <v>1043.9024902343749</v>
      </c>
      <c r="AM9" s="69">
        <v>1882.9379432678222</v>
      </c>
      <c r="AN9" s="69">
        <v>509.92728821436566</v>
      </c>
      <c r="AO9" s="69">
        <v>198.05077317555745</v>
      </c>
      <c r="AP9" s="69">
        <v>124.96796423594155</v>
      </c>
      <c r="AQ9" s="69">
        <v>829.94913256963093</v>
      </c>
    </row>
    <row r="10" spans="1:53" x14ac:dyDescent="0.25">
      <c r="A10" s="11">
        <v>42280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0</v>
      </c>
      <c r="AH10" s="69">
        <v>166.831285572052</v>
      </c>
      <c r="AI10" s="69">
        <v>393.4906424204508</v>
      </c>
      <c r="AJ10" s="69">
        <v>1201.8047907511395</v>
      </c>
      <c r="AK10" s="69">
        <v>222.43560963471731</v>
      </c>
      <c r="AL10" s="69">
        <v>1068.5009024937947</v>
      </c>
      <c r="AM10" s="69">
        <v>1947.7143201192221</v>
      </c>
      <c r="AN10" s="69">
        <v>456.3709620952605</v>
      </c>
      <c r="AO10" s="69">
        <v>223.34116871356963</v>
      </c>
      <c r="AP10" s="69">
        <v>113.00333189169567</v>
      </c>
      <c r="AQ10" s="69">
        <v>649.47976166407273</v>
      </c>
    </row>
    <row r="11" spans="1:53" x14ac:dyDescent="0.25">
      <c r="A11" s="11">
        <v>42281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69">
        <v>0</v>
      </c>
      <c r="AE11" s="68">
        <v>0</v>
      </c>
      <c r="AF11" s="68">
        <v>0</v>
      </c>
      <c r="AG11" s="68">
        <v>0</v>
      </c>
      <c r="AH11" s="69">
        <v>164.66182148456573</v>
      </c>
      <c r="AI11" s="69">
        <v>397.77933108011882</v>
      </c>
      <c r="AJ11" s="69">
        <v>1180.6904493331908</v>
      </c>
      <c r="AK11" s="69">
        <v>215.08076441287994</v>
      </c>
      <c r="AL11" s="69">
        <v>1072.5788790384927</v>
      </c>
      <c r="AM11" s="69">
        <v>1958.4741008758547</v>
      </c>
      <c r="AN11" s="69">
        <v>440.37912405331934</v>
      </c>
      <c r="AO11" s="69">
        <v>201.77022467454276</v>
      </c>
      <c r="AP11" s="69">
        <v>102.13631057739258</v>
      </c>
      <c r="AQ11" s="69">
        <v>638.54767592747987</v>
      </c>
    </row>
    <row r="12" spans="1:53" x14ac:dyDescent="0.25">
      <c r="A12" s="11">
        <v>42282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170.56191318829855</v>
      </c>
      <c r="AI12" s="69">
        <v>403.82604071299232</v>
      </c>
      <c r="AJ12" s="69">
        <v>1209.2668382008867</v>
      </c>
      <c r="AK12" s="69">
        <v>221.13025264739994</v>
      </c>
      <c r="AL12" s="69">
        <v>1033.8609867095947</v>
      </c>
      <c r="AM12" s="69">
        <v>1989.5152903238932</v>
      </c>
      <c r="AN12" s="69">
        <v>462.31436599095662</v>
      </c>
      <c r="AO12" s="69">
        <v>191.41725254058838</v>
      </c>
      <c r="AP12" s="69">
        <v>103.56292395591736</v>
      </c>
      <c r="AQ12" s="69">
        <v>736.7900095303853</v>
      </c>
    </row>
    <row r="13" spans="1:53" x14ac:dyDescent="0.25">
      <c r="A13" s="11">
        <v>42283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171.29711568355563</v>
      </c>
      <c r="AI13" s="69">
        <v>411.68277420997629</v>
      </c>
      <c r="AJ13" s="69">
        <v>1152.7929603576658</v>
      </c>
      <c r="AK13" s="69">
        <v>207.10010121663413</v>
      </c>
      <c r="AL13" s="69">
        <v>1033.7987738291422</v>
      </c>
      <c r="AM13" s="69">
        <v>2077.7025067647301</v>
      </c>
      <c r="AN13" s="69">
        <v>434.29429736137388</v>
      </c>
      <c r="AO13" s="69">
        <v>183.50603531201679</v>
      </c>
      <c r="AP13" s="69">
        <v>215.00106879870094</v>
      </c>
      <c r="AQ13" s="69">
        <v>641.60986003875735</v>
      </c>
    </row>
    <row r="14" spans="1:53" x14ac:dyDescent="0.25">
      <c r="A14" s="11">
        <v>42284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69">
        <v>0</v>
      </c>
      <c r="AE14" s="68">
        <v>0</v>
      </c>
      <c r="AF14" s="68">
        <v>0</v>
      </c>
      <c r="AG14" s="68">
        <v>0</v>
      </c>
      <c r="AH14" s="69">
        <v>176.76851299603777</v>
      </c>
      <c r="AI14" s="69">
        <v>417.25486092567451</v>
      </c>
      <c r="AJ14" s="69">
        <v>1172.5318178812665</v>
      </c>
      <c r="AK14" s="69">
        <v>211.97736904621124</v>
      </c>
      <c r="AL14" s="69">
        <v>1014.8494079589842</v>
      </c>
      <c r="AM14" s="69">
        <v>2018.1415083567299</v>
      </c>
      <c r="AN14" s="69">
        <v>459.81900167465216</v>
      </c>
      <c r="AO14" s="69">
        <v>178.85614120960236</v>
      </c>
      <c r="AP14" s="69">
        <v>284.46964071591697</v>
      </c>
      <c r="AQ14" s="69">
        <v>776.46537930170678</v>
      </c>
    </row>
    <row r="15" spans="1:53" x14ac:dyDescent="0.25">
      <c r="A15" s="11">
        <v>42285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69">
        <v>0</v>
      </c>
      <c r="AE15" s="68">
        <v>0</v>
      </c>
      <c r="AF15" s="68">
        <v>0</v>
      </c>
      <c r="AG15" s="68">
        <v>0</v>
      </c>
      <c r="AH15" s="69">
        <v>163.79027794996898</v>
      </c>
      <c r="AI15" s="69">
        <v>418.99088280995687</v>
      </c>
      <c r="AJ15" s="69">
        <v>1180.9532944361367</v>
      </c>
      <c r="AK15" s="69">
        <v>218.02867149511977</v>
      </c>
      <c r="AL15" s="69">
        <v>1057.9546628316243</v>
      </c>
      <c r="AM15" s="69">
        <v>1914.8456783930465</v>
      </c>
      <c r="AN15" s="69">
        <v>484.63333795865373</v>
      </c>
      <c r="AO15" s="69">
        <v>175.06269334157309</v>
      </c>
      <c r="AP15" s="69">
        <v>275.55450526873267</v>
      </c>
      <c r="AQ15" s="69">
        <v>791.90741065343218</v>
      </c>
    </row>
    <row r="16" spans="1:53" x14ac:dyDescent="0.25">
      <c r="A16" s="11">
        <v>42286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69">
        <v>0</v>
      </c>
      <c r="AE16" s="68">
        <v>0</v>
      </c>
      <c r="AF16" s="68">
        <v>0</v>
      </c>
      <c r="AG16" s="68">
        <v>0</v>
      </c>
      <c r="AH16" s="69">
        <v>161.3291130065918</v>
      </c>
      <c r="AI16" s="69">
        <v>419.12364449501035</v>
      </c>
      <c r="AJ16" s="69">
        <v>1176.5326762517293</v>
      </c>
      <c r="AK16" s="69">
        <v>215.46022697289783</v>
      </c>
      <c r="AL16" s="69">
        <v>1035.4165262222289</v>
      </c>
      <c r="AM16" s="69">
        <v>1698.5729787826538</v>
      </c>
      <c r="AN16" s="69">
        <v>472.10796217918391</v>
      </c>
      <c r="AO16" s="69">
        <v>212.1436783870061</v>
      </c>
      <c r="AP16" s="69">
        <v>320.22533206939693</v>
      </c>
      <c r="AQ16" s="69">
        <v>754.66106405258176</v>
      </c>
    </row>
    <row r="17" spans="1:43" x14ac:dyDescent="0.25">
      <c r="A17" s="11">
        <v>42287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6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69">
        <v>0</v>
      </c>
      <c r="AE17" s="68">
        <v>0</v>
      </c>
      <c r="AF17" s="68">
        <v>0</v>
      </c>
      <c r="AG17" s="68">
        <v>0</v>
      </c>
      <c r="AH17" s="69">
        <v>161.3291130065918</v>
      </c>
      <c r="AI17" s="69">
        <v>421.55956610043847</v>
      </c>
      <c r="AJ17" s="69">
        <v>1210.7283798853555</v>
      </c>
      <c r="AK17" s="69">
        <v>210.64797597726186</v>
      </c>
      <c r="AL17" s="69">
        <v>1039.6149662017824</v>
      </c>
      <c r="AM17" s="69">
        <v>1510.2874643961588</v>
      </c>
      <c r="AN17" s="69">
        <v>508.92148825327553</v>
      </c>
      <c r="AO17" s="69">
        <v>202.31691069602965</v>
      </c>
      <c r="AP17" s="69">
        <v>324.52048912048338</v>
      </c>
      <c r="AQ17" s="69">
        <v>781.17171055475876</v>
      </c>
    </row>
    <row r="18" spans="1:43" x14ac:dyDescent="0.25">
      <c r="A18" s="11">
        <v>42288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69">
        <v>0</v>
      </c>
      <c r="AE18" s="68">
        <v>0</v>
      </c>
      <c r="AF18" s="68">
        <v>0</v>
      </c>
      <c r="AG18" s="68">
        <v>0</v>
      </c>
      <c r="AH18" s="69">
        <v>161.86378602186838</v>
      </c>
      <c r="AI18" s="69">
        <v>432.4741866429647</v>
      </c>
      <c r="AJ18" s="69">
        <v>1331.5361141204835</v>
      </c>
      <c r="AK18" s="69">
        <v>210.89149646759034</v>
      </c>
      <c r="AL18" s="69">
        <v>1033.4385824839273</v>
      </c>
      <c r="AM18" s="69">
        <v>1440.7017703374227</v>
      </c>
      <c r="AN18" s="69">
        <v>537.66988056500759</v>
      </c>
      <c r="AO18" s="69">
        <v>207.22070209185281</v>
      </c>
      <c r="AP18" s="69">
        <v>329.86683588027961</v>
      </c>
      <c r="AQ18" s="69">
        <v>844.89412867228179</v>
      </c>
    </row>
    <row r="19" spans="1:43" x14ac:dyDescent="0.25">
      <c r="A19" s="11">
        <v>42289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69">
        <v>0</v>
      </c>
      <c r="AE19" s="68">
        <v>0</v>
      </c>
      <c r="AF19" s="68">
        <v>0</v>
      </c>
      <c r="AG19" s="68">
        <v>0</v>
      </c>
      <c r="AH19" s="69">
        <v>164.52455534140267</v>
      </c>
      <c r="AI19" s="69">
        <v>420.91825237274173</v>
      </c>
      <c r="AJ19" s="69">
        <v>1296.8290522893267</v>
      </c>
      <c r="AK19" s="69">
        <v>198.57869838078821</v>
      </c>
      <c r="AL19" s="69">
        <v>1106.0183245340984</v>
      </c>
      <c r="AM19" s="69">
        <v>1740.0888881683347</v>
      </c>
      <c r="AN19" s="69">
        <v>492.08565166791283</v>
      </c>
      <c r="AO19" s="69">
        <v>275.26853125095369</v>
      </c>
      <c r="AP19" s="69">
        <v>376.11564199129737</v>
      </c>
      <c r="AQ19" s="69">
        <v>791.7787535667419</v>
      </c>
    </row>
    <row r="20" spans="1:43" x14ac:dyDescent="0.25">
      <c r="A20" s="11">
        <v>42290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69">
        <v>0</v>
      </c>
      <c r="AE20" s="68">
        <v>0</v>
      </c>
      <c r="AF20" s="68">
        <v>0</v>
      </c>
      <c r="AG20" s="68">
        <v>0</v>
      </c>
      <c r="AH20" s="69">
        <v>165.31728765964507</v>
      </c>
      <c r="AI20" s="69">
        <v>425.83377811113985</v>
      </c>
      <c r="AJ20" s="69">
        <v>1261.7129716237384</v>
      </c>
      <c r="AK20" s="69">
        <v>218.44830749829609</v>
      </c>
      <c r="AL20" s="69">
        <v>1172.201025644938</v>
      </c>
      <c r="AM20" s="69">
        <v>1707.8075427373246</v>
      </c>
      <c r="AN20" s="69">
        <v>499.38636635144559</v>
      </c>
      <c r="AO20" s="69">
        <v>236.25118121306102</v>
      </c>
      <c r="AP20" s="69">
        <v>386.11552851994838</v>
      </c>
      <c r="AQ20" s="69">
        <v>827.81907498041801</v>
      </c>
    </row>
    <row r="21" spans="1:43" x14ac:dyDescent="0.25">
      <c r="A21" s="11">
        <v>42291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69">
        <v>0</v>
      </c>
      <c r="AE21" s="68">
        <v>0</v>
      </c>
      <c r="AF21" s="68">
        <v>0</v>
      </c>
      <c r="AG21" s="68">
        <v>0</v>
      </c>
      <c r="AH21" s="69">
        <v>175.91876095136004</v>
      </c>
      <c r="AI21" s="69">
        <v>426.16235084533696</v>
      </c>
      <c r="AJ21" s="69">
        <v>1298.4698560714726</v>
      </c>
      <c r="AK21" s="69">
        <v>355.7353548447291</v>
      </c>
      <c r="AL21" s="69">
        <v>1222.5999726613361</v>
      </c>
      <c r="AM21" s="69">
        <v>1837.8313123703001</v>
      </c>
      <c r="AN21" s="69">
        <v>527.79822627703345</v>
      </c>
      <c r="AO21" s="69">
        <v>301.27933081785835</v>
      </c>
      <c r="AP21" s="69">
        <v>387.50469687779747</v>
      </c>
      <c r="AQ21" s="69">
        <v>861.86446774800606</v>
      </c>
    </row>
    <row r="22" spans="1:43" x14ac:dyDescent="0.25">
      <c r="A22" s="11">
        <v>42292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69">
        <v>0</v>
      </c>
      <c r="AE22" s="68">
        <v>0</v>
      </c>
      <c r="AF22" s="68">
        <v>0</v>
      </c>
      <c r="AG22" s="68">
        <v>0</v>
      </c>
      <c r="AH22" s="69">
        <v>167.48491293589274</v>
      </c>
      <c r="AI22" s="69">
        <v>400.1666944980621</v>
      </c>
      <c r="AJ22" s="69">
        <v>1328.5444700876876</v>
      </c>
      <c r="AK22" s="69">
        <v>328.3315464019775</v>
      </c>
      <c r="AL22" s="69">
        <v>1376.0088493347168</v>
      </c>
      <c r="AM22" s="69">
        <v>1918.8382059733076</v>
      </c>
      <c r="AN22" s="69">
        <v>489.01049191157017</v>
      </c>
      <c r="AO22" s="69">
        <v>234.21350192228954</v>
      </c>
      <c r="AP22" s="69">
        <v>376.0667370001475</v>
      </c>
      <c r="AQ22" s="69">
        <v>710.7140557289124</v>
      </c>
    </row>
    <row r="23" spans="1:43" x14ac:dyDescent="0.25">
      <c r="A23" s="11">
        <v>42293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69">
        <v>0</v>
      </c>
      <c r="AE23" s="68">
        <v>0</v>
      </c>
      <c r="AF23" s="68">
        <v>0</v>
      </c>
      <c r="AG23" s="68">
        <v>0</v>
      </c>
      <c r="AH23" s="69">
        <v>158.4399533669154</v>
      </c>
      <c r="AI23" s="69">
        <v>366.08952968915298</v>
      </c>
      <c r="AJ23" s="69">
        <v>1208.3901831308999</v>
      </c>
      <c r="AK23" s="69">
        <v>198.94994365374248</v>
      </c>
      <c r="AL23" s="69">
        <v>1303.0029035568236</v>
      </c>
      <c r="AM23" s="69">
        <v>1954.2557585398354</v>
      </c>
      <c r="AN23" s="69">
        <v>455.83018371264143</v>
      </c>
      <c r="AO23" s="69">
        <v>193.04058609008788</v>
      </c>
      <c r="AP23" s="69">
        <v>372.10829695065814</v>
      </c>
      <c r="AQ23" s="69">
        <v>722.14934453964247</v>
      </c>
    </row>
    <row r="24" spans="1:43" x14ac:dyDescent="0.25">
      <c r="A24" s="11">
        <v>42294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69">
        <v>0</v>
      </c>
      <c r="AE24" s="68">
        <v>0</v>
      </c>
      <c r="AF24" s="68">
        <v>0</v>
      </c>
      <c r="AG24" s="68">
        <v>0</v>
      </c>
      <c r="AH24" s="69">
        <v>154.36791229248047</v>
      </c>
      <c r="AI24" s="69">
        <v>343.26705417633053</v>
      </c>
      <c r="AJ24" s="69">
        <v>1188.6495362599687</v>
      </c>
      <c r="AK24" s="69">
        <v>305.74895302454632</v>
      </c>
      <c r="AL24" s="69">
        <v>1332.8644506454466</v>
      </c>
      <c r="AM24" s="69">
        <v>1899.0037929534913</v>
      </c>
      <c r="AN24" s="69">
        <v>476.64029796918231</v>
      </c>
      <c r="AO24" s="69">
        <v>205.8862612247467</v>
      </c>
      <c r="AP24" s="69">
        <v>373.61944983800248</v>
      </c>
      <c r="AQ24" s="69">
        <v>708.78960466384876</v>
      </c>
    </row>
    <row r="25" spans="1:43" x14ac:dyDescent="0.25">
      <c r="A25" s="11">
        <v>42295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69">
        <v>0</v>
      </c>
      <c r="AE25" s="68">
        <v>0</v>
      </c>
      <c r="AF25" s="68">
        <v>0</v>
      </c>
      <c r="AG25" s="68">
        <v>0</v>
      </c>
      <c r="AH25" s="69">
        <v>154.36791229248047</v>
      </c>
      <c r="AI25" s="69">
        <v>350.4878175258637</v>
      </c>
      <c r="AJ25" s="69">
        <v>1214.0510860443117</v>
      </c>
      <c r="AK25" s="69">
        <v>329.58482573827109</v>
      </c>
      <c r="AL25" s="69">
        <v>1321.973308881124</v>
      </c>
      <c r="AM25" s="69">
        <v>1909.0735572814938</v>
      </c>
      <c r="AN25" s="69">
        <v>495.87941980361933</v>
      </c>
      <c r="AO25" s="69">
        <v>240.0200347185135</v>
      </c>
      <c r="AP25" s="69">
        <v>385.53986207644141</v>
      </c>
      <c r="AQ25" s="69">
        <v>687.76494210561145</v>
      </c>
    </row>
    <row r="26" spans="1:43" x14ac:dyDescent="0.25">
      <c r="A26" s="11">
        <v>42296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6">
        <v>0</v>
      </c>
      <c r="Z26" s="66">
        <v>0</v>
      </c>
      <c r="AA26" s="67">
        <v>0</v>
      </c>
      <c r="AB26" s="68">
        <v>0</v>
      </c>
      <c r="AC26" s="69">
        <v>0</v>
      </c>
      <c r="AD26" s="69">
        <v>0</v>
      </c>
      <c r="AE26" s="68">
        <v>0</v>
      </c>
      <c r="AF26" s="68">
        <v>0</v>
      </c>
      <c r="AG26" s="68">
        <v>0</v>
      </c>
      <c r="AH26" s="69">
        <v>154.36791229248047</v>
      </c>
      <c r="AI26" s="69">
        <v>362.99725820223478</v>
      </c>
      <c r="AJ26" s="69">
        <v>1200.4020409901937</v>
      </c>
      <c r="AK26" s="69">
        <v>337.61151142915094</v>
      </c>
      <c r="AL26" s="69">
        <v>1415.1371763865154</v>
      </c>
      <c r="AM26" s="69">
        <v>1908.5318673451741</v>
      </c>
      <c r="AN26" s="69">
        <v>495.74524753888437</v>
      </c>
      <c r="AO26" s="69">
        <v>221.88641651471457</v>
      </c>
      <c r="AP26" s="69">
        <v>387.12607789039618</v>
      </c>
      <c r="AQ26" s="69">
        <v>763.98335886001587</v>
      </c>
    </row>
    <row r="27" spans="1:43" x14ac:dyDescent="0.25">
      <c r="A27" s="11">
        <v>42297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72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154.36791229248047</v>
      </c>
      <c r="AI27" s="69">
        <v>392.243791325887</v>
      </c>
      <c r="AJ27" s="69">
        <v>1195.6790988286334</v>
      </c>
      <c r="AK27" s="69">
        <v>293.71388651529946</v>
      </c>
      <c r="AL27" s="69">
        <v>1508.3028132756551</v>
      </c>
      <c r="AM27" s="69">
        <v>1939.1082965850831</v>
      </c>
      <c r="AN27" s="69">
        <v>473.29037326176956</v>
      </c>
      <c r="AO27" s="69">
        <v>274.13639487425485</v>
      </c>
      <c r="AP27" s="69">
        <v>247.60172678232192</v>
      </c>
      <c r="AQ27" s="69">
        <v>717.03223638534553</v>
      </c>
    </row>
    <row r="28" spans="1:43" x14ac:dyDescent="0.25">
      <c r="A28" s="11">
        <v>42298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69">
        <v>0</v>
      </c>
      <c r="AE28" s="68">
        <v>0</v>
      </c>
      <c r="AF28" s="68">
        <v>0</v>
      </c>
      <c r="AG28" s="68">
        <v>0</v>
      </c>
      <c r="AH28" s="69">
        <v>172.23811228275298</v>
      </c>
      <c r="AI28" s="69">
        <v>394.82156909306849</v>
      </c>
      <c r="AJ28" s="69">
        <v>1137.5086420694988</v>
      </c>
      <c r="AK28" s="69">
        <v>226.25812776088711</v>
      </c>
      <c r="AL28" s="69">
        <v>1268.7788515726722</v>
      </c>
      <c r="AM28" s="69">
        <v>2043.6836011250816</v>
      </c>
      <c r="AN28" s="69">
        <v>436.9605347156525</v>
      </c>
      <c r="AO28" s="69">
        <v>352.13008276621503</v>
      </c>
      <c r="AP28" s="69">
        <v>70.825927734375</v>
      </c>
      <c r="AQ28" s="69">
        <v>608.09631210962937</v>
      </c>
    </row>
    <row r="29" spans="1:43" x14ac:dyDescent="0.25">
      <c r="A29" s="11">
        <v>42299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69">
        <v>0</v>
      </c>
      <c r="AE29" s="68">
        <v>0</v>
      </c>
      <c r="AF29" s="68">
        <v>0</v>
      </c>
      <c r="AG29" s="68">
        <v>0</v>
      </c>
      <c r="AH29" s="69">
        <v>207.57496952215828</v>
      </c>
      <c r="AI29" s="69">
        <v>402.29607988993325</v>
      </c>
      <c r="AJ29" s="69">
        <v>1126.8269133885706</v>
      </c>
      <c r="AK29" s="69">
        <v>249.82974380652109</v>
      </c>
      <c r="AL29" s="69">
        <v>1256.95571975708</v>
      </c>
      <c r="AM29" s="69">
        <v>1996.1050164540607</v>
      </c>
      <c r="AN29" s="69">
        <v>480.08362476030987</v>
      </c>
      <c r="AO29" s="69">
        <v>189.8759880065918</v>
      </c>
      <c r="AP29" s="69">
        <v>115.18300419648487</v>
      </c>
      <c r="AQ29" s="69">
        <v>635.10736096700032</v>
      </c>
    </row>
    <row r="30" spans="1:43" x14ac:dyDescent="0.25">
      <c r="A30" s="11">
        <v>42300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69">
        <v>0</v>
      </c>
      <c r="AE30" s="68">
        <v>0</v>
      </c>
      <c r="AF30" s="68">
        <v>0</v>
      </c>
      <c r="AG30" s="68">
        <v>0</v>
      </c>
      <c r="AH30" s="69">
        <v>206.26483978430426</v>
      </c>
      <c r="AI30" s="69">
        <v>392.68350615501407</v>
      </c>
      <c r="AJ30" s="69">
        <v>1192.8388448079425</v>
      </c>
      <c r="AK30" s="69">
        <v>235.08855763276421</v>
      </c>
      <c r="AL30" s="69">
        <v>1270.630132420858</v>
      </c>
      <c r="AM30" s="69">
        <v>1996.8463082631429</v>
      </c>
      <c r="AN30" s="69">
        <v>501.1908756097157</v>
      </c>
      <c r="AO30" s="69">
        <v>299.8427433729172</v>
      </c>
      <c r="AP30" s="69">
        <v>132.37091515461606</v>
      </c>
      <c r="AQ30" s="69">
        <v>594.20424003601067</v>
      </c>
    </row>
    <row r="31" spans="1:43" x14ac:dyDescent="0.25">
      <c r="A31" s="11">
        <v>42301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69">
        <v>0</v>
      </c>
      <c r="AE31" s="68">
        <v>0</v>
      </c>
      <c r="AF31" s="68">
        <v>0</v>
      </c>
      <c r="AG31" s="68">
        <v>0</v>
      </c>
      <c r="AH31" s="69">
        <v>181.36054882208506</v>
      </c>
      <c r="AI31" s="69">
        <v>363.16335182189943</v>
      </c>
      <c r="AJ31" s="69">
        <v>1169.5597920735677</v>
      </c>
      <c r="AK31" s="69">
        <v>226.40255541801451</v>
      </c>
      <c r="AL31" s="69">
        <v>1196.6345421473188</v>
      </c>
      <c r="AM31" s="69">
        <v>1785.4245384216306</v>
      </c>
      <c r="AN31" s="69">
        <v>481.54389692942294</v>
      </c>
      <c r="AO31" s="69">
        <v>190.585693359375</v>
      </c>
      <c r="AP31" s="69">
        <v>87.373556280136114</v>
      </c>
      <c r="AQ31" s="69">
        <v>609.40690129597965</v>
      </c>
    </row>
    <row r="32" spans="1:43" x14ac:dyDescent="0.25">
      <c r="A32" s="11">
        <v>42302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69">
        <v>0</v>
      </c>
      <c r="AE32" s="68">
        <v>0</v>
      </c>
      <c r="AF32" s="68">
        <v>0</v>
      </c>
      <c r="AG32" s="68">
        <v>0</v>
      </c>
      <c r="AH32" s="69">
        <v>169.01696023146312</v>
      </c>
      <c r="AI32" s="69">
        <v>345.76434884071352</v>
      </c>
      <c r="AJ32" s="69">
        <v>1171.3933781941732</v>
      </c>
      <c r="AK32" s="69">
        <v>216.90239199002585</v>
      </c>
      <c r="AL32" s="69">
        <v>1175.3234832763669</v>
      </c>
      <c r="AM32" s="69">
        <v>1758.6172496159875</v>
      </c>
      <c r="AN32" s="69">
        <v>454.15921942392987</v>
      </c>
      <c r="AO32" s="69">
        <v>190.585693359375</v>
      </c>
      <c r="AP32" s="69">
        <v>86.323328018188477</v>
      </c>
      <c r="AQ32" s="69">
        <v>700.50791800816853</v>
      </c>
    </row>
    <row r="33" spans="1:43" x14ac:dyDescent="0.25">
      <c r="A33" s="11">
        <v>42303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69">
        <v>0</v>
      </c>
      <c r="AE33" s="68">
        <v>0</v>
      </c>
      <c r="AF33" s="68">
        <v>0</v>
      </c>
      <c r="AG33" s="68">
        <v>0</v>
      </c>
      <c r="AH33" s="69">
        <v>187.2790196180344</v>
      </c>
      <c r="AI33" s="69">
        <v>372.26404870351149</v>
      </c>
      <c r="AJ33" s="69">
        <v>1190.1203468322753</v>
      </c>
      <c r="AK33" s="69">
        <v>207.21805748939514</v>
      </c>
      <c r="AL33" s="69">
        <v>1183.3316399256387</v>
      </c>
      <c r="AM33" s="69">
        <v>1800.8684399286908</v>
      </c>
      <c r="AN33" s="69">
        <v>459.16683546702058</v>
      </c>
      <c r="AO33" s="69">
        <v>208.3729689439138</v>
      </c>
      <c r="AP33" s="69">
        <v>95.41400980154674</v>
      </c>
      <c r="AQ33" s="69">
        <v>650.97137660980206</v>
      </c>
    </row>
    <row r="34" spans="1:43" s="372" customFormat="1" ht="15" customHeight="1" x14ac:dyDescent="0.25">
      <c r="A34" s="377">
        <v>42304</v>
      </c>
      <c r="B34" s="366"/>
      <c r="C34" s="367">
        <v>0</v>
      </c>
      <c r="D34" s="367">
        <v>0</v>
      </c>
      <c r="E34" s="367">
        <v>0</v>
      </c>
      <c r="F34" s="367">
        <v>0</v>
      </c>
      <c r="G34" s="367">
        <v>0</v>
      </c>
      <c r="H34" s="368">
        <v>0</v>
      </c>
      <c r="I34" s="366">
        <v>0</v>
      </c>
      <c r="J34" s="367">
        <v>0</v>
      </c>
      <c r="K34" s="367">
        <v>0</v>
      </c>
      <c r="L34" s="369">
        <v>0</v>
      </c>
      <c r="M34" s="367">
        <v>0</v>
      </c>
      <c r="N34" s="368">
        <v>0</v>
      </c>
      <c r="O34" s="366">
        <v>0</v>
      </c>
      <c r="P34" s="367">
        <v>0</v>
      </c>
      <c r="Q34" s="367">
        <v>0</v>
      </c>
      <c r="R34" s="367">
        <v>0</v>
      </c>
      <c r="S34" s="367">
        <v>0</v>
      </c>
      <c r="T34" s="368">
        <v>0</v>
      </c>
      <c r="U34" s="366">
        <v>0</v>
      </c>
      <c r="V34" s="367">
        <v>0</v>
      </c>
      <c r="W34" s="367">
        <v>0</v>
      </c>
      <c r="X34" s="367">
        <v>0</v>
      </c>
      <c r="Y34" s="367">
        <v>0</v>
      </c>
      <c r="Z34" s="367">
        <v>0</v>
      </c>
      <c r="AA34" s="368">
        <v>0</v>
      </c>
      <c r="AB34" s="370">
        <v>0</v>
      </c>
      <c r="AC34" s="371">
        <v>0</v>
      </c>
      <c r="AD34" s="371">
        <v>0</v>
      </c>
      <c r="AE34" s="371">
        <v>0</v>
      </c>
      <c r="AF34" s="371">
        <v>0</v>
      </c>
      <c r="AG34" s="371">
        <v>0</v>
      </c>
      <c r="AH34" s="371">
        <v>199.73038473924001</v>
      </c>
      <c r="AI34" s="371">
        <v>384.70604557991027</v>
      </c>
      <c r="AJ34" s="371">
        <v>1147.3641977945963</v>
      </c>
      <c r="AK34" s="371">
        <v>218.65486170450848</v>
      </c>
      <c r="AL34" s="371">
        <v>1246.3729281743367</v>
      </c>
      <c r="AM34" s="371">
        <v>1818.4218968709308</v>
      </c>
      <c r="AN34" s="371">
        <v>466.43580031394958</v>
      </c>
      <c r="AO34" s="371">
        <v>204.62221967379253</v>
      </c>
      <c r="AP34" s="371">
        <v>110.586181640625</v>
      </c>
      <c r="AQ34" s="371">
        <v>636.94552389780688</v>
      </c>
    </row>
    <row r="35" spans="1:43" x14ac:dyDescent="0.25">
      <c r="A35" s="11">
        <v>42305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69">
        <v>0</v>
      </c>
      <c r="AE35" s="68">
        <v>0</v>
      </c>
      <c r="AF35" s="68">
        <v>0</v>
      </c>
      <c r="AG35" s="68">
        <v>0</v>
      </c>
      <c r="AH35" s="69">
        <v>199.6087799151739</v>
      </c>
      <c r="AI35" s="69">
        <v>386.16642146110536</v>
      </c>
      <c r="AJ35" s="69">
        <v>1177.6904904683431</v>
      </c>
      <c r="AK35" s="69">
        <v>221.52460250059761</v>
      </c>
      <c r="AL35" s="69">
        <v>1286.4031217575075</v>
      </c>
      <c r="AM35" s="69">
        <v>1547.9726222991944</v>
      </c>
      <c r="AN35" s="69">
        <v>487.56901804606122</v>
      </c>
      <c r="AO35" s="69">
        <v>214.75309654871623</v>
      </c>
      <c r="AP35" s="69">
        <v>110.586181640625</v>
      </c>
      <c r="AQ35" s="69">
        <v>690.32488594055178</v>
      </c>
    </row>
    <row r="36" spans="1:43" x14ac:dyDescent="0.25">
      <c r="A36" s="11">
        <v>42306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0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0</v>
      </c>
      <c r="AC36" s="69">
        <v>0</v>
      </c>
      <c r="AD36" s="69">
        <v>0</v>
      </c>
      <c r="AE36" s="68">
        <v>0</v>
      </c>
      <c r="AF36" s="68">
        <v>0</v>
      </c>
      <c r="AG36" s="68">
        <v>0</v>
      </c>
      <c r="AH36" s="69">
        <v>186.79805192152659</v>
      </c>
      <c r="AI36" s="69">
        <v>372.39940999348954</v>
      </c>
      <c r="AJ36" s="69">
        <v>1151.0238630294803</v>
      </c>
      <c r="AK36" s="69">
        <v>223.100385928154</v>
      </c>
      <c r="AL36" s="69">
        <v>1231.4343955993652</v>
      </c>
      <c r="AM36" s="69">
        <v>1533.9596630096435</v>
      </c>
      <c r="AN36" s="69">
        <v>453.53785274823503</v>
      </c>
      <c r="AO36" s="69">
        <v>217.01417477925619</v>
      </c>
      <c r="AP36" s="69">
        <v>110.586181640625</v>
      </c>
      <c r="AQ36" s="69">
        <v>701.51562690734863</v>
      </c>
    </row>
    <row r="37" spans="1:43" x14ac:dyDescent="0.25">
      <c r="A37" s="11">
        <v>42307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0</v>
      </c>
      <c r="J37" s="60">
        <v>0</v>
      </c>
      <c r="K37" s="60">
        <v>0</v>
      </c>
      <c r="L37" s="5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0</v>
      </c>
      <c r="V37" s="62">
        <v>0</v>
      </c>
      <c r="W37" s="62">
        <v>0</v>
      </c>
      <c r="X37" s="62">
        <v>0</v>
      </c>
      <c r="Y37" s="66">
        <v>0</v>
      </c>
      <c r="Z37" s="66">
        <v>0</v>
      </c>
      <c r="AA37" s="67">
        <v>0</v>
      </c>
      <c r="AB37" s="68">
        <v>0</v>
      </c>
      <c r="AC37" s="69">
        <v>0</v>
      </c>
      <c r="AD37" s="69">
        <v>0</v>
      </c>
      <c r="AE37" s="68">
        <v>0</v>
      </c>
      <c r="AF37" s="68">
        <v>0</v>
      </c>
      <c r="AG37" s="68">
        <v>0</v>
      </c>
      <c r="AH37" s="69">
        <v>199.93887157440187</v>
      </c>
      <c r="AI37" s="69">
        <v>391.24371978441872</v>
      </c>
      <c r="AJ37" s="69">
        <v>1111.5347302754719</v>
      </c>
      <c r="AK37" s="69">
        <v>239.95178574721018</v>
      </c>
      <c r="AL37" s="69">
        <v>1306.8027550379438</v>
      </c>
      <c r="AM37" s="69">
        <v>1567.0749101003009</v>
      </c>
      <c r="AN37" s="69">
        <v>467.20451685587568</v>
      </c>
      <c r="AO37" s="69">
        <v>209.54540268580118</v>
      </c>
      <c r="AP37" s="69">
        <v>110.586181640625</v>
      </c>
      <c r="AQ37" s="69">
        <v>606.28669300079343</v>
      </c>
    </row>
    <row r="38" spans="1:43" ht="15.75" thickBot="1" x14ac:dyDescent="0.3">
      <c r="A38" s="11">
        <v>42308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0</v>
      </c>
      <c r="J38" s="74">
        <v>0</v>
      </c>
      <c r="K38" s="74">
        <v>0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0</v>
      </c>
      <c r="V38" s="80">
        <v>0</v>
      </c>
      <c r="W38" s="81">
        <v>0</v>
      </c>
      <c r="X38" s="81">
        <v>0</v>
      </c>
      <c r="Y38" s="80">
        <v>0</v>
      </c>
      <c r="Z38" s="80">
        <v>0</v>
      </c>
      <c r="AA38" s="82">
        <v>0</v>
      </c>
      <c r="AB38" s="83">
        <v>0</v>
      </c>
      <c r="AC38" s="84">
        <v>0</v>
      </c>
      <c r="AD38" s="85">
        <v>0</v>
      </c>
      <c r="AE38" s="83">
        <v>0</v>
      </c>
      <c r="AF38" s="83">
        <v>0</v>
      </c>
      <c r="AG38" s="83">
        <v>0</v>
      </c>
      <c r="AH38" s="84">
        <v>192.39406482378641</v>
      </c>
      <c r="AI38" s="84">
        <v>389.30384734471636</v>
      </c>
      <c r="AJ38" s="84">
        <v>1190.5069377899172</v>
      </c>
      <c r="AK38" s="84">
        <v>230.24767625331879</v>
      </c>
      <c r="AL38" s="84">
        <v>1250.2021296819053</v>
      </c>
      <c r="AM38" s="84">
        <v>1475.1561078389486</v>
      </c>
      <c r="AN38" s="84">
        <v>466.44949213663733</v>
      </c>
      <c r="AO38" s="84">
        <v>201.22075773874917</v>
      </c>
      <c r="AP38" s="84">
        <v>100.17935256958008</v>
      </c>
      <c r="AQ38" s="84">
        <v>640.45286604563421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0</v>
      </c>
      <c r="V39" s="264">
        <f t="shared" si="0"/>
        <v>0</v>
      </c>
      <c r="W39" s="264">
        <f t="shared" si="0"/>
        <v>0</v>
      </c>
      <c r="X39" s="264">
        <f t="shared" si="0"/>
        <v>0</v>
      </c>
      <c r="Y39" s="264">
        <f t="shared" si="0"/>
        <v>0</v>
      </c>
      <c r="Z39" s="264">
        <f t="shared" si="0"/>
        <v>0</v>
      </c>
      <c r="AA39" s="272">
        <f t="shared" si="0"/>
        <v>0</v>
      </c>
      <c r="AB39" s="275">
        <f t="shared" si="0"/>
        <v>0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5422.5768806695924</v>
      </c>
      <c r="AI39" s="275">
        <f t="shared" si="1"/>
        <v>12224.863631312051</v>
      </c>
      <c r="AJ39" s="275">
        <f t="shared" si="1"/>
        <v>37467.551541964211</v>
      </c>
      <c r="AK39" s="275">
        <f t="shared" si="1"/>
        <v>7627.6802480538672</v>
      </c>
      <c r="AL39" s="275">
        <f t="shared" si="1"/>
        <v>36914.689050483707</v>
      </c>
      <c r="AM39" s="275">
        <f t="shared" si="1"/>
        <v>56516.509969266255</v>
      </c>
      <c r="AN39" s="275">
        <f t="shared" si="1"/>
        <v>14862.028273566561</v>
      </c>
      <c r="AO39" s="275">
        <f t="shared" si="1"/>
        <v>6829.0835360209157</v>
      </c>
      <c r="AP39" s="275">
        <f t="shared" si="1"/>
        <v>6741.1876197894417</v>
      </c>
      <c r="AQ39" s="275">
        <f t="shared" si="1"/>
        <v>22227.12810039521</v>
      </c>
    </row>
    <row r="40" spans="1:43" ht="15.75" thickBot="1" x14ac:dyDescent="0.3">
      <c r="A40" s="47" t="s">
        <v>174</v>
      </c>
      <c r="B40" s="32">
        <f>Projection!$AD$30</f>
        <v>0.80583665399999982</v>
      </c>
      <c r="C40" s="33">
        <f>Projection!$AD$28</f>
        <v>1.2134866799999999</v>
      </c>
      <c r="D40" s="33">
        <f>Projection!$AD$31</f>
        <v>2.3118479999999999</v>
      </c>
      <c r="E40" s="33">
        <f>Projection!$AD$26</f>
        <v>4.3368000000000002</v>
      </c>
      <c r="F40" s="33">
        <f>Projection!$AD$23</f>
        <v>0</v>
      </c>
      <c r="G40" s="33">
        <f>Projection!$AD$24</f>
        <v>5.7325000000000001E-2</v>
      </c>
      <c r="H40" s="34">
        <f>Projection!$AD$29</f>
        <v>3.6159737999999999</v>
      </c>
      <c r="I40" s="32">
        <f>Projection!$AD$30</f>
        <v>0.80583665399999982</v>
      </c>
      <c r="J40" s="33">
        <f>Projection!$AD$28</f>
        <v>1.2134866799999999</v>
      </c>
      <c r="K40" s="33">
        <f>Projection!$AD$26</f>
        <v>4.3368000000000002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6">
        <v>15.77</v>
      </c>
      <c r="P40" s="267">
        <v>15.77</v>
      </c>
      <c r="Q40" s="267">
        <v>15.77</v>
      </c>
      <c r="R40" s="267">
        <v>15.77</v>
      </c>
      <c r="S40" s="267">
        <f>Projection!$AD$28</f>
        <v>1.2134866799999999</v>
      </c>
      <c r="T40" s="268">
        <f>Projection!$AD$28</f>
        <v>1.2134866799999999</v>
      </c>
      <c r="U40" s="266">
        <f>Projection!$AD$27</f>
        <v>0.23649999999999999</v>
      </c>
      <c r="V40" s="267">
        <f>Projection!$AD$27</f>
        <v>0.23649999999999999</v>
      </c>
      <c r="W40" s="267">
        <f>Projection!$AD$22</f>
        <v>1.1599999999999999</v>
      </c>
      <c r="X40" s="267">
        <f>Projection!$AD$22</f>
        <v>1.1599999999999999</v>
      </c>
      <c r="Y40" s="267">
        <f>Projection!$AD$31</f>
        <v>2.3118479999999999</v>
      </c>
      <c r="Z40" s="267">
        <f>Projection!$AD$31</f>
        <v>2.3118479999999999</v>
      </c>
      <c r="AA40" s="273">
        <v>0</v>
      </c>
      <c r="AB40" s="276">
        <f>Projection!$AD$27</f>
        <v>0.23649999999999999</v>
      </c>
      <c r="AC40" s="276">
        <f>Projection!$AD$30</f>
        <v>0.80583665399999982</v>
      </c>
      <c r="AD40" s="279">
        <f>SUM(AD8:AD38)</f>
        <v>0</v>
      </c>
      <c r="AE40" s="279">
        <f>SUM(AE8:AE38)</f>
        <v>0</v>
      </c>
      <c r="AF40" s="279">
        <f>SUM(AF8:AF38)</f>
        <v>0</v>
      </c>
      <c r="AG40" s="279">
        <v>0</v>
      </c>
      <c r="AH40" s="315">
        <v>8.5999999999999993E-2</v>
      </c>
      <c r="AI40" s="315">
        <f t="shared" ref="AI40:AQ40" si="2">$AH$40</f>
        <v>8.5999999999999993E-2</v>
      </c>
      <c r="AJ40" s="315">
        <f t="shared" si="2"/>
        <v>8.5999999999999993E-2</v>
      </c>
      <c r="AK40" s="315">
        <f t="shared" si="2"/>
        <v>8.5999999999999993E-2</v>
      </c>
      <c r="AL40" s="315">
        <f t="shared" si="2"/>
        <v>8.5999999999999993E-2</v>
      </c>
      <c r="AM40" s="315">
        <f t="shared" si="2"/>
        <v>8.5999999999999993E-2</v>
      </c>
      <c r="AN40" s="315">
        <f t="shared" si="2"/>
        <v>8.5999999999999993E-2</v>
      </c>
      <c r="AO40" s="315">
        <f t="shared" si="2"/>
        <v>8.5999999999999993E-2</v>
      </c>
      <c r="AP40" s="315">
        <f t="shared" si="2"/>
        <v>8.5999999999999993E-2</v>
      </c>
      <c r="AQ40" s="315">
        <f t="shared" si="2"/>
        <v>8.5999999999999993E-2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0</v>
      </c>
      <c r="V41" s="270">
        <f t="shared" si="3"/>
        <v>0</v>
      </c>
      <c r="W41" s="270">
        <f t="shared" si="3"/>
        <v>0</v>
      </c>
      <c r="X41" s="270">
        <f t="shared" si="3"/>
        <v>0</v>
      </c>
      <c r="Y41" s="270">
        <f t="shared" si="3"/>
        <v>0</v>
      </c>
      <c r="Z41" s="270">
        <f t="shared" si="3"/>
        <v>0</v>
      </c>
      <c r="AA41" s="274">
        <f t="shared" si="3"/>
        <v>0</v>
      </c>
      <c r="AB41" s="277">
        <f t="shared" si="3"/>
        <v>0</v>
      </c>
      <c r="AC41" s="277">
        <f t="shared" si="3"/>
        <v>0</v>
      </c>
      <c r="AH41" s="280">
        <f t="shared" ref="AH41:AQ41" si="4">AH40*AH39</f>
        <v>466.34161173758491</v>
      </c>
      <c r="AI41" s="280">
        <f t="shared" si="4"/>
        <v>1051.3382722928363</v>
      </c>
      <c r="AJ41" s="280">
        <f t="shared" si="4"/>
        <v>3222.2094326089218</v>
      </c>
      <c r="AK41" s="280">
        <f t="shared" si="4"/>
        <v>655.98050133263257</v>
      </c>
      <c r="AL41" s="280">
        <f t="shared" si="4"/>
        <v>3174.6632583415985</v>
      </c>
      <c r="AM41" s="280">
        <f t="shared" si="4"/>
        <v>4860.4198573568974</v>
      </c>
      <c r="AN41" s="280">
        <f t="shared" si="4"/>
        <v>1278.134431526724</v>
      </c>
      <c r="AO41" s="280">
        <f t="shared" si="4"/>
        <v>587.30118409779868</v>
      </c>
      <c r="AP41" s="280">
        <f t="shared" si="4"/>
        <v>579.74213530189195</v>
      </c>
      <c r="AQ41" s="280">
        <f t="shared" si="4"/>
        <v>1911.5330166339879</v>
      </c>
    </row>
    <row r="42" spans="1:43" ht="49.5" customHeight="1" thickTop="1" thickBot="1" x14ac:dyDescent="0.3">
      <c r="A42" s="561" t="s">
        <v>232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77.819999999999993</v>
      </c>
      <c r="AI42" s="280" t="s">
        <v>199</v>
      </c>
      <c r="AJ42" s="280">
        <v>932.04</v>
      </c>
      <c r="AK42" s="280">
        <v>105.82</v>
      </c>
      <c r="AL42" s="280">
        <v>239.42</v>
      </c>
      <c r="AM42" s="280">
        <v>1473.58</v>
      </c>
      <c r="AN42" s="280">
        <v>333.53</v>
      </c>
      <c r="AO42" s="280" t="s">
        <v>199</v>
      </c>
      <c r="AP42" s="280">
        <v>44.15</v>
      </c>
      <c r="AQ42" s="280">
        <v>177.2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0</v>
      </c>
      <c r="C44" s="12"/>
      <c r="D44" s="284" t="s">
        <v>135</v>
      </c>
      <c r="E44" s="285">
        <f>SUM(B41:H41)+P41+R41+T41+V41+X41+Z41</f>
        <v>0</v>
      </c>
      <c r="F44" s="12"/>
      <c r="G44" s="284" t="s">
        <v>135</v>
      </c>
      <c r="H44" s="285">
        <f>SUM(I41:N41)+O41+Q41+S41+U41+W41+Y41</f>
        <v>0</v>
      </c>
      <c r="I44" s="12"/>
      <c r="J44" s="284" t="s">
        <v>200</v>
      </c>
      <c r="K44" s="285"/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17787.663701230871</v>
      </c>
      <c r="C45" s="12"/>
      <c r="D45" s="286" t="s">
        <v>185</v>
      </c>
      <c r="E45" s="287">
        <f>AH41*(1-$AG$40)+AI41+AJ41*0.5+AL41+AM41*(1-$AG$40)+AN41*(1-$AG$40)+AO41*(1-$AG$40)+AP41*0.5+AQ41*0.5</f>
        <v>14274.94090762584</v>
      </c>
      <c r="F45" s="24"/>
      <c r="G45" s="286" t="s">
        <v>185</v>
      </c>
      <c r="H45" s="287">
        <f>AH41*AG40+AJ41*0.5+AK41+AM41*AG40+AN41*AG40+AO41*AG40+AP41*0.5+AQ41*0.5</f>
        <v>3512.7227936050335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0</v>
      </c>
      <c r="U45" s="258">
        <f>(T45*8.34*0.895)/27000</f>
        <v>0</v>
      </c>
    </row>
    <row r="46" spans="1:43" ht="32.25" thickBot="1" x14ac:dyDescent="0.3">
      <c r="A46" s="288" t="s">
        <v>186</v>
      </c>
      <c r="B46" s="289">
        <f>SUM(AH42:AQ42)</f>
        <v>3383.56</v>
      </c>
      <c r="C46" s="12"/>
      <c r="D46" s="288" t="s">
        <v>186</v>
      </c>
      <c r="E46" s="289">
        <f>AH42*(1-$AG$40)+AJ42*0.5+AL42+AM42*(1-$AG$40)+AN42*(1-$AG$40)+AP42*0.5+AQ42*0.5</f>
        <v>2701.0449999999996</v>
      </c>
      <c r="F46" s="23"/>
      <c r="G46" s="288" t="s">
        <v>186</v>
      </c>
      <c r="H46" s="289">
        <f>AH42*AG40+AJ42*0.5+AK42+AM42*AG40+AN42*AG40+AP42*0.5+AQ42*0.5</f>
        <v>682.51499999999999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0</v>
      </c>
      <c r="C47" s="12"/>
      <c r="D47" s="288" t="s">
        <v>189</v>
      </c>
      <c r="E47" s="289">
        <f>K44*0.5</f>
        <v>0</v>
      </c>
      <c r="F47" s="24"/>
      <c r="G47" s="288" t="s">
        <v>187</v>
      </c>
      <c r="H47" s="289">
        <f>K44*0.5</f>
        <v>0</v>
      </c>
      <c r="I47" s="12"/>
      <c r="J47" s="284" t="s">
        <v>200</v>
      </c>
      <c r="K47" s="285"/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0</v>
      </c>
      <c r="C48" s="12"/>
      <c r="D48" s="288" t="s">
        <v>188</v>
      </c>
      <c r="E48" s="289">
        <f>K47*0.5</f>
        <v>0</v>
      </c>
      <c r="F48" s="23"/>
      <c r="G48" s="288" t="s">
        <v>188</v>
      </c>
      <c r="H48" s="289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0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0</v>
      </c>
      <c r="U49" s="258">
        <f>(T49*8.34*1.04)/45000</f>
        <v>0</v>
      </c>
    </row>
    <row r="50" spans="1:25" ht="48" thickTop="1" thickBot="1" x14ac:dyDescent="0.3">
      <c r="A50" s="293" t="s">
        <v>192</v>
      </c>
      <c r="B50" s="295" t="e">
        <f>(SUM(B44:B48)/AD40)</f>
        <v>#DIV/0!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 t="e">
        <f>SUM(H44:H48)/AE40</f>
        <v>#DIV/0!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0</v>
      </c>
      <c r="U50" s="258">
        <f>T50/2000/8</f>
        <v>0</v>
      </c>
    </row>
    <row r="51" spans="1:25" ht="48" thickTop="1" thickBot="1" x14ac:dyDescent="0.3">
      <c r="A51" s="283" t="s">
        <v>193</v>
      </c>
      <c r="B51" s="296" t="e">
        <f>B50/1000</f>
        <v>#DIV/0!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 t="e">
        <f>H50/1000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0</v>
      </c>
      <c r="U51" s="258">
        <f>(T51*8.34*1.4)/45000</f>
        <v>0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0</v>
      </c>
      <c r="U52" s="258">
        <f>(T52*8.34*1.135)/45000</f>
        <v>0</v>
      </c>
    </row>
    <row r="53" spans="1:25" ht="33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0</v>
      </c>
      <c r="U53" s="258">
        <f>(T53*8.34*1.029*0.03)/3300</f>
        <v>0</v>
      </c>
    </row>
    <row r="54" spans="1:25" ht="59.25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0</v>
      </c>
      <c r="U54" s="261">
        <f>(T54*1.54*8.34)/45000</f>
        <v>0</v>
      </c>
      <c r="V54" s="328"/>
      <c r="W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25"/>
      <c r="T55" s="594"/>
      <c r="U55" s="594"/>
      <c r="V55" s="326"/>
      <c r="W55" s="327"/>
      <c r="X55" s="325"/>
      <c r="Y55" s="325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5"/>
      <c r="T56" s="595"/>
      <c r="U56" s="595"/>
      <c r="V56" s="326"/>
      <c r="W56" s="327"/>
      <c r="X56" s="325"/>
      <c r="Y56" s="325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5"/>
      <c r="T57" s="595"/>
      <c r="U57" s="595"/>
      <c r="V57" s="326"/>
      <c r="W57" s="327"/>
      <c r="X57" s="325"/>
      <c r="Y57" s="325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5"/>
      <c r="T58" s="595"/>
      <c r="U58" s="595"/>
      <c r="V58" s="326"/>
      <c r="W58" s="327"/>
      <c r="X58" s="325"/>
      <c r="Y58" s="325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5"/>
      <c r="T59" s="595"/>
      <c r="U59" s="595"/>
      <c r="V59" s="326"/>
      <c r="W59" s="327"/>
      <c r="X59" s="325"/>
      <c r="Y59" s="325"/>
    </row>
    <row r="60" spans="1:25" x14ac:dyDescent="0.25">
      <c r="S60" s="325"/>
      <c r="T60" s="595"/>
      <c r="U60" s="595"/>
      <c r="V60" s="326"/>
      <c r="W60" s="327"/>
      <c r="X60" s="325"/>
      <c r="Y60" s="325"/>
    </row>
    <row r="61" spans="1:25" x14ac:dyDescent="0.25">
      <c r="S61" s="325"/>
      <c r="T61" s="595"/>
      <c r="U61" s="595"/>
      <c r="V61" s="326"/>
      <c r="W61" s="327"/>
      <c r="X61" s="325"/>
      <c r="Y61" s="325"/>
    </row>
    <row r="62" spans="1:25" x14ac:dyDescent="0.25">
      <c r="S62" s="325"/>
      <c r="T62" s="595"/>
      <c r="U62" s="595"/>
      <c r="V62" s="326"/>
      <c r="W62" s="327"/>
      <c r="X62" s="325"/>
      <c r="Y62" s="325"/>
    </row>
    <row r="63" spans="1:25" x14ac:dyDescent="0.25">
      <c r="S63" s="325"/>
      <c r="T63" s="325"/>
      <c r="U63" s="325"/>
      <c r="V63" s="325"/>
      <c r="W63" s="325"/>
      <c r="X63" s="325"/>
      <c r="Y63" s="325"/>
    </row>
    <row r="64" spans="1:25" x14ac:dyDescent="0.25">
      <c r="S64" s="325"/>
      <c r="T64" s="325"/>
      <c r="U64" s="325"/>
      <c r="V64" s="325"/>
      <c r="W64" s="325"/>
      <c r="X64" s="325"/>
      <c r="Y64" s="325"/>
    </row>
    <row r="65" spans="19:25" x14ac:dyDescent="0.25">
      <c r="S65" s="325"/>
      <c r="T65" s="325"/>
      <c r="U65" s="325"/>
      <c r="V65" s="325"/>
      <c r="W65" s="325"/>
      <c r="X65" s="325"/>
      <c r="Y65" s="325"/>
    </row>
    <row r="66" spans="19:25" x14ac:dyDescent="0.25">
      <c r="S66" s="325"/>
      <c r="T66" s="325"/>
      <c r="U66" s="325"/>
      <c r="V66" s="325"/>
      <c r="W66" s="325"/>
      <c r="X66" s="325"/>
      <c r="Y66" s="325"/>
    </row>
  </sheetData>
  <sheetProtection algorithmName="SHA-512" hashValue="iMt+CLZSse8tXDtD+A8BoBu4HRsc6NfX817LqCLprjhM6SNf5jJj+BaslFKp589apO8RltZRG8hJBGpuWsrXLw==" saltValue="pNDaElaDO9qOsVpVIvWcBg==" spinCount="100000" sheet="1" objects="1" scenarios="1" selectLockedCells="1" selectUnlockedCells="1"/>
  <mergeCells count="38">
    <mergeCell ref="AG4:AG5"/>
    <mergeCell ref="AB4:AB5"/>
    <mergeCell ref="AC4:AC5"/>
    <mergeCell ref="AD4:AD5"/>
    <mergeCell ref="AE4:AE5"/>
    <mergeCell ref="AF4:AF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  <mergeCell ref="T61:U61"/>
    <mergeCell ref="T62:U62"/>
    <mergeCell ref="T56:U56"/>
    <mergeCell ref="T57:U57"/>
    <mergeCell ref="T58:U58"/>
    <mergeCell ref="T59:U59"/>
    <mergeCell ref="T60:U60"/>
    <mergeCell ref="T55:U55"/>
    <mergeCell ref="O4:T5"/>
    <mergeCell ref="U4:AA5"/>
    <mergeCell ref="B4:H5"/>
    <mergeCell ref="I4:N5"/>
    <mergeCell ref="G43:H43"/>
    <mergeCell ref="D43:E43"/>
    <mergeCell ref="A43:B43"/>
    <mergeCell ref="A42:K42"/>
    <mergeCell ref="J43:K43"/>
    <mergeCell ref="R43:U43"/>
    <mergeCell ref="J46:K46"/>
    <mergeCell ref="A53:E53"/>
    <mergeCell ref="A54:E54"/>
    <mergeCell ref="R54:S54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9"/>
  <sheetViews>
    <sheetView topLeftCell="AF1" zoomScale="80" zoomScaleNormal="80" workbookViewId="0">
      <selection activeCell="AG41" sqref="AG41"/>
    </sheetView>
  </sheetViews>
  <sheetFormatPr defaultRowHeight="15" x14ac:dyDescent="0.2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171</v>
      </c>
      <c r="BA3" s="262" t="s">
        <v>208</v>
      </c>
    </row>
    <row r="4" spans="1:53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</row>
    <row r="5" spans="1:53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3" x14ac:dyDescent="0.25">
      <c r="A8" s="11">
        <v>42309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168.71981320381167</v>
      </c>
      <c r="AI8" s="57">
        <v>365.10798395474751</v>
      </c>
      <c r="AJ8" s="57">
        <v>1186.6998067220054</v>
      </c>
      <c r="AK8" s="57">
        <v>196.67903982798259</v>
      </c>
      <c r="AL8" s="57">
        <v>1191.4034702936808</v>
      </c>
      <c r="AM8" s="57">
        <v>1445.271409098307</v>
      </c>
      <c r="AN8" s="57">
        <v>439.70748729705804</v>
      </c>
      <c r="AO8" s="57">
        <v>192.65046969254811</v>
      </c>
      <c r="AP8" s="57">
        <v>96.320365905761719</v>
      </c>
      <c r="AQ8" s="57">
        <v>721.76754236221313</v>
      </c>
    </row>
    <row r="9" spans="1:53" x14ac:dyDescent="0.25">
      <c r="A9" s="11">
        <v>42310</v>
      </c>
      <c r="B9" s="59"/>
      <c r="C9" s="60">
        <v>0</v>
      </c>
      <c r="D9" s="60">
        <v>0</v>
      </c>
      <c r="E9" s="5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0</v>
      </c>
      <c r="AH9" s="69">
        <v>160.19490315119424</v>
      </c>
      <c r="AI9" s="69">
        <v>350.20755823453271</v>
      </c>
      <c r="AJ9" s="69">
        <v>1193.7180706024167</v>
      </c>
      <c r="AK9" s="69">
        <v>198.44550413290659</v>
      </c>
      <c r="AL9" s="69">
        <v>1198.7021267573039</v>
      </c>
      <c r="AM9" s="69">
        <v>1511.1257017771404</v>
      </c>
      <c r="AN9" s="69">
        <v>435.59205462137862</v>
      </c>
      <c r="AO9" s="69">
        <v>205.80569313367207</v>
      </c>
      <c r="AP9" s="69">
        <v>97.921367383003229</v>
      </c>
      <c r="AQ9" s="69">
        <v>759.40212065378819</v>
      </c>
    </row>
    <row r="10" spans="1:53" x14ac:dyDescent="0.25">
      <c r="A10" s="11">
        <v>42311</v>
      </c>
      <c r="B10" s="59"/>
      <c r="C10" s="60">
        <v>0</v>
      </c>
      <c r="D10" s="60">
        <v>0</v>
      </c>
      <c r="E10" s="5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0</v>
      </c>
      <c r="AH10" s="69">
        <v>148.91978989442191</v>
      </c>
      <c r="AI10" s="69">
        <v>332.11740779876709</v>
      </c>
      <c r="AJ10" s="69">
        <v>1167.873145294189</v>
      </c>
      <c r="AK10" s="69">
        <v>194.50527267456056</v>
      </c>
      <c r="AL10" s="69">
        <v>1235.117006556193</v>
      </c>
      <c r="AM10" s="69">
        <v>1563.8037420908611</v>
      </c>
      <c r="AN10" s="69">
        <v>441.50804325739546</v>
      </c>
      <c r="AO10" s="69">
        <v>270.333176612854</v>
      </c>
      <c r="AP10" s="69">
        <v>99.095340728759766</v>
      </c>
      <c r="AQ10" s="69">
        <v>764.28489735921221</v>
      </c>
    </row>
    <row r="11" spans="1:53" x14ac:dyDescent="0.25">
      <c r="A11" s="11">
        <v>42312</v>
      </c>
      <c r="B11" s="59"/>
      <c r="C11" s="60">
        <v>0</v>
      </c>
      <c r="D11" s="60">
        <v>0</v>
      </c>
      <c r="E11" s="5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69">
        <v>0</v>
      </c>
      <c r="AE11" s="68">
        <v>0</v>
      </c>
      <c r="AF11" s="68">
        <v>0</v>
      </c>
      <c r="AG11" s="68">
        <v>0</v>
      </c>
      <c r="AH11" s="69">
        <v>163.80220068295796</v>
      </c>
      <c r="AI11" s="69">
        <v>357.80293696721395</v>
      </c>
      <c r="AJ11" s="69">
        <v>1144.228380393982</v>
      </c>
      <c r="AK11" s="69">
        <v>206.19846609433495</v>
      </c>
      <c r="AL11" s="69">
        <v>1235.7562795003253</v>
      </c>
      <c r="AM11" s="69">
        <v>1527.8949745814007</v>
      </c>
      <c r="AN11" s="69">
        <v>410.05053826967873</v>
      </c>
      <c r="AO11" s="69">
        <v>229.18243258794149</v>
      </c>
      <c r="AP11" s="69">
        <v>99.095340728759766</v>
      </c>
      <c r="AQ11" s="69">
        <v>620.28331899642956</v>
      </c>
    </row>
    <row r="12" spans="1:53" x14ac:dyDescent="0.25">
      <c r="A12" s="11">
        <v>42313</v>
      </c>
      <c r="B12" s="59"/>
      <c r="C12" s="60">
        <v>0</v>
      </c>
      <c r="D12" s="60">
        <v>0</v>
      </c>
      <c r="E12" s="5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194.11858015855154</v>
      </c>
      <c r="AI12" s="69">
        <v>379.78524203300486</v>
      </c>
      <c r="AJ12" s="69">
        <v>1112.0220234553017</v>
      </c>
      <c r="AK12" s="69">
        <v>213.78663915395737</v>
      </c>
      <c r="AL12" s="69">
        <v>1317.8258760452268</v>
      </c>
      <c r="AM12" s="69">
        <v>1541.3814294179281</v>
      </c>
      <c r="AN12" s="69">
        <v>411.03825756708773</v>
      </c>
      <c r="AO12" s="69">
        <v>220.60697937011719</v>
      </c>
      <c r="AP12" s="69">
        <v>118.90606066385905</v>
      </c>
      <c r="AQ12" s="69">
        <v>604.74926576614394</v>
      </c>
    </row>
    <row r="13" spans="1:53" x14ac:dyDescent="0.25">
      <c r="A13" s="11">
        <v>42314</v>
      </c>
      <c r="B13" s="59"/>
      <c r="C13" s="60">
        <v>0</v>
      </c>
      <c r="D13" s="60">
        <v>0</v>
      </c>
      <c r="E13" s="5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223.17826227347058</v>
      </c>
      <c r="AI13" s="69">
        <v>409.26589026451114</v>
      </c>
      <c r="AJ13" s="69">
        <v>1127.5478924433394</v>
      </c>
      <c r="AK13" s="69">
        <v>217.07713027795151</v>
      </c>
      <c r="AL13" s="69">
        <v>1345.6959378560382</v>
      </c>
      <c r="AM13" s="69">
        <v>1568.2319498697916</v>
      </c>
      <c r="AN13" s="69">
        <v>427.2576987107596</v>
      </c>
      <c r="AO13" s="69">
        <v>220.60697937011719</v>
      </c>
      <c r="AP13" s="69">
        <v>127.47207514842351</v>
      </c>
      <c r="AQ13" s="69">
        <v>612.8576855659486</v>
      </c>
    </row>
    <row r="14" spans="1:53" x14ac:dyDescent="0.25">
      <c r="A14" s="11">
        <v>42315</v>
      </c>
      <c r="B14" s="59"/>
      <c r="C14" s="60">
        <v>0</v>
      </c>
      <c r="D14" s="60">
        <v>0</v>
      </c>
      <c r="E14" s="5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69">
        <v>0</v>
      </c>
      <c r="AE14" s="68">
        <v>0</v>
      </c>
      <c r="AF14" s="68">
        <v>0</v>
      </c>
      <c r="AG14" s="68">
        <v>0</v>
      </c>
      <c r="AH14" s="69">
        <v>211.00705463886263</v>
      </c>
      <c r="AI14" s="69">
        <v>395.9419082959493</v>
      </c>
      <c r="AJ14" s="69">
        <v>1146.4704331715902</v>
      </c>
      <c r="AK14" s="69">
        <v>232.69660390218095</v>
      </c>
      <c r="AL14" s="69">
        <v>1329.4057202657066</v>
      </c>
      <c r="AM14" s="69">
        <v>1531.0120374679564</v>
      </c>
      <c r="AN14" s="69">
        <v>449.0198177655538</v>
      </c>
      <c r="AO14" s="69">
        <v>237.77780865828197</v>
      </c>
      <c r="AP14" s="69">
        <v>107.29122161865234</v>
      </c>
      <c r="AQ14" s="69">
        <v>592.20798994700124</v>
      </c>
    </row>
    <row r="15" spans="1:53" x14ac:dyDescent="0.25">
      <c r="A15" s="11">
        <v>42316</v>
      </c>
      <c r="B15" s="59"/>
      <c r="C15" s="60">
        <v>0</v>
      </c>
      <c r="D15" s="60">
        <v>0</v>
      </c>
      <c r="E15" s="5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69">
        <v>0</v>
      </c>
      <c r="AE15" s="68">
        <v>0</v>
      </c>
      <c r="AF15" s="68">
        <v>0</v>
      </c>
      <c r="AG15" s="68">
        <v>0</v>
      </c>
      <c r="AH15" s="69">
        <v>190.16890940666201</v>
      </c>
      <c r="AI15" s="69">
        <v>375.43874039649961</v>
      </c>
      <c r="AJ15" s="69">
        <v>1167.6632726669311</v>
      </c>
      <c r="AK15" s="69">
        <v>227.23877159754434</v>
      </c>
      <c r="AL15" s="69">
        <v>1252.0683006922409</v>
      </c>
      <c r="AM15" s="69">
        <v>1519.1904881795249</v>
      </c>
      <c r="AN15" s="69">
        <v>433.23683764139815</v>
      </c>
      <c r="AO15" s="69">
        <v>203.68790733019509</v>
      </c>
      <c r="AP15" s="69">
        <v>107.29122161865234</v>
      </c>
      <c r="AQ15" s="69">
        <v>627.38556836446128</v>
      </c>
    </row>
    <row r="16" spans="1:53" x14ac:dyDescent="0.25">
      <c r="A16" s="11">
        <v>42317</v>
      </c>
      <c r="B16" s="59"/>
      <c r="C16" s="60">
        <v>0</v>
      </c>
      <c r="D16" s="60">
        <v>0</v>
      </c>
      <c r="E16" s="5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69">
        <v>0</v>
      </c>
      <c r="AE16" s="68">
        <v>0</v>
      </c>
      <c r="AF16" s="68">
        <v>0</v>
      </c>
      <c r="AG16" s="68">
        <v>0</v>
      </c>
      <c r="AH16" s="69">
        <v>193.80078958670296</v>
      </c>
      <c r="AI16" s="69">
        <v>381.48686795234693</v>
      </c>
      <c r="AJ16" s="69">
        <v>1137.8367940902708</v>
      </c>
      <c r="AK16" s="69">
        <v>221.08925220966339</v>
      </c>
      <c r="AL16" s="69">
        <v>1203.364707565308</v>
      </c>
      <c r="AM16" s="69">
        <v>1699.6859086354571</v>
      </c>
      <c r="AN16" s="69">
        <v>445.32053190867123</v>
      </c>
      <c r="AO16" s="69">
        <v>214.48353613217671</v>
      </c>
      <c r="AP16" s="69">
        <v>107.29122161865234</v>
      </c>
      <c r="AQ16" s="69">
        <v>641.86433067321798</v>
      </c>
    </row>
    <row r="17" spans="1:43" x14ac:dyDescent="0.25">
      <c r="A17" s="11">
        <v>42318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6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69">
        <v>0</v>
      </c>
      <c r="AE17" s="68">
        <v>0</v>
      </c>
      <c r="AF17" s="68">
        <v>0</v>
      </c>
      <c r="AG17" s="68">
        <v>0</v>
      </c>
      <c r="AH17" s="69">
        <v>186.50971739292146</v>
      </c>
      <c r="AI17" s="69">
        <v>372.50887177785245</v>
      </c>
      <c r="AJ17" s="69">
        <v>1250.7168933868409</v>
      </c>
      <c r="AK17" s="69">
        <v>220.28238418102265</v>
      </c>
      <c r="AL17" s="69">
        <v>1290.8205253601075</v>
      </c>
      <c r="AM17" s="69">
        <v>1858.1515665690106</v>
      </c>
      <c r="AN17" s="69">
        <v>460.31344229380272</v>
      </c>
      <c r="AO17" s="69">
        <v>199.90671226978301</v>
      </c>
      <c r="AP17" s="69">
        <v>107.29122161865234</v>
      </c>
      <c r="AQ17" s="69">
        <v>788.10480442047117</v>
      </c>
    </row>
    <row r="18" spans="1:43" x14ac:dyDescent="0.25">
      <c r="A18" s="11">
        <v>42319</v>
      </c>
      <c r="B18" s="59"/>
      <c r="C18" s="60">
        <v>0</v>
      </c>
      <c r="D18" s="60">
        <v>0</v>
      </c>
      <c r="E18" s="5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69">
        <v>0</v>
      </c>
      <c r="AE18" s="68">
        <v>0</v>
      </c>
      <c r="AF18" s="68">
        <v>0</v>
      </c>
      <c r="AG18" s="68">
        <v>0</v>
      </c>
      <c r="AH18" s="69">
        <v>223.46256552537281</v>
      </c>
      <c r="AI18" s="69">
        <v>406.57856394449863</v>
      </c>
      <c r="AJ18" s="69">
        <v>1300.1517262776692</v>
      </c>
      <c r="AK18" s="69">
        <v>218.5887017250061</v>
      </c>
      <c r="AL18" s="69">
        <v>1429.2001195907594</v>
      </c>
      <c r="AM18" s="69">
        <v>1572.64444993337</v>
      </c>
      <c r="AN18" s="69">
        <v>468.6038643836975</v>
      </c>
      <c r="AO18" s="69">
        <v>176.90424954891205</v>
      </c>
      <c r="AP18" s="69">
        <v>107.29122161865234</v>
      </c>
      <c r="AQ18" s="69">
        <v>670.99432818094908</v>
      </c>
    </row>
    <row r="19" spans="1:43" x14ac:dyDescent="0.25">
      <c r="A19" s="11">
        <v>42320</v>
      </c>
      <c r="B19" s="59"/>
      <c r="C19" s="60">
        <v>0</v>
      </c>
      <c r="D19" s="60">
        <v>0</v>
      </c>
      <c r="E19" s="5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69">
        <v>0</v>
      </c>
      <c r="AE19" s="68">
        <v>0</v>
      </c>
      <c r="AF19" s="68">
        <v>0</v>
      </c>
      <c r="AG19" s="68">
        <v>0</v>
      </c>
      <c r="AH19" s="69">
        <v>226.37475886344913</v>
      </c>
      <c r="AI19" s="69">
        <v>414.09196473757436</v>
      </c>
      <c r="AJ19" s="69">
        <v>1282.8217000325521</v>
      </c>
      <c r="AK19" s="69">
        <v>220.68860836029049</v>
      </c>
      <c r="AL19" s="69">
        <v>1368.7518417994179</v>
      </c>
      <c r="AM19" s="69">
        <v>1666.1685430526738</v>
      </c>
      <c r="AN19" s="69">
        <v>484.74141620000205</v>
      </c>
      <c r="AO19" s="69">
        <v>182.89402305285137</v>
      </c>
      <c r="AP19" s="69">
        <v>107.29122161865234</v>
      </c>
      <c r="AQ19" s="69">
        <v>684.57985026041672</v>
      </c>
    </row>
    <row r="20" spans="1:43" x14ac:dyDescent="0.25">
      <c r="A20" s="11">
        <v>42321</v>
      </c>
      <c r="B20" s="59"/>
      <c r="C20" s="60">
        <v>0</v>
      </c>
      <c r="D20" s="60">
        <v>0</v>
      </c>
      <c r="E20" s="5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69">
        <v>0</v>
      </c>
      <c r="AE20" s="68">
        <v>0</v>
      </c>
      <c r="AF20" s="68">
        <v>0</v>
      </c>
      <c r="AG20" s="68">
        <v>0</v>
      </c>
      <c r="AH20" s="69">
        <v>212.7007537285487</v>
      </c>
      <c r="AI20" s="69">
        <v>399.21744146347049</v>
      </c>
      <c r="AJ20" s="69">
        <v>1237.1764832178751</v>
      </c>
      <c r="AK20" s="69">
        <v>231.0575934569041</v>
      </c>
      <c r="AL20" s="69">
        <v>1319.9075155893961</v>
      </c>
      <c r="AM20" s="69">
        <v>1613.0218493143716</v>
      </c>
      <c r="AN20" s="69">
        <v>479.45651421546938</v>
      </c>
      <c r="AO20" s="69">
        <v>193.11196707089741</v>
      </c>
      <c r="AP20" s="69">
        <v>107.29122161865234</v>
      </c>
      <c r="AQ20" s="69">
        <v>675.90925801595051</v>
      </c>
    </row>
    <row r="21" spans="1:43" x14ac:dyDescent="0.25">
      <c r="A21" s="11">
        <v>42322</v>
      </c>
      <c r="B21" s="59"/>
      <c r="C21" s="60">
        <v>0</v>
      </c>
      <c r="D21" s="60">
        <v>0</v>
      </c>
      <c r="E21" s="5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69">
        <v>0</v>
      </c>
      <c r="AE21" s="68">
        <v>0</v>
      </c>
      <c r="AF21" s="68">
        <v>0</v>
      </c>
      <c r="AG21" s="68">
        <v>0</v>
      </c>
      <c r="AH21" s="69">
        <v>193.45543877283731</v>
      </c>
      <c r="AI21" s="69">
        <v>378.84854785601294</v>
      </c>
      <c r="AJ21" s="69">
        <v>1197.196295611064</v>
      </c>
      <c r="AK21" s="69">
        <v>234.73252747853593</v>
      </c>
      <c r="AL21" s="69">
        <v>1242.6797414779664</v>
      </c>
      <c r="AM21" s="69">
        <v>1512.2736060460409</v>
      </c>
      <c r="AN21" s="69">
        <v>463.56302989323945</v>
      </c>
      <c r="AO21" s="69">
        <v>250.62968285878497</v>
      </c>
      <c r="AP21" s="69">
        <v>107.29122161865234</v>
      </c>
      <c r="AQ21" s="69">
        <v>656.89670114517207</v>
      </c>
    </row>
    <row r="22" spans="1:43" x14ac:dyDescent="0.25">
      <c r="A22" s="11">
        <v>42323</v>
      </c>
      <c r="B22" s="59"/>
      <c r="C22" s="60">
        <v>0</v>
      </c>
      <c r="D22" s="60">
        <v>0</v>
      </c>
      <c r="E22" s="5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69">
        <v>0</v>
      </c>
      <c r="AE22" s="68">
        <v>0</v>
      </c>
      <c r="AF22" s="68">
        <v>0</v>
      </c>
      <c r="AG22" s="68">
        <v>0</v>
      </c>
      <c r="AH22" s="69">
        <v>190.4033032178879</v>
      </c>
      <c r="AI22" s="69">
        <v>375.69754603703819</v>
      </c>
      <c r="AJ22" s="69">
        <v>1197.1307133992514</v>
      </c>
      <c r="AK22" s="69">
        <v>232.39232657750452</v>
      </c>
      <c r="AL22" s="69">
        <v>1267.4524948755898</v>
      </c>
      <c r="AM22" s="69">
        <v>1508.6176307678222</v>
      </c>
      <c r="AN22" s="69">
        <v>458.29032189051316</v>
      </c>
      <c r="AO22" s="69">
        <v>225.35736833413443</v>
      </c>
      <c r="AP22" s="69">
        <v>107.29122161865234</v>
      </c>
      <c r="AQ22" s="69">
        <v>640.81222146352138</v>
      </c>
    </row>
    <row r="23" spans="1:43" x14ac:dyDescent="0.25">
      <c r="A23" s="11">
        <v>42324</v>
      </c>
      <c r="B23" s="59"/>
      <c r="C23" s="60">
        <v>0</v>
      </c>
      <c r="D23" s="60">
        <v>0</v>
      </c>
      <c r="E23" s="5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69">
        <v>0</v>
      </c>
      <c r="AE23" s="68">
        <v>0</v>
      </c>
      <c r="AF23" s="68">
        <v>0</v>
      </c>
      <c r="AG23" s="68">
        <v>0</v>
      </c>
      <c r="AH23" s="69">
        <v>207.06050020058947</v>
      </c>
      <c r="AI23" s="69">
        <v>356.36633593241379</v>
      </c>
      <c r="AJ23" s="69">
        <v>1220.1865152041119</v>
      </c>
      <c r="AK23" s="69">
        <v>226.71495277881624</v>
      </c>
      <c r="AL23" s="69">
        <v>1308.8744302113851</v>
      </c>
      <c r="AM23" s="69">
        <v>1651.7702108383178</v>
      </c>
      <c r="AN23" s="69">
        <v>464.68186594645175</v>
      </c>
      <c r="AO23" s="69">
        <v>174.58346279462177</v>
      </c>
      <c r="AP23" s="69">
        <v>81.439069541295368</v>
      </c>
      <c r="AQ23" s="69">
        <v>648.31021073659258</v>
      </c>
    </row>
    <row r="24" spans="1:43" x14ac:dyDescent="0.25">
      <c r="A24" s="11">
        <v>42325</v>
      </c>
      <c r="B24" s="59"/>
      <c r="C24" s="60">
        <v>0</v>
      </c>
      <c r="D24" s="60">
        <v>0</v>
      </c>
      <c r="E24" s="5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69">
        <v>0</v>
      </c>
      <c r="AE24" s="68">
        <v>0</v>
      </c>
      <c r="AF24" s="68">
        <v>0</v>
      </c>
      <c r="AG24" s="68">
        <v>0</v>
      </c>
      <c r="AH24" s="69">
        <v>260.91392416159312</v>
      </c>
      <c r="AI24" s="69">
        <v>379.84515908559166</v>
      </c>
      <c r="AJ24" s="69">
        <v>1218.1176921208696</v>
      </c>
      <c r="AK24" s="69">
        <v>229.33895249366765</v>
      </c>
      <c r="AL24" s="69">
        <v>1426.0017701466877</v>
      </c>
      <c r="AM24" s="69">
        <v>1587.1536724726361</v>
      </c>
      <c r="AN24" s="69">
        <v>506.76331715583797</v>
      </c>
      <c r="AO24" s="69">
        <v>172.11188507080078</v>
      </c>
      <c r="AP24" s="69">
        <v>65.627500780423489</v>
      </c>
      <c r="AQ24" s="69">
        <v>644.63966004053771</v>
      </c>
    </row>
    <row r="25" spans="1:43" x14ac:dyDescent="0.25">
      <c r="A25" s="11">
        <v>42326</v>
      </c>
      <c r="B25" s="59"/>
      <c r="C25" s="60">
        <v>0</v>
      </c>
      <c r="D25" s="60">
        <v>0</v>
      </c>
      <c r="E25" s="5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69">
        <v>0</v>
      </c>
      <c r="AE25" s="68">
        <v>0</v>
      </c>
      <c r="AF25" s="68">
        <v>0</v>
      </c>
      <c r="AG25" s="68">
        <v>0</v>
      </c>
      <c r="AH25" s="69">
        <v>254.77058408260342</v>
      </c>
      <c r="AI25" s="69">
        <v>446.07877798080443</v>
      </c>
      <c r="AJ25" s="69">
        <v>1283.2139773050944</v>
      </c>
      <c r="AK25" s="69">
        <v>208.86614112059277</v>
      </c>
      <c r="AL25" s="69">
        <v>1449.8022029876709</v>
      </c>
      <c r="AM25" s="69">
        <v>1686.7111433029174</v>
      </c>
      <c r="AN25" s="69">
        <v>520.31569487253819</v>
      </c>
      <c r="AO25" s="69">
        <v>170.05342990557352</v>
      </c>
      <c r="AP25" s="69">
        <v>71.743993751207995</v>
      </c>
      <c r="AQ25" s="69">
        <v>661.30484771728516</v>
      </c>
    </row>
    <row r="26" spans="1:43" x14ac:dyDescent="0.25">
      <c r="A26" s="11">
        <v>42327</v>
      </c>
      <c r="B26" s="59"/>
      <c r="C26" s="60">
        <v>0</v>
      </c>
      <c r="D26" s="60">
        <v>0</v>
      </c>
      <c r="E26" s="5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6">
        <v>0</v>
      </c>
      <c r="Z26" s="66">
        <v>0</v>
      </c>
      <c r="AA26" s="67">
        <v>0</v>
      </c>
      <c r="AB26" s="68">
        <v>0</v>
      </c>
      <c r="AC26" s="69">
        <v>0</v>
      </c>
      <c r="AD26" s="69">
        <v>0</v>
      </c>
      <c r="AE26" s="68">
        <v>0</v>
      </c>
      <c r="AF26" s="68">
        <v>0</v>
      </c>
      <c r="AG26" s="68">
        <v>0</v>
      </c>
      <c r="AH26" s="69">
        <v>246.34404749870302</v>
      </c>
      <c r="AI26" s="69">
        <v>441.39944901466367</v>
      </c>
      <c r="AJ26" s="69">
        <v>1254.6901802698771</v>
      </c>
      <c r="AK26" s="69">
        <v>207.9999050656954</v>
      </c>
      <c r="AL26" s="69">
        <v>1433.9746885299685</v>
      </c>
      <c r="AM26" s="69">
        <v>1594.2133776346843</v>
      </c>
      <c r="AN26" s="69">
        <v>527.40411567687988</v>
      </c>
      <c r="AO26" s="69">
        <v>169.08887100219727</v>
      </c>
      <c r="AP26" s="69">
        <v>70.391303046544394</v>
      </c>
      <c r="AQ26" s="69">
        <v>691.12390019098927</v>
      </c>
    </row>
    <row r="27" spans="1:43" x14ac:dyDescent="0.25">
      <c r="A27" s="11">
        <v>42328</v>
      </c>
      <c r="B27" s="59"/>
      <c r="C27" s="60">
        <v>0</v>
      </c>
      <c r="D27" s="60">
        <v>0</v>
      </c>
      <c r="E27" s="5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72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239.76369926929479</v>
      </c>
      <c r="AI27" s="69">
        <v>427.39273343086251</v>
      </c>
      <c r="AJ27" s="69">
        <v>1228.9893372217812</v>
      </c>
      <c r="AK27" s="69">
        <v>193.73222916523616</v>
      </c>
      <c r="AL27" s="69">
        <v>1425.9273702621458</v>
      </c>
      <c r="AM27" s="69">
        <v>1552.5189414978031</v>
      </c>
      <c r="AN27" s="69">
        <v>509.35800491968786</v>
      </c>
      <c r="AO27" s="69">
        <v>197.25054583549499</v>
      </c>
      <c r="AP27" s="69">
        <v>69.404205322265625</v>
      </c>
      <c r="AQ27" s="69">
        <v>652.58930724461879</v>
      </c>
    </row>
    <row r="28" spans="1:43" x14ac:dyDescent="0.25">
      <c r="A28" s="11">
        <v>42329</v>
      </c>
      <c r="B28" s="59"/>
      <c r="C28" s="60">
        <v>0</v>
      </c>
      <c r="D28" s="60">
        <v>0</v>
      </c>
      <c r="E28" s="5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69">
        <v>0</v>
      </c>
      <c r="AE28" s="68">
        <v>0</v>
      </c>
      <c r="AF28" s="68">
        <v>0</v>
      </c>
      <c r="AG28" s="68">
        <v>0</v>
      </c>
      <c r="AH28" s="69">
        <v>272.83776169617965</v>
      </c>
      <c r="AI28" s="69">
        <v>479.64358205795298</v>
      </c>
      <c r="AJ28" s="69">
        <v>1265.1129117965697</v>
      </c>
      <c r="AK28" s="69">
        <v>204.84993966420492</v>
      </c>
      <c r="AL28" s="69">
        <v>1495.8032225926713</v>
      </c>
      <c r="AM28" s="69">
        <v>1577.6255962371824</v>
      </c>
      <c r="AN28" s="69">
        <v>564.25289368629467</v>
      </c>
      <c r="AO28" s="69">
        <v>233.86972045898437</v>
      </c>
      <c r="AP28" s="69">
        <v>69.404205322265625</v>
      </c>
      <c r="AQ28" s="69">
        <v>642.91320044199642</v>
      </c>
    </row>
    <row r="29" spans="1:43" x14ac:dyDescent="0.25">
      <c r="A29" s="11">
        <v>42330</v>
      </c>
      <c r="B29" s="59"/>
      <c r="C29" s="60">
        <v>0</v>
      </c>
      <c r="D29" s="60">
        <v>0</v>
      </c>
      <c r="E29" s="5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69">
        <v>0</v>
      </c>
      <c r="AE29" s="68">
        <v>0</v>
      </c>
      <c r="AF29" s="68">
        <v>0</v>
      </c>
      <c r="AG29" s="68">
        <v>0</v>
      </c>
      <c r="AH29" s="69">
        <v>234.65095639228826</v>
      </c>
      <c r="AI29" s="69">
        <v>430.75895698865247</v>
      </c>
      <c r="AJ29" s="69">
        <v>1224.3254580179851</v>
      </c>
      <c r="AK29" s="69">
        <v>176.8697117010752</v>
      </c>
      <c r="AL29" s="69">
        <v>1385.292291768392</v>
      </c>
      <c r="AM29" s="69">
        <v>1790.3647795359295</v>
      </c>
      <c r="AN29" s="69">
        <v>508.82112350463871</v>
      </c>
      <c r="AO29" s="69">
        <v>190.24975476264953</v>
      </c>
      <c r="AP29" s="69">
        <v>69.404205322265625</v>
      </c>
      <c r="AQ29" s="69">
        <v>607.4840946515402</v>
      </c>
    </row>
    <row r="30" spans="1:43" x14ac:dyDescent="0.25">
      <c r="A30" s="11">
        <v>42331</v>
      </c>
      <c r="B30" s="59"/>
      <c r="C30" s="60">
        <v>0</v>
      </c>
      <c r="D30" s="60">
        <v>0</v>
      </c>
      <c r="E30" s="5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69">
        <v>0</v>
      </c>
      <c r="AE30" s="68">
        <v>0</v>
      </c>
      <c r="AF30" s="68">
        <v>0</v>
      </c>
      <c r="AG30" s="68">
        <v>0</v>
      </c>
      <c r="AH30" s="69">
        <v>210.63872702916464</v>
      </c>
      <c r="AI30" s="69">
        <v>405.66034406026199</v>
      </c>
      <c r="AJ30" s="69">
        <v>1220.1469563166299</v>
      </c>
      <c r="AK30" s="69">
        <v>159.2152943611145</v>
      </c>
      <c r="AL30" s="69">
        <v>1341.2098177591961</v>
      </c>
      <c r="AM30" s="69">
        <v>1890.605408859253</v>
      </c>
      <c r="AN30" s="69">
        <v>478.18691409428925</v>
      </c>
      <c r="AO30" s="69">
        <v>191.7769093990326</v>
      </c>
      <c r="AP30" s="69">
        <v>69.404205322265625</v>
      </c>
      <c r="AQ30" s="69">
        <v>622.74935855865476</v>
      </c>
    </row>
    <row r="31" spans="1:43" x14ac:dyDescent="0.25">
      <c r="A31" s="11">
        <v>42332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0.58304797808329267</v>
      </c>
      <c r="AB31" s="68">
        <v>0</v>
      </c>
      <c r="AC31" s="69">
        <v>0</v>
      </c>
      <c r="AD31" s="69">
        <v>0</v>
      </c>
      <c r="AE31" s="68">
        <v>0</v>
      </c>
      <c r="AF31" s="68">
        <v>0</v>
      </c>
      <c r="AG31" s="68">
        <v>0</v>
      </c>
      <c r="AH31" s="69">
        <v>200.95365434487661</v>
      </c>
      <c r="AI31" s="69">
        <v>400.40974973042808</v>
      </c>
      <c r="AJ31" s="69">
        <v>1232.8991591135662</v>
      </c>
      <c r="AK31" s="69">
        <v>192.80545579989752</v>
      </c>
      <c r="AL31" s="69">
        <v>1370.3213603337606</v>
      </c>
      <c r="AM31" s="69">
        <v>1883.8612369537354</v>
      </c>
      <c r="AN31" s="69">
        <v>445.87155137062075</v>
      </c>
      <c r="AO31" s="69">
        <v>183.48772430419922</v>
      </c>
      <c r="AP31" s="69">
        <v>77.941046464443204</v>
      </c>
      <c r="AQ31" s="69">
        <v>647.47888040542614</v>
      </c>
    </row>
    <row r="32" spans="1:43" x14ac:dyDescent="0.25">
      <c r="A32" s="11">
        <v>42333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69">
        <v>0</v>
      </c>
      <c r="AE32" s="68">
        <v>0</v>
      </c>
      <c r="AF32" s="68">
        <v>0</v>
      </c>
      <c r="AG32" s="68">
        <v>0</v>
      </c>
      <c r="AH32" s="69">
        <v>227.90725193023684</v>
      </c>
      <c r="AI32" s="69">
        <v>426.53132538795472</v>
      </c>
      <c r="AJ32" s="69">
        <v>1254.553710492452</v>
      </c>
      <c r="AK32" s="69">
        <v>231.06645302772523</v>
      </c>
      <c r="AL32" s="69">
        <v>1432.5131067911784</v>
      </c>
      <c r="AM32" s="69">
        <v>1880.4896579742435</v>
      </c>
      <c r="AN32" s="69">
        <v>437.3654584725698</v>
      </c>
      <c r="AO32" s="69">
        <v>183.48772430419922</v>
      </c>
      <c r="AP32" s="69">
        <v>85.107414710521695</v>
      </c>
      <c r="AQ32" s="69">
        <v>623.07866258621232</v>
      </c>
    </row>
    <row r="33" spans="1:43" x14ac:dyDescent="0.25">
      <c r="A33" s="11">
        <v>42334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69">
        <v>0</v>
      </c>
      <c r="AE33" s="68">
        <v>0</v>
      </c>
      <c r="AF33" s="68">
        <v>0</v>
      </c>
      <c r="AG33" s="68">
        <v>0</v>
      </c>
      <c r="AH33" s="69">
        <v>293.28351207574207</v>
      </c>
      <c r="AI33" s="69">
        <v>510.59397867520653</v>
      </c>
      <c r="AJ33" s="69">
        <v>1334.9870230992635</v>
      </c>
      <c r="AK33" s="69">
        <v>238.41732025941215</v>
      </c>
      <c r="AL33" s="69">
        <v>1538.8653874079387</v>
      </c>
      <c r="AM33" s="69">
        <v>1843.2568185170494</v>
      </c>
      <c r="AN33" s="69">
        <v>508.82952938079825</v>
      </c>
      <c r="AO33" s="69">
        <v>187.22717821598053</v>
      </c>
      <c r="AP33" s="69">
        <v>92.940850130716967</v>
      </c>
      <c r="AQ33" s="69">
        <v>663.7683016777039</v>
      </c>
    </row>
    <row r="34" spans="1:43" x14ac:dyDescent="0.25">
      <c r="A34" s="11">
        <v>42335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69">
        <v>0</v>
      </c>
      <c r="AE34" s="68">
        <v>0</v>
      </c>
      <c r="AF34" s="68">
        <v>0</v>
      </c>
      <c r="AG34" s="68">
        <v>0</v>
      </c>
      <c r="AH34" s="69">
        <v>315.82030868530273</v>
      </c>
      <c r="AI34" s="69">
        <v>565.86838728586827</v>
      </c>
      <c r="AJ34" s="69">
        <v>1348.6037878672282</v>
      </c>
      <c r="AK34" s="69">
        <v>249.56126271883642</v>
      </c>
      <c r="AL34" s="69">
        <v>1594.0726444880167</v>
      </c>
      <c r="AM34" s="69">
        <v>1882.4021937052407</v>
      </c>
      <c r="AN34" s="69">
        <v>598.70814741452534</v>
      </c>
      <c r="AO34" s="69">
        <v>184.86821771462758</v>
      </c>
      <c r="AP34" s="69">
        <v>92.124219016234079</v>
      </c>
      <c r="AQ34" s="69">
        <v>687.01374228795385</v>
      </c>
    </row>
    <row r="35" spans="1:43" x14ac:dyDescent="0.25">
      <c r="A35" s="11">
        <v>42336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69">
        <v>0</v>
      </c>
      <c r="AE35" s="68">
        <v>0</v>
      </c>
      <c r="AF35" s="68">
        <v>0</v>
      </c>
      <c r="AG35" s="68">
        <v>0</v>
      </c>
      <c r="AH35" s="69">
        <v>305.53433008193974</v>
      </c>
      <c r="AI35" s="69">
        <v>550.16087067921967</v>
      </c>
      <c r="AJ35" s="69">
        <v>1311.5341526031491</v>
      </c>
      <c r="AK35" s="69">
        <v>238.28759897549946</v>
      </c>
      <c r="AL35" s="69">
        <v>1587.7770056406657</v>
      </c>
      <c r="AM35" s="69">
        <v>1881.6848742167153</v>
      </c>
      <c r="AN35" s="69">
        <v>597.7590562820435</v>
      </c>
      <c r="AO35" s="69">
        <v>262.75064720312753</v>
      </c>
      <c r="AP35" s="69">
        <v>93.330441840489712</v>
      </c>
      <c r="AQ35" s="69">
        <v>680.10093262990301</v>
      </c>
    </row>
    <row r="36" spans="1:43" x14ac:dyDescent="0.25">
      <c r="A36" s="11">
        <v>42337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0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0</v>
      </c>
      <c r="AC36" s="69">
        <v>0</v>
      </c>
      <c r="AD36" s="69">
        <v>0</v>
      </c>
      <c r="AE36" s="68">
        <v>0</v>
      </c>
      <c r="AF36" s="68">
        <v>0</v>
      </c>
      <c r="AG36" s="68">
        <v>0</v>
      </c>
      <c r="AH36" s="69">
        <v>299.39505096276599</v>
      </c>
      <c r="AI36" s="69">
        <v>539.73897806803382</v>
      </c>
      <c r="AJ36" s="69">
        <v>1311.7019517898555</v>
      </c>
      <c r="AK36" s="69">
        <v>235.36275251706445</v>
      </c>
      <c r="AL36" s="69">
        <v>1578.9426336288452</v>
      </c>
      <c r="AM36" s="69">
        <v>1753.1420025507607</v>
      </c>
      <c r="AN36" s="69">
        <v>613.47642830212908</v>
      </c>
      <c r="AO36" s="69">
        <v>397.38807678222656</v>
      </c>
      <c r="AP36" s="69">
        <v>104.8284529407819</v>
      </c>
      <c r="AQ36" s="69">
        <v>690.1564489046732</v>
      </c>
    </row>
    <row r="37" spans="1:43" x14ac:dyDescent="0.25">
      <c r="A37" s="11">
        <v>42338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0</v>
      </c>
      <c r="J37" s="60">
        <v>0</v>
      </c>
      <c r="K37" s="60">
        <v>0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0</v>
      </c>
      <c r="V37" s="62">
        <v>0</v>
      </c>
      <c r="W37" s="62">
        <v>0</v>
      </c>
      <c r="X37" s="62">
        <v>0</v>
      </c>
      <c r="Y37" s="66">
        <v>0</v>
      </c>
      <c r="Z37" s="66">
        <v>0</v>
      </c>
      <c r="AA37" s="67">
        <v>0</v>
      </c>
      <c r="AB37" s="68">
        <v>0</v>
      </c>
      <c r="AC37" s="69">
        <v>0</v>
      </c>
      <c r="AD37" s="69">
        <v>0</v>
      </c>
      <c r="AE37" s="68">
        <v>0</v>
      </c>
      <c r="AF37" s="68">
        <v>0</v>
      </c>
      <c r="AG37" s="68">
        <v>0</v>
      </c>
      <c r="AH37" s="69">
        <v>297.08654680252073</v>
      </c>
      <c r="AI37" s="69">
        <v>530.7550202846528</v>
      </c>
      <c r="AJ37" s="69">
        <v>1306.4845780690514</v>
      </c>
      <c r="AK37" s="69">
        <v>227.65640307267506</v>
      </c>
      <c r="AL37" s="69">
        <v>1572.7929334004721</v>
      </c>
      <c r="AM37" s="69">
        <v>1814.0604104995728</v>
      </c>
      <c r="AN37" s="69">
        <v>568.10699396133418</v>
      </c>
      <c r="AO37" s="69">
        <v>361.68778912226367</v>
      </c>
      <c r="AP37" s="69">
        <v>94.107221655050921</v>
      </c>
      <c r="AQ37" s="69">
        <v>744.18108940124512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0</v>
      </c>
      <c r="V39" s="264">
        <f t="shared" si="0"/>
        <v>0</v>
      </c>
      <c r="W39" s="264">
        <f t="shared" si="0"/>
        <v>0</v>
      </c>
      <c r="X39" s="264">
        <f t="shared" si="0"/>
        <v>0</v>
      </c>
      <c r="Y39" s="264">
        <f t="shared" si="0"/>
        <v>0</v>
      </c>
      <c r="Z39" s="264">
        <f t="shared" si="0"/>
        <v>0</v>
      </c>
      <c r="AA39" s="272">
        <f t="shared" si="0"/>
        <v>0.58304797808329267</v>
      </c>
      <c r="AB39" s="275">
        <f t="shared" si="0"/>
        <v>0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6753.777695711452</v>
      </c>
      <c r="AI39" s="275">
        <f t="shared" si="1"/>
        <v>12585.301120376587</v>
      </c>
      <c r="AJ39" s="275">
        <f t="shared" si="1"/>
        <v>36864.801022052765</v>
      </c>
      <c r="AK39" s="275">
        <f t="shared" si="1"/>
        <v>6486.2031943718584</v>
      </c>
      <c r="AL39" s="275">
        <f t="shared" si="1"/>
        <v>41170.322530174257</v>
      </c>
      <c r="AM39" s="275">
        <f t="shared" si="1"/>
        <v>49908.335611597686</v>
      </c>
      <c r="AN39" s="275">
        <f t="shared" si="1"/>
        <v>14557.600950956345</v>
      </c>
      <c r="AO39" s="275">
        <f t="shared" si="1"/>
        <v>6483.8209228992464</v>
      </c>
      <c r="AP39" s="275">
        <f t="shared" si="1"/>
        <v>2811.629880293211</v>
      </c>
      <c r="AQ39" s="275">
        <f t="shared" si="1"/>
        <v>19968.992520650223</v>
      </c>
    </row>
    <row r="40" spans="1:43" ht="15.75" thickBot="1" x14ac:dyDescent="0.3">
      <c r="A40" s="47" t="s">
        <v>174</v>
      </c>
      <c r="B40" s="32">
        <f>Projection!$AD$30</f>
        <v>0.80583665399999982</v>
      </c>
      <c r="C40" s="33">
        <f>Projection!$AD$28</f>
        <v>1.2134866799999999</v>
      </c>
      <c r="D40" s="33">
        <f>Projection!$AD$31</f>
        <v>2.3118479999999999</v>
      </c>
      <c r="E40" s="33">
        <f>Projection!$AD$26</f>
        <v>4.3368000000000002</v>
      </c>
      <c r="F40" s="33">
        <f>Projection!$AD$23</f>
        <v>0</v>
      </c>
      <c r="G40" s="33">
        <f>Projection!$AD$24</f>
        <v>5.7325000000000001E-2</v>
      </c>
      <c r="H40" s="34">
        <f>Projection!$AD$29</f>
        <v>3.6159737999999999</v>
      </c>
      <c r="I40" s="32">
        <f>Projection!$AD$30</f>
        <v>0.80583665399999982</v>
      </c>
      <c r="J40" s="33">
        <f>Projection!$AD$28</f>
        <v>1.2134866799999999</v>
      </c>
      <c r="K40" s="33">
        <f>Projection!$AD$26</f>
        <v>4.3368000000000002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6">
        <v>15.77</v>
      </c>
      <c r="P40" s="267">
        <v>15.77</v>
      </c>
      <c r="Q40" s="267">
        <v>15.77</v>
      </c>
      <c r="R40" s="267">
        <v>15.77</v>
      </c>
      <c r="S40" s="267">
        <f>Projection!$AD$28</f>
        <v>1.2134866799999999</v>
      </c>
      <c r="T40" s="268">
        <f>Projection!$AD$28</f>
        <v>1.2134866799999999</v>
      </c>
      <c r="U40" s="266">
        <f>Projection!$AD$27</f>
        <v>0.23649999999999999</v>
      </c>
      <c r="V40" s="267">
        <f>Projection!$AD$27</f>
        <v>0.23649999999999999</v>
      </c>
      <c r="W40" s="267">
        <f>Projection!$AD$22</f>
        <v>1.1599999999999999</v>
      </c>
      <c r="X40" s="267">
        <f>Projection!$AD$22</f>
        <v>1.1599999999999999</v>
      </c>
      <c r="Y40" s="267">
        <f>Projection!$AD$31</f>
        <v>2.3118479999999999</v>
      </c>
      <c r="Z40" s="267">
        <f>Projection!$AD$31</f>
        <v>2.3118479999999999</v>
      </c>
      <c r="AA40" s="273">
        <v>0</v>
      </c>
      <c r="AB40" s="276">
        <f>Projection!$AD$27</f>
        <v>0.23649999999999999</v>
      </c>
      <c r="AC40" s="276">
        <f>Projection!$AD$30</f>
        <v>0.80583665399999982</v>
      </c>
      <c r="AD40" s="279">
        <f>SUM(AD8:AD38)</f>
        <v>0</v>
      </c>
      <c r="AE40" s="279">
        <f>SUM(AE8:AE38)</f>
        <v>0</v>
      </c>
      <c r="AF40" s="279">
        <f>SUM(AF8:AF38)</f>
        <v>0</v>
      </c>
      <c r="AG40" s="279">
        <v>0</v>
      </c>
      <c r="AH40" s="315">
        <v>6.8000000000000005E-2</v>
      </c>
      <c r="AI40" s="315">
        <f t="shared" ref="AI40:AQ40" si="2">$AH$40</f>
        <v>6.8000000000000005E-2</v>
      </c>
      <c r="AJ40" s="315">
        <f t="shared" si="2"/>
        <v>6.8000000000000005E-2</v>
      </c>
      <c r="AK40" s="315">
        <f t="shared" si="2"/>
        <v>6.8000000000000005E-2</v>
      </c>
      <c r="AL40" s="315">
        <f t="shared" si="2"/>
        <v>6.8000000000000005E-2</v>
      </c>
      <c r="AM40" s="315">
        <f t="shared" si="2"/>
        <v>6.8000000000000005E-2</v>
      </c>
      <c r="AN40" s="315">
        <f t="shared" si="2"/>
        <v>6.8000000000000005E-2</v>
      </c>
      <c r="AO40" s="315">
        <f t="shared" si="2"/>
        <v>6.8000000000000005E-2</v>
      </c>
      <c r="AP40" s="315">
        <f t="shared" si="2"/>
        <v>6.8000000000000005E-2</v>
      </c>
      <c r="AQ40" s="315">
        <f t="shared" si="2"/>
        <v>6.8000000000000005E-2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0</v>
      </c>
      <c r="V41" s="270">
        <f t="shared" si="3"/>
        <v>0</v>
      </c>
      <c r="W41" s="270">
        <f t="shared" si="3"/>
        <v>0</v>
      </c>
      <c r="X41" s="270">
        <f t="shared" si="3"/>
        <v>0</v>
      </c>
      <c r="Y41" s="270">
        <f t="shared" si="3"/>
        <v>0</v>
      </c>
      <c r="Z41" s="270">
        <f t="shared" si="3"/>
        <v>0</v>
      </c>
      <c r="AA41" s="274">
        <f t="shared" si="3"/>
        <v>0</v>
      </c>
      <c r="AB41" s="277">
        <f t="shared" si="3"/>
        <v>0</v>
      </c>
      <c r="AC41" s="277">
        <f t="shared" si="3"/>
        <v>0</v>
      </c>
      <c r="AH41" s="280">
        <f t="shared" ref="AH41:AQ41" si="4">AH40*AH39</f>
        <v>459.25688330837875</v>
      </c>
      <c r="AI41" s="280">
        <f t="shared" si="4"/>
        <v>855.80047618560798</v>
      </c>
      <c r="AJ41" s="280">
        <f t="shared" si="4"/>
        <v>2506.8064694995883</v>
      </c>
      <c r="AK41" s="280">
        <f t="shared" si="4"/>
        <v>441.06181721728643</v>
      </c>
      <c r="AL41" s="280">
        <f t="shared" si="4"/>
        <v>2799.5819320518499</v>
      </c>
      <c r="AM41" s="280">
        <f t="shared" si="4"/>
        <v>3393.7668215886429</v>
      </c>
      <c r="AN41" s="280">
        <f t="shared" si="4"/>
        <v>989.91686466503154</v>
      </c>
      <c r="AO41" s="280">
        <f t="shared" si="4"/>
        <v>440.8998227571488</v>
      </c>
      <c r="AP41" s="280">
        <f t="shared" si="4"/>
        <v>191.19083185993836</v>
      </c>
      <c r="AQ41" s="280">
        <f t="shared" si="4"/>
        <v>1357.8914914042152</v>
      </c>
    </row>
    <row r="42" spans="1:43" ht="49.5" customHeight="1" thickTop="1" thickBot="1" x14ac:dyDescent="0.3">
      <c r="A42" s="561" t="s">
        <v>233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588.55999999999995</v>
      </c>
      <c r="AI42" s="280" t="s">
        <v>199</v>
      </c>
      <c r="AJ42" s="280">
        <v>1809.29</v>
      </c>
      <c r="AK42" s="280">
        <v>79.430000000000007</v>
      </c>
      <c r="AL42" s="280">
        <v>821.51</v>
      </c>
      <c r="AM42" s="280">
        <v>3401.49</v>
      </c>
      <c r="AN42" s="280">
        <v>687.5</v>
      </c>
      <c r="AO42" s="280" t="s">
        <v>199</v>
      </c>
      <c r="AP42" s="280">
        <v>135.76</v>
      </c>
      <c r="AQ42" s="280">
        <v>476.53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0</v>
      </c>
      <c r="C44" s="12"/>
      <c r="D44" s="284" t="s">
        <v>135</v>
      </c>
      <c r="E44" s="285">
        <f>SUM(B41:H41)+P41+R41+T41+V41+X41+Z41</f>
        <v>0</v>
      </c>
      <c r="F44" s="12"/>
      <c r="G44" s="284" t="s">
        <v>135</v>
      </c>
      <c r="H44" s="285">
        <f>SUM(I41:N41)+O41+Q41+S41+U41+W41+Y41</f>
        <v>0</v>
      </c>
      <c r="I44" s="12"/>
      <c r="J44" s="284" t="s">
        <v>200</v>
      </c>
      <c r="K44" s="285"/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13436.173410537689</v>
      </c>
      <c r="C45" s="12"/>
      <c r="D45" s="286" t="s">
        <v>185</v>
      </c>
      <c r="E45" s="287">
        <f>AH41*(1-$AG$40)+AI41+AJ41*0.5+AL41+AM41*(1-$AG$40)+AN41*(1-$AG$40)+AO41*(1-$AG$40)+AP41*0.5+AQ41*0.5</f>
        <v>10967.16719693853</v>
      </c>
      <c r="F45" s="24"/>
      <c r="G45" s="286" t="s">
        <v>185</v>
      </c>
      <c r="H45" s="287">
        <f>AH41*AG40+AJ41*0.5+AK41+AM41*AG40+AN41*AG40+AO41*AG40+AP41*0.5+AQ41*0.5</f>
        <v>2469.0062135991575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0</v>
      </c>
      <c r="U45" s="258">
        <f>(T45*8.34*0.895)/27000</f>
        <v>0</v>
      </c>
    </row>
    <row r="46" spans="1:43" ht="32.25" thickBot="1" x14ac:dyDescent="0.3">
      <c r="A46" s="288" t="s">
        <v>186</v>
      </c>
      <c r="B46" s="289">
        <f>SUM(AH42:AQ42)</f>
        <v>8000.07</v>
      </c>
      <c r="C46" s="12"/>
      <c r="D46" s="288" t="s">
        <v>186</v>
      </c>
      <c r="E46" s="289">
        <f>AH42*(1-$AG$40)+AJ42*0.5+AL42+AM42*(1-$AG$40)+AN42*(1-$AG$40)+AP42*0.5+AQ42*0.5</f>
        <v>6709.85</v>
      </c>
      <c r="F46" s="23"/>
      <c r="G46" s="288" t="s">
        <v>186</v>
      </c>
      <c r="H46" s="289">
        <f>AH42*AG40+AJ42*0.5+AK42+AM42*AG40+AN42*AG40+AP42*0.5+AQ42*0.5</f>
        <v>1290.2199999999998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0</v>
      </c>
      <c r="C47" s="12"/>
      <c r="D47" s="288" t="s">
        <v>189</v>
      </c>
      <c r="E47" s="289">
        <f>K44*0.5</f>
        <v>0</v>
      </c>
      <c r="F47" s="24"/>
      <c r="G47" s="288" t="s">
        <v>187</v>
      </c>
      <c r="H47" s="289">
        <f>K44*0.5</f>
        <v>0</v>
      </c>
      <c r="I47" s="12"/>
      <c r="J47" s="284" t="s">
        <v>200</v>
      </c>
      <c r="K47" s="285"/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0</v>
      </c>
      <c r="C48" s="12"/>
      <c r="D48" s="288" t="s">
        <v>188</v>
      </c>
      <c r="E48" s="289">
        <f>K47*0.5</f>
        <v>0</v>
      </c>
      <c r="F48" s="23"/>
      <c r="G48" s="288" t="s">
        <v>188</v>
      </c>
      <c r="H48" s="289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0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0</v>
      </c>
      <c r="U49" s="258">
        <f>(T49*8.34*1.04)/45000</f>
        <v>0</v>
      </c>
    </row>
    <row r="50" spans="1:25" ht="48" thickTop="1" thickBot="1" x14ac:dyDescent="0.3">
      <c r="A50" s="293" t="s">
        <v>192</v>
      </c>
      <c r="B50" s="295" t="e">
        <f>(SUM(B44:B48)/AD40)</f>
        <v>#DIV/0!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 t="e">
        <f>SUM(H44:H48)/AE40</f>
        <v>#DIV/0!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0</v>
      </c>
      <c r="U50" s="258">
        <f>T50/2000/8</f>
        <v>0</v>
      </c>
    </row>
    <row r="51" spans="1:25" ht="48" thickTop="1" thickBot="1" x14ac:dyDescent="0.3">
      <c r="A51" s="283" t="s">
        <v>193</v>
      </c>
      <c r="B51" s="296" t="e">
        <f>B50/1000</f>
        <v>#DIV/0!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 t="e">
        <f>H50/1000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0</v>
      </c>
      <c r="U51" s="258">
        <f>(T51*8.34*1.4)/45000</f>
        <v>0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0</v>
      </c>
      <c r="U52" s="258">
        <f>(T52*8.34*1.135)/45000</f>
        <v>0</v>
      </c>
    </row>
    <row r="53" spans="1:25" ht="33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0</v>
      </c>
      <c r="U53" s="258">
        <f>(T53*8.34*1.029*0.03)/3300</f>
        <v>0</v>
      </c>
    </row>
    <row r="54" spans="1:25" ht="66.75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0</v>
      </c>
      <c r="U54" s="261">
        <f>(T54*1.54*8.34)/45000</f>
        <v>0</v>
      </c>
      <c r="V54" s="328"/>
      <c r="W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25"/>
      <c r="T55" s="595"/>
      <c r="U55" s="595"/>
      <c r="V55" s="326"/>
      <c r="W55" s="327"/>
      <c r="X55" s="325"/>
      <c r="Y55" s="325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5"/>
      <c r="T56" s="595"/>
      <c r="U56" s="595"/>
      <c r="V56" s="326"/>
      <c r="W56" s="327"/>
      <c r="X56" s="325"/>
      <c r="Y56" s="325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5"/>
      <c r="T57" s="595"/>
      <c r="U57" s="595"/>
      <c r="V57" s="326"/>
      <c r="W57" s="327"/>
      <c r="X57" s="325"/>
      <c r="Y57" s="325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5"/>
      <c r="T58" s="595"/>
      <c r="U58" s="595"/>
      <c r="V58" s="326"/>
      <c r="W58" s="327"/>
      <c r="X58" s="325"/>
      <c r="Y58" s="325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5"/>
      <c r="T59" s="595"/>
      <c r="U59" s="595"/>
      <c r="V59" s="326"/>
      <c r="W59" s="327"/>
      <c r="X59" s="325"/>
      <c r="Y59" s="325"/>
    </row>
    <row r="60" spans="1:25" x14ac:dyDescent="0.25">
      <c r="S60" s="325"/>
      <c r="T60" s="595"/>
      <c r="U60" s="595"/>
      <c r="V60" s="326"/>
      <c r="W60" s="327"/>
      <c r="X60" s="325"/>
      <c r="Y60" s="331"/>
    </row>
    <row r="61" spans="1:25" x14ac:dyDescent="0.25">
      <c r="S61" s="325"/>
      <c r="T61" s="595"/>
      <c r="U61" s="595"/>
      <c r="V61" s="326"/>
      <c r="W61" s="327"/>
      <c r="X61" s="325"/>
      <c r="Y61" s="331"/>
    </row>
    <row r="62" spans="1:25" x14ac:dyDescent="0.25">
      <c r="S62" s="325"/>
      <c r="T62" s="595"/>
      <c r="U62" s="595"/>
      <c r="V62" s="326"/>
      <c r="W62" s="327"/>
      <c r="X62" s="325"/>
      <c r="Y62" s="331"/>
    </row>
    <row r="63" spans="1:25" x14ac:dyDescent="0.25">
      <c r="S63" s="325"/>
      <c r="T63" s="325"/>
      <c r="U63" s="325"/>
      <c r="V63" s="325"/>
      <c r="W63" s="325"/>
      <c r="X63" s="325"/>
      <c r="Y63" s="331"/>
    </row>
    <row r="64" spans="1:25" x14ac:dyDescent="0.25">
      <c r="S64" s="325"/>
      <c r="T64" s="325"/>
      <c r="U64" s="325"/>
      <c r="V64" s="325"/>
      <c r="W64" s="325"/>
      <c r="X64" s="325"/>
      <c r="Y64" s="331"/>
    </row>
    <row r="65" spans="19:24" x14ac:dyDescent="0.25">
      <c r="S65" s="12"/>
      <c r="T65" s="12"/>
      <c r="U65" s="12"/>
      <c r="V65" s="12"/>
      <c r="W65" s="12"/>
      <c r="X65" s="12"/>
    </row>
    <row r="66" spans="19:24" x14ac:dyDescent="0.25">
      <c r="S66" s="12"/>
      <c r="T66" s="12"/>
      <c r="U66" s="12"/>
      <c r="V66" s="12"/>
      <c r="W66" s="12"/>
      <c r="X66" s="12"/>
    </row>
    <row r="67" spans="19:24" x14ac:dyDescent="0.25">
      <c r="S67" s="12"/>
      <c r="T67" s="12"/>
      <c r="U67" s="12"/>
      <c r="V67" s="12"/>
      <c r="W67" s="12"/>
      <c r="X67" s="12"/>
    </row>
    <row r="68" spans="19:24" x14ac:dyDescent="0.25">
      <c r="S68" s="12"/>
      <c r="T68" s="12"/>
      <c r="U68" s="12"/>
      <c r="V68" s="12"/>
      <c r="W68" s="12"/>
      <c r="X68" s="12"/>
    </row>
    <row r="69" spans="19:24" x14ac:dyDescent="0.25">
      <c r="S69" s="12"/>
      <c r="T69" s="12"/>
      <c r="U69" s="12"/>
      <c r="V69" s="12"/>
      <c r="W69" s="12"/>
      <c r="X69" s="12"/>
    </row>
  </sheetData>
  <sheetProtection algorithmName="SHA-512" hashValue="XPehgvmQQkpwQfUDemhSpa6a+tFZ4Q7heOyj44f4nBY5s+SZSnTFD9hfEUcz+nh7K85DeC5HSc7jtd4M2bgdqw==" saltValue="SQcxFJI4mqt8dUUoAnBJgw==" spinCount="100000" sheet="1" objects="1" scenarios="1" selectLockedCells="1" selectUnlockedCells="1"/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zoomScale="80" zoomScaleNormal="80" workbookViewId="0">
      <selection activeCell="AG41" sqref="AG41"/>
    </sheetView>
  </sheetViews>
  <sheetFormatPr defaultRowHeight="15" x14ac:dyDescent="0.2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171</v>
      </c>
      <c r="BA3" s="262" t="s">
        <v>208</v>
      </c>
    </row>
    <row r="4" spans="1:53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</row>
    <row r="5" spans="1:53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3" x14ac:dyDescent="0.25">
      <c r="A8" s="11">
        <v>42339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304.46761300563816</v>
      </c>
      <c r="AI8" s="57">
        <v>539.89647860527043</v>
      </c>
      <c r="AJ8" s="57">
        <v>1311.5228910446165</v>
      </c>
      <c r="AK8" s="57">
        <v>240.07390306790668</v>
      </c>
      <c r="AL8" s="57">
        <v>1547.133027076721</v>
      </c>
      <c r="AM8" s="57">
        <v>1918.7331106821694</v>
      </c>
      <c r="AN8" s="57">
        <v>559.53645297686262</v>
      </c>
      <c r="AO8" s="57">
        <v>345.48123911221825</v>
      </c>
      <c r="AP8" s="57">
        <v>92.149591100215929</v>
      </c>
      <c r="AQ8" s="57">
        <v>777.11618932088197</v>
      </c>
    </row>
    <row r="9" spans="1:53" x14ac:dyDescent="0.25">
      <c r="A9" s="11">
        <v>42340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0</v>
      </c>
      <c r="AH9" s="69">
        <v>266.29863750139873</v>
      </c>
      <c r="AI9" s="69">
        <v>476.40251752535499</v>
      </c>
      <c r="AJ9" s="69">
        <v>1258.7999472935992</v>
      </c>
      <c r="AK9" s="69">
        <v>221.85376929442089</v>
      </c>
      <c r="AL9" s="69">
        <v>1462.9912393569946</v>
      </c>
      <c r="AM9" s="69">
        <v>1878.5604230244953</v>
      </c>
      <c r="AN9" s="69">
        <v>504.02128845850626</v>
      </c>
      <c r="AO9" s="69">
        <v>362.86754733721415</v>
      </c>
      <c r="AP9" s="69">
        <v>92.849442493915546</v>
      </c>
      <c r="AQ9" s="69">
        <v>661.66421766281132</v>
      </c>
    </row>
    <row r="10" spans="1:53" x14ac:dyDescent="0.25">
      <c r="A10" s="11">
        <v>42341</v>
      </c>
      <c r="B10" s="374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0</v>
      </c>
      <c r="AH10" s="69">
        <v>249.58690393765764</v>
      </c>
      <c r="AI10" s="69">
        <v>450.51759757995603</v>
      </c>
      <c r="AJ10" s="69">
        <v>1316.1786479314169</v>
      </c>
      <c r="AK10" s="69">
        <v>212.94072137673695</v>
      </c>
      <c r="AL10" s="69">
        <v>1424.2612084706627</v>
      </c>
      <c r="AM10" s="69">
        <v>1892.8495204925537</v>
      </c>
      <c r="AN10" s="69">
        <v>484.28244051933279</v>
      </c>
      <c r="AO10" s="69">
        <v>344.38907381693525</v>
      </c>
      <c r="AP10" s="69">
        <v>91.694887439409882</v>
      </c>
      <c r="AQ10" s="69">
        <v>690.1610905329386</v>
      </c>
    </row>
    <row r="11" spans="1:53" s="372" customFormat="1" ht="15" customHeight="1" x14ac:dyDescent="0.25">
      <c r="A11" s="376">
        <v>42342</v>
      </c>
      <c r="B11" s="375"/>
      <c r="C11" s="373">
        <v>0</v>
      </c>
      <c r="D11" s="367">
        <v>0</v>
      </c>
      <c r="E11" s="367">
        <v>0</v>
      </c>
      <c r="F11" s="367">
        <v>0</v>
      </c>
      <c r="G11" s="367">
        <v>0</v>
      </c>
      <c r="H11" s="368">
        <v>0</v>
      </c>
      <c r="I11" s="366">
        <v>0</v>
      </c>
      <c r="J11" s="367">
        <v>0</v>
      </c>
      <c r="K11" s="367">
        <v>0</v>
      </c>
      <c r="L11" s="369">
        <v>0</v>
      </c>
      <c r="M11" s="367">
        <v>0</v>
      </c>
      <c r="N11" s="368">
        <v>0</v>
      </c>
      <c r="O11" s="366">
        <v>0</v>
      </c>
      <c r="P11" s="367">
        <v>0</v>
      </c>
      <c r="Q11" s="367">
        <v>0</v>
      </c>
      <c r="R11" s="367">
        <v>0</v>
      </c>
      <c r="S11" s="367">
        <v>0</v>
      </c>
      <c r="T11" s="368">
        <v>0</v>
      </c>
      <c r="U11" s="366">
        <v>0</v>
      </c>
      <c r="V11" s="367">
        <v>0</v>
      </c>
      <c r="W11" s="367">
        <v>0</v>
      </c>
      <c r="X11" s="367">
        <v>0</v>
      </c>
      <c r="Y11" s="367">
        <v>0</v>
      </c>
      <c r="Z11" s="367">
        <v>0</v>
      </c>
      <c r="AA11" s="368">
        <v>0</v>
      </c>
      <c r="AB11" s="370">
        <v>0</v>
      </c>
      <c r="AC11" s="371">
        <v>0</v>
      </c>
      <c r="AD11" s="371">
        <v>0</v>
      </c>
      <c r="AE11" s="371">
        <v>0</v>
      </c>
      <c r="AF11" s="371">
        <v>0</v>
      </c>
      <c r="AG11" s="371">
        <v>0</v>
      </c>
      <c r="AH11" s="371">
        <v>237.88461567560833</v>
      </c>
      <c r="AI11" s="371">
        <v>517.16480833689377</v>
      </c>
      <c r="AJ11" s="371">
        <v>1303.4836080551147</v>
      </c>
      <c r="AK11" s="371">
        <v>206.29913012981416</v>
      </c>
      <c r="AL11" s="371">
        <v>1387.2377890904745</v>
      </c>
      <c r="AM11" s="371">
        <v>1879.7860804239906</v>
      </c>
      <c r="AN11" s="371">
        <v>481.58064448038738</v>
      </c>
      <c r="AO11" s="371">
        <v>340.53136876424151</v>
      </c>
      <c r="AP11" s="371">
        <v>92.518028287092847</v>
      </c>
      <c r="AQ11" s="371">
        <v>692.38105611801154</v>
      </c>
    </row>
    <row r="12" spans="1:53" x14ac:dyDescent="0.25">
      <c r="A12" s="11">
        <v>42343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246.60536728700004</v>
      </c>
      <c r="AI12" s="69">
        <v>513.21426579157514</v>
      </c>
      <c r="AJ12" s="69">
        <v>1230.9849948247274</v>
      </c>
      <c r="AK12" s="69">
        <v>207.84823231697084</v>
      </c>
      <c r="AL12" s="69">
        <v>1436.5956261952717</v>
      </c>
      <c r="AM12" s="69">
        <v>1851.3855618794757</v>
      </c>
      <c r="AN12" s="69">
        <v>480.02513168652848</v>
      </c>
      <c r="AO12" s="69">
        <v>341.54650594393411</v>
      </c>
      <c r="AP12" s="69">
        <v>92.52617345253627</v>
      </c>
      <c r="AQ12" s="69">
        <v>630.00286178588851</v>
      </c>
    </row>
    <row r="13" spans="1:53" x14ac:dyDescent="0.25">
      <c r="A13" s="11">
        <v>42344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251.63138186931613</v>
      </c>
      <c r="AI13" s="69">
        <v>526.24492478370667</v>
      </c>
      <c r="AJ13" s="69">
        <v>1288.7729289372762</v>
      </c>
      <c r="AK13" s="69">
        <v>210.98263788223269</v>
      </c>
      <c r="AL13" s="69">
        <v>1447.0877438863117</v>
      </c>
      <c r="AM13" s="69">
        <v>1839.8401830037433</v>
      </c>
      <c r="AN13" s="69">
        <v>496.52457354863481</v>
      </c>
      <c r="AO13" s="69">
        <v>385.22243762016296</v>
      </c>
      <c r="AP13" s="69">
        <v>89.34737665653229</v>
      </c>
      <c r="AQ13" s="69">
        <v>652.13499743143734</v>
      </c>
    </row>
    <row r="14" spans="1:53" x14ac:dyDescent="0.25">
      <c r="A14" s="11">
        <v>42345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69">
        <v>0</v>
      </c>
      <c r="AE14" s="68">
        <v>0</v>
      </c>
      <c r="AF14" s="68">
        <v>0</v>
      </c>
      <c r="AG14" s="68">
        <v>0</v>
      </c>
      <c r="AH14" s="69">
        <v>235.82848426500959</v>
      </c>
      <c r="AI14" s="69">
        <v>501.1815220673879</v>
      </c>
      <c r="AJ14" s="69">
        <v>1214.5077653884885</v>
      </c>
      <c r="AK14" s="69">
        <v>201.67391356627147</v>
      </c>
      <c r="AL14" s="69">
        <v>1427.614268175761</v>
      </c>
      <c r="AM14" s="69">
        <v>1922.3361985524498</v>
      </c>
      <c r="AN14" s="69">
        <v>497.27985420227049</v>
      </c>
      <c r="AO14" s="69">
        <v>360.87601445515952</v>
      </c>
      <c r="AP14" s="69">
        <v>102.37607082128527</v>
      </c>
      <c r="AQ14" s="69">
        <v>659.59076967239366</v>
      </c>
    </row>
    <row r="15" spans="1:53" x14ac:dyDescent="0.25">
      <c r="A15" s="11">
        <v>42346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69">
        <v>0</v>
      </c>
      <c r="AE15" s="68">
        <v>0</v>
      </c>
      <c r="AF15" s="68">
        <v>0</v>
      </c>
      <c r="AG15" s="68">
        <v>0</v>
      </c>
      <c r="AH15" s="69">
        <v>226.10220676263174</v>
      </c>
      <c r="AI15" s="69">
        <v>460.6984760761261</v>
      </c>
      <c r="AJ15" s="69">
        <v>1297.7878953297932</v>
      </c>
      <c r="AK15" s="69">
        <v>185.06134888331098</v>
      </c>
      <c r="AL15" s="69">
        <v>1385.8019680023192</v>
      </c>
      <c r="AM15" s="69">
        <v>1915.2442639668784</v>
      </c>
      <c r="AN15" s="69">
        <v>518.99936448733013</v>
      </c>
      <c r="AO15" s="69">
        <v>348.87340917587284</v>
      </c>
      <c r="AP15" s="69">
        <v>94.068104843298585</v>
      </c>
      <c r="AQ15" s="69">
        <v>649.4858089447024</v>
      </c>
    </row>
    <row r="16" spans="1:53" x14ac:dyDescent="0.25">
      <c r="A16" s="11">
        <v>42347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69">
        <v>0</v>
      </c>
      <c r="AE16" s="68">
        <v>0</v>
      </c>
      <c r="AF16" s="68">
        <v>0</v>
      </c>
      <c r="AG16" s="68">
        <v>0</v>
      </c>
      <c r="AH16" s="69">
        <v>212.62828841209415</v>
      </c>
      <c r="AI16" s="69">
        <v>418.25169599850983</v>
      </c>
      <c r="AJ16" s="69">
        <v>1269.3733975728355</v>
      </c>
      <c r="AK16" s="69">
        <v>179.9207106669744</v>
      </c>
      <c r="AL16" s="69">
        <v>1312.693663406372</v>
      </c>
      <c r="AM16" s="69">
        <v>1856.6505621592207</v>
      </c>
      <c r="AN16" s="69">
        <v>477.15883844693502</v>
      </c>
      <c r="AO16" s="69">
        <v>367.70245385169983</v>
      </c>
      <c r="AP16" s="69">
        <v>109.3976420958837</v>
      </c>
      <c r="AQ16" s="69">
        <v>679.14981005986522</v>
      </c>
    </row>
    <row r="17" spans="1:43" x14ac:dyDescent="0.25">
      <c r="A17" s="11">
        <v>42348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6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69">
        <v>0</v>
      </c>
      <c r="AE17" s="68">
        <v>0</v>
      </c>
      <c r="AF17" s="68">
        <v>0</v>
      </c>
      <c r="AG17" s="68">
        <v>0</v>
      </c>
      <c r="AH17" s="69">
        <v>208.96327766577403</v>
      </c>
      <c r="AI17" s="69">
        <v>412.31403846740727</v>
      </c>
      <c r="AJ17" s="69">
        <v>1266.1235220591227</v>
      </c>
      <c r="AK17" s="69">
        <v>178.78590129216514</v>
      </c>
      <c r="AL17" s="69">
        <v>1305.1353904724122</v>
      </c>
      <c r="AM17" s="69">
        <v>1860.6774191538493</v>
      </c>
      <c r="AN17" s="69">
        <v>475.53267051378884</v>
      </c>
      <c r="AO17" s="69">
        <v>391.17910563151042</v>
      </c>
      <c r="AP17" s="69">
        <v>128.81379110018412</v>
      </c>
      <c r="AQ17" s="69">
        <v>700.31244138081865</v>
      </c>
    </row>
    <row r="18" spans="1:43" x14ac:dyDescent="0.25">
      <c r="A18" s="11">
        <v>42349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69">
        <v>0</v>
      </c>
      <c r="AE18" s="68">
        <v>0</v>
      </c>
      <c r="AF18" s="68">
        <v>0</v>
      </c>
      <c r="AG18" s="68">
        <v>0</v>
      </c>
      <c r="AH18" s="69">
        <v>219.10733649730682</v>
      </c>
      <c r="AI18" s="69">
        <v>458.5681184768676</v>
      </c>
      <c r="AJ18" s="69">
        <v>1283.9214363733929</v>
      </c>
      <c r="AK18" s="69">
        <v>189.46573845545453</v>
      </c>
      <c r="AL18" s="69">
        <v>1364.6909733454386</v>
      </c>
      <c r="AM18" s="69">
        <v>1858.2547004699707</v>
      </c>
      <c r="AN18" s="69">
        <v>481.74774670600897</v>
      </c>
      <c r="AO18" s="69">
        <v>350.70511598587035</v>
      </c>
      <c r="AP18" s="69">
        <v>98.178869922955826</v>
      </c>
      <c r="AQ18" s="69">
        <v>692.5843594551086</v>
      </c>
    </row>
    <row r="19" spans="1:43" x14ac:dyDescent="0.25">
      <c r="A19" s="11">
        <v>42350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69">
        <v>0</v>
      </c>
      <c r="AE19" s="68">
        <v>0</v>
      </c>
      <c r="AF19" s="68">
        <v>0</v>
      </c>
      <c r="AG19" s="68">
        <v>0</v>
      </c>
      <c r="AH19" s="69">
        <v>267.40420429706575</v>
      </c>
      <c r="AI19" s="69">
        <v>503.24370435078936</v>
      </c>
      <c r="AJ19" s="69">
        <v>1362.8802978515623</v>
      </c>
      <c r="AK19" s="69">
        <v>182.71210624376934</v>
      </c>
      <c r="AL19" s="69">
        <v>1426.862657101949</v>
      </c>
      <c r="AM19" s="69">
        <v>1906.0289676666259</v>
      </c>
      <c r="AN19" s="69">
        <v>470.28112443288171</v>
      </c>
      <c r="AO19" s="69">
        <v>348.18626403808594</v>
      </c>
      <c r="AP19" s="69">
        <v>139.94626235961914</v>
      </c>
      <c r="AQ19" s="69">
        <v>647.90280364354464</v>
      </c>
    </row>
    <row r="20" spans="1:43" x14ac:dyDescent="0.25">
      <c r="A20" s="11">
        <v>42351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69">
        <v>0</v>
      </c>
      <c r="AE20" s="68">
        <v>0</v>
      </c>
      <c r="AF20" s="68">
        <v>0</v>
      </c>
      <c r="AG20" s="68">
        <v>0</v>
      </c>
      <c r="AH20" s="69">
        <v>284.12569427490234</v>
      </c>
      <c r="AI20" s="69">
        <v>467.83085632324219</v>
      </c>
      <c r="AJ20" s="69">
        <v>1368.5301818847656</v>
      </c>
      <c r="AK20" s="69">
        <v>122.92117309570312</v>
      </c>
      <c r="AL20" s="69">
        <v>1338.7636413574219</v>
      </c>
      <c r="AM20" s="69">
        <v>2011.8131103515625</v>
      </c>
      <c r="AN20" s="69">
        <v>405.83551025390625</v>
      </c>
      <c r="AO20" s="69">
        <v>348.18626403808594</v>
      </c>
      <c r="AP20" s="69">
        <v>139.94626235961914</v>
      </c>
      <c r="AQ20" s="69">
        <v>640.07807922363281</v>
      </c>
    </row>
    <row r="21" spans="1:43" x14ac:dyDescent="0.25">
      <c r="A21" s="11">
        <v>42352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69">
        <v>0</v>
      </c>
      <c r="AE21" s="68">
        <v>0</v>
      </c>
      <c r="AF21" s="68">
        <v>0</v>
      </c>
      <c r="AG21" s="68">
        <v>0</v>
      </c>
      <c r="AH21" s="69">
        <v>260.24854542414346</v>
      </c>
      <c r="AI21" s="69">
        <v>506.9888152281444</v>
      </c>
      <c r="AJ21" s="69">
        <v>1339.4978738784789</v>
      </c>
      <c r="AK21" s="69">
        <v>166.97809900442761</v>
      </c>
      <c r="AL21" s="69">
        <v>1404.4625253041586</v>
      </c>
      <c r="AM21" s="69">
        <v>1950.4908992767337</v>
      </c>
      <c r="AN21" s="69">
        <v>458.11362277666728</v>
      </c>
      <c r="AO21" s="69">
        <v>348.8730215708415</v>
      </c>
      <c r="AP21" s="69">
        <v>109.58638032277425</v>
      </c>
      <c r="AQ21" s="69">
        <v>675.9407783508301</v>
      </c>
    </row>
    <row r="22" spans="1:43" x14ac:dyDescent="0.25">
      <c r="A22" s="11">
        <v>42353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69">
        <v>0</v>
      </c>
      <c r="AE22" s="68">
        <v>0</v>
      </c>
      <c r="AF22" s="68">
        <v>0</v>
      </c>
      <c r="AG22" s="68">
        <v>0</v>
      </c>
      <c r="AH22" s="69">
        <v>323.41961118380226</v>
      </c>
      <c r="AI22" s="69">
        <v>639.27949058214824</v>
      </c>
      <c r="AJ22" s="69">
        <v>1449.1752975463869</v>
      </c>
      <c r="AK22" s="69">
        <v>250.96300338904061</v>
      </c>
      <c r="AL22" s="69">
        <v>1584.5975200017292</v>
      </c>
      <c r="AM22" s="69">
        <v>1971.863858159383</v>
      </c>
      <c r="AN22" s="69">
        <v>607.59159361521392</v>
      </c>
      <c r="AO22" s="69">
        <v>369.97815287907918</v>
      </c>
      <c r="AP22" s="69">
        <v>91.861942776044216</v>
      </c>
      <c r="AQ22" s="69">
        <v>719.32749331792195</v>
      </c>
    </row>
    <row r="23" spans="1:43" x14ac:dyDescent="0.25">
      <c r="A23" s="11">
        <v>42354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69">
        <v>0</v>
      </c>
      <c r="AE23" s="68">
        <v>0</v>
      </c>
      <c r="AF23" s="68">
        <v>0</v>
      </c>
      <c r="AG23" s="68">
        <v>0</v>
      </c>
      <c r="AH23" s="69">
        <v>312.25013515154518</v>
      </c>
      <c r="AI23" s="69">
        <v>633.37734142939246</v>
      </c>
      <c r="AJ23" s="69">
        <v>1435.2798540115357</v>
      </c>
      <c r="AK23" s="69">
        <v>251.35523588657378</v>
      </c>
      <c r="AL23" s="69">
        <v>1572.020799255371</v>
      </c>
      <c r="AM23" s="69">
        <v>1977.6263075510656</v>
      </c>
      <c r="AN23" s="69">
        <v>611.66485427220653</v>
      </c>
      <c r="AO23" s="69">
        <v>390.23787453969322</v>
      </c>
      <c r="AP23" s="69">
        <v>92.860102101167058</v>
      </c>
      <c r="AQ23" s="69">
        <v>744.5480700174968</v>
      </c>
    </row>
    <row r="24" spans="1:43" x14ac:dyDescent="0.25">
      <c r="A24" s="11">
        <v>42355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69">
        <v>0</v>
      </c>
      <c r="AE24" s="68">
        <v>0</v>
      </c>
      <c r="AF24" s="68">
        <v>0</v>
      </c>
      <c r="AG24" s="68">
        <v>0</v>
      </c>
      <c r="AH24" s="69">
        <v>320.39484580357862</v>
      </c>
      <c r="AI24" s="69">
        <v>645.33175597190859</v>
      </c>
      <c r="AJ24" s="69">
        <v>1431.4096380869546</v>
      </c>
      <c r="AK24" s="69">
        <v>255.40019542376197</v>
      </c>
      <c r="AL24" s="69">
        <v>1582.439459037781</v>
      </c>
      <c r="AM24" s="69">
        <v>1993.4676123301188</v>
      </c>
      <c r="AN24" s="69">
        <v>620.36936581929524</v>
      </c>
      <c r="AO24" s="69">
        <v>409.36038208007812</v>
      </c>
      <c r="AP24" s="69">
        <v>91.559945714473727</v>
      </c>
      <c r="AQ24" s="69">
        <v>756.71557105382294</v>
      </c>
    </row>
    <row r="25" spans="1:43" x14ac:dyDescent="0.25">
      <c r="A25" s="11">
        <v>42356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69">
        <v>0</v>
      </c>
      <c r="AE25" s="68">
        <v>0</v>
      </c>
      <c r="AF25" s="68">
        <v>0</v>
      </c>
      <c r="AG25" s="68">
        <v>0</v>
      </c>
      <c r="AH25" s="69">
        <v>284.43192865053811</v>
      </c>
      <c r="AI25" s="69">
        <v>585.5610918680826</v>
      </c>
      <c r="AJ25" s="69">
        <v>1345.423579216003</v>
      </c>
      <c r="AK25" s="69">
        <v>235.39147699673964</v>
      </c>
      <c r="AL25" s="69">
        <v>1474.2475889205932</v>
      </c>
      <c r="AM25" s="69">
        <v>1958.7301890055335</v>
      </c>
      <c r="AN25" s="69">
        <v>579.80415929158517</v>
      </c>
      <c r="AO25" s="69">
        <v>366.71301860809325</v>
      </c>
      <c r="AP25" s="69">
        <v>90.063449434439349</v>
      </c>
      <c r="AQ25" s="69">
        <v>709.85578915278086</v>
      </c>
    </row>
    <row r="26" spans="1:43" x14ac:dyDescent="0.25">
      <c r="A26" s="11">
        <v>42357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6">
        <v>0</v>
      </c>
      <c r="Z26" s="66">
        <v>0</v>
      </c>
      <c r="AA26" s="67">
        <v>0</v>
      </c>
      <c r="AB26" s="68">
        <v>0</v>
      </c>
      <c r="AC26" s="69">
        <v>0</v>
      </c>
      <c r="AD26" s="69">
        <v>0</v>
      </c>
      <c r="AE26" s="68">
        <v>0</v>
      </c>
      <c r="AF26" s="68">
        <v>0</v>
      </c>
      <c r="AG26" s="68">
        <v>0</v>
      </c>
      <c r="AH26" s="69">
        <v>244.98659980297091</v>
      </c>
      <c r="AI26" s="69">
        <v>515.30994936625177</v>
      </c>
      <c r="AJ26" s="69">
        <v>1268.7467055002846</v>
      </c>
      <c r="AK26" s="69">
        <v>202.91439565022787</v>
      </c>
      <c r="AL26" s="69">
        <v>1401.2842135747273</v>
      </c>
      <c r="AM26" s="69">
        <v>1824.8877914428706</v>
      </c>
      <c r="AN26" s="69">
        <v>518.80410868326817</v>
      </c>
      <c r="AO26" s="69">
        <v>279.62224438985186</v>
      </c>
      <c r="AP26" s="69">
        <v>90.387220720450088</v>
      </c>
      <c r="AQ26" s="69">
        <v>644.76057411829629</v>
      </c>
    </row>
    <row r="27" spans="1:43" x14ac:dyDescent="0.25">
      <c r="A27" s="11">
        <v>42358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72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235.85096232891081</v>
      </c>
      <c r="AI27" s="69">
        <v>496.87765274047842</v>
      </c>
      <c r="AJ27" s="69">
        <v>1257.0326870600381</v>
      </c>
      <c r="AK27" s="69">
        <v>197.1158642927806</v>
      </c>
      <c r="AL27" s="69">
        <v>1371.8205298741657</v>
      </c>
      <c r="AM27" s="69">
        <v>1799.8514029184976</v>
      </c>
      <c r="AN27" s="69">
        <v>505.02567210197452</v>
      </c>
      <c r="AO27" s="69">
        <v>272.68042262395221</v>
      </c>
      <c r="AP27" s="69">
        <v>89.880054473876953</v>
      </c>
      <c r="AQ27" s="69">
        <v>636.706213347117</v>
      </c>
    </row>
    <row r="28" spans="1:43" x14ac:dyDescent="0.25">
      <c r="A28" s="11">
        <v>42359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69">
        <v>0</v>
      </c>
      <c r="AE28" s="68">
        <v>0</v>
      </c>
      <c r="AF28" s="68">
        <v>0</v>
      </c>
      <c r="AG28" s="68">
        <v>0</v>
      </c>
      <c r="AH28" s="69">
        <v>251.18102161089575</v>
      </c>
      <c r="AI28" s="69">
        <v>521.22017003695169</v>
      </c>
      <c r="AJ28" s="69">
        <v>1302.8347341537478</v>
      </c>
      <c r="AK28" s="69">
        <v>209.90207367738091</v>
      </c>
      <c r="AL28" s="69">
        <v>1414.4165892283124</v>
      </c>
      <c r="AM28" s="69">
        <v>1851.3813129425052</v>
      </c>
      <c r="AN28" s="69">
        <v>518.45706367492676</v>
      </c>
      <c r="AO28" s="69">
        <v>301.07137099901837</v>
      </c>
      <c r="AP28" s="69">
        <v>89.665163147449491</v>
      </c>
      <c r="AQ28" s="69">
        <v>673.89790684382115</v>
      </c>
    </row>
    <row r="29" spans="1:43" x14ac:dyDescent="0.25">
      <c r="A29" s="11">
        <v>42360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69">
        <v>0</v>
      </c>
      <c r="AE29" s="68">
        <v>0</v>
      </c>
      <c r="AF29" s="68">
        <v>0</v>
      </c>
      <c r="AG29" s="68">
        <v>0</v>
      </c>
      <c r="AH29" s="69">
        <v>250.08829231262206</v>
      </c>
      <c r="AI29" s="69">
        <v>521.36038411458344</v>
      </c>
      <c r="AJ29" s="69">
        <v>1293.710268274943</v>
      </c>
      <c r="AK29" s="69">
        <v>208.98895751635231</v>
      </c>
      <c r="AL29" s="69">
        <v>1405.7403268814087</v>
      </c>
      <c r="AM29" s="69">
        <v>1853.9885147094724</v>
      </c>
      <c r="AN29" s="69">
        <v>539.29017065366099</v>
      </c>
      <c r="AO29" s="69">
        <v>327.44030164082847</v>
      </c>
      <c r="AP29" s="69">
        <v>90.730854558944699</v>
      </c>
      <c r="AQ29" s="69">
        <v>686.69654912948613</v>
      </c>
    </row>
    <row r="30" spans="1:43" x14ac:dyDescent="0.25">
      <c r="A30" s="11">
        <v>42361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69">
        <v>0</v>
      </c>
      <c r="AE30" s="68">
        <v>0</v>
      </c>
      <c r="AF30" s="68">
        <v>0</v>
      </c>
      <c r="AG30" s="68">
        <v>0</v>
      </c>
      <c r="AH30" s="69">
        <v>267.85605630079914</v>
      </c>
      <c r="AI30" s="69">
        <v>544.57354291280114</v>
      </c>
      <c r="AJ30" s="69">
        <v>1336.0558645248416</v>
      </c>
      <c r="AK30" s="69">
        <v>209.39346450964612</v>
      </c>
      <c r="AL30" s="69">
        <v>1453.1392678578695</v>
      </c>
      <c r="AM30" s="69">
        <v>1868.184930038452</v>
      </c>
      <c r="AN30" s="69">
        <v>547.84729172388711</v>
      </c>
      <c r="AO30" s="69">
        <v>363.2423910140991</v>
      </c>
      <c r="AP30" s="69">
        <v>87.770061250527704</v>
      </c>
      <c r="AQ30" s="69">
        <v>696.02146450678515</v>
      </c>
    </row>
    <row r="31" spans="1:43" x14ac:dyDescent="0.25">
      <c r="A31" s="11">
        <v>42362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69">
        <v>0</v>
      </c>
      <c r="AE31" s="68">
        <v>0</v>
      </c>
      <c r="AF31" s="68">
        <v>0</v>
      </c>
      <c r="AG31" s="68">
        <v>0</v>
      </c>
      <c r="AH31" s="69">
        <v>295.04809250831607</v>
      </c>
      <c r="AI31" s="69">
        <v>596.33872418403632</v>
      </c>
      <c r="AJ31" s="69">
        <v>1376.728557332357</v>
      </c>
      <c r="AK31" s="69">
        <v>225.50250242551166</v>
      </c>
      <c r="AL31" s="69">
        <v>1530.8846190134686</v>
      </c>
      <c r="AM31" s="69">
        <v>1878.6333988189699</v>
      </c>
      <c r="AN31" s="69">
        <v>586.81717063585916</v>
      </c>
      <c r="AO31" s="69">
        <v>369.34464847246807</v>
      </c>
      <c r="AP31" s="69">
        <v>90.940340197086329</v>
      </c>
      <c r="AQ31" s="69">
        <v>718.35800199508651</v>
      </c>
    </row>
    <row r="32" spans="1:43" x14ac:dyDescent="0.25">
      <c r="A32" s="11">
        <v>42363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69">
        <v>0</v>
      </c>
      <c r="AE32" s="68">
        <v>0</v>
      </c>
      <c r="AF32" s="68">
        <v>0</v>
      </c>
      <c r="AG32" s="68">
        <v>0</v>
      </c>
      <c r="AH32" s="69">
        <v>304.09447887738548</v>
      </c>
      <c r="AI32" s="69">
        <v>614.03944083849592</v>
      </c>
      <c r="AJ32" s="69">
        <v>1379.5090494155884</v>
      </c>
      <c r="AK32" s="69">
        <v>228.24417091210682</v>
      </c>
      <c r="AL32" s="69">
        <v>1541.6126589457197</v>
      </c>
      <c r="AM32" s="69">
        <v>1828.6225246429444</v>
      </c>
      <c r="AN32" s="69">
        <v>606.20875177383425</v>
      </c>
      <c r="AO32" s="69">
        <v>408.89259338378906</v>
      </c>
      <c r="AP32" s="69">
        <v>96.078103168805441</v>
      </c>
      <c r="AQ32" s="69">
        <v>682.9670812606812</v>
      </c>
    </row>
    <row r="33" spans="1:43" x14ac:dyDescent="0.25">
      <c r="A33" s="11">
        <v>42364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69">
        <v>0</v>
      </c>
      <c r="AE33" s="68">
        <v>0</v>
      </c>
      <c r="AF33" s="68">
        <v>0</v>
      </c>
      <c r="AG33" s="68">
        <v>0</v>
      </c>
      <c r="AH33" s="69">
        <v>334.04381411075599</v>
      </c>
      <c r="AI33" s="69">
        <v>670.86158175468449</v>
      </c>
      <c r="AJ33" s="69">
        <v>1433.594446118673</v>
      </c>
      <c r="AK33" s="69">
        <v>254.34382573763531</v>
      </c>
      <c r="AL33" s="69">
        <v>1598.3118171056112</v>
      </c>
      <c r="AM33" s="69">
        <v>1862.9386698404944</v>
      </c>
      <c r="AN33" s="69">
        <v>661.92345136006679</v>
      </c>
      <c r="AO33" s="69">
        <v>404.16647787094115</v>
      </c>
      <c r="AP33" s="69">
        <v>91.871326474348706</v>
      </c>
      <c r="AQ33" s="69">
        <v>673.93721869786577</v>
      </c>
    </row>
    <row r="34" spans="1:43" x14ac:dyDescent="0.25">
      <c r="A34" s="11">
        <v>42365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69">
        <v>0</v>
      </c>
      <c r="AE34" s="68">
        <v>0</v>
      </c>
      <c r="AF34" s="68">
        <v>0</v>
      </c>
      <c r="AG34" s="68">
        <v>0</v>
      </c>
      <c r="AH34" s="69">
        <v>333.4492643435795</v>
      </c>
      <c r="AI34" s="69">
        <v>676.51167605717978</v>
      </c>
      <c r="AJ34" s="69">
        <v>1433.2328884760536</v>
      </c>
      <c r="AK34" s="69">
        <v>255.05616753896081</v>
      </c>
      <c r="AL34" s="69">
        <v>1580.0097835540771</v>
      </c>
      <c r="AM34" s="69">
        <v>1866.4432933807368</v>
      </c>
      <c r="AN34" s="69">
        <v>662.88748242060342</v>
      </c>
      <c r="AO34" s="69">
        <v>411.59443845748899</v>
      </c>
      <c r="AP34" s="69">
        <v>91.576346794764191</v>
      </c>
      <c r="AQ34" s="69">
        <v>688.64018443425505</v>
      </c>
    </row>
    <row r="35" spans="1:43" x14ac:dyDescent="0.25">
      <c r="A35" s="11">
        <v>42366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69">
        <v>0</v>
      </c>
      <c r="AE35" s="68">
        <v>0</v>
      </c>
      <c r="AF35" s="68">
        <v>0</v>
      </c>
      <c r="AG35" s="68">
        <v>0</v>
      </c>
      <c r="AH35" s="69">
        <v>313.68502024809516</v>
      </c>
      <c r="AI35" s="69">
        <v>642.25533831914254</v>
      </c>
      <c r="AJ35" s="69">
        <v>1405.6606701532999</v>
      </c>
      <c r="AK35" s="69">
        <v>259.51621296405796</v>
      </c>
      <c r="AL35" s="69">
        <v>1572.617612520854</v>
      </c>
      <c r="AM35" s="69">
        <v>2010.4350874582922</v>
      </c>
      <c r="AN35" s="69">
        <v>638.91627527872708</v>
      </c>
      <c r="AO35" s="69">
        <v>399.51675450007122</v>
      </c>
      <c r="AP35" s="69">
        <v>123.45893595218658</v>
      </c>
      <c r="AQ35" s="69">
        <v>702.90573301315305</v>
      </c>
    </row>
    <row r="36" spans="1:43" x14ac:dyDescent="0.25">
      <c r="A36" s="11">
        <v>42367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0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0</v>
      </c>
      <c r="AC36" s="69">
        <v>0</v>
      </c>
      <c r="AD36" s="69">
        <v>0</v>
      </c>
      <c r="AE36" s="68">
        <v>0</v>
      </c>
      <c r="AF36" s="68">
        <v>0</v>
      </c>
      <c r="AG36" s="68">
        <v>0</v>
      </c>
      <c r="AH36" s="69">
        <v>303.38820731639856</v>
      </c>
      <c r="AI36" s="69">
        <v>629.63491551081347</v>
      </c>
      <c r="AJ36" s="69">
        <v>1425.4326666514078</v>
      </c>
      <c r="AK36" s="69">
        <v>273.21796956062315</v>
      </c>
      <c r="AL36" s="69">
        <v>1580.2226409912109</v>
      </c>
      <c r="AM36" s="69">
        <v>1993.9544776916503</v>
      </c>
      <c r="AN36" s="69">
        <v>613.09167022705083</v>
      </c>
      <c r="AO36" s="69">
        <v>406.5690118471781</v>
      </c>
      <c r="AP36" s="69">
        <v>141.29945755004883</v>
      </c>
      <c r="AQ36" s="69">
        <v>725.52861267725632</v>
      </c>
    </row>
    <row r="37" spans="1:43" x14ac:dyDescent="0.25">
      <c r="A37" s="11">
        <v>42368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0</v>
      </c>
      <c r="J37" s="60">
        <v>0</v>
      </c>
      <c r="K37" s="60">
        <v>0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0</v>
      </c>
      <c r="V37" s="62">
        <v>0</v>
      </c>
      <c r="W37" s="62">
        <v>0</v>
      </c>
      <c r="X37" s="62">
        <v>0</v>
      </c>
      <c r="Y37" s="66">
        <v>0</v>
      </c>
      <c r="Z37" s="66">
        <v>0</v>
      </c>
      <c r="AA37" s="67">
        <v>0</v>
      </c>
      <c r="AB37" s="68">
        <v>0</v>
      </c>
      <c r="AC37" s="69">
        <v>0</v>
      </c>
      <c r="AD37" s="69">
        <v>0</v>
      </c>
      <c r="AE37" s="68">
        <v>0</v>
      </c>
      <c r="AF37" s="68">
        <v>0</v>
      </c>
      <c r="AG37" s="68">
        <v>0</v>
      </c>
      <c r="AH37" s="69">
        <v>309.06011174519858</v>
      </c>
      <c r="AI37" s="69">
        <v>639.73582932154341</v>
      </c>
      <c r="AJ37" s="69">
        <v>1432.015996615092</v>
      </c>
      <c r="AK37" s="69">
        <v>275.02415932814284</v>
      </c>
      <c r="AL37" s="69">
        <v>1589.5143192927044</v>
      </c>
      <c r="AM37" s="69">
        <v>1962.4068246205643</v>
      </c>
      <c r="AN37" s="69">
        <v>627.84104379018129</v>
      </c>
      <c r="AO37" s="69">
        <v>398.84689763387041</v>
      </c>
      <c r="AP37" s="69">
        <v>102.91218283971151</v>
      </c>
      <c r="AQ37" s="69">
        <v>745.65067192713389</v>
      </c>
    </row>
    <row r="38" spans="1:43" ht="15.75" thickBot="1" x14ac:dyDescent="0.3">
      <c r="A38" s="11">
        <v>42369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0</v>
      </c>
      <c r="J38" s="74">
        <v>0</v>
      </c>
      <c r="K38" s="74">
        <v>0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0</v>
      </c>
      <c r="V38" s="80">
        <v>0</v>
      </c>
      <c r="W38" s="81">
        <v>0</v>
      </c>
      <c r="X38" s="81">
        <v>0</v>
      </c>
      <c r="Y38" s="80">
        <v>0</v>
      </c>
      <c r="Z38" s="80">
        <v>0</v>
      </c>
      <c r="AA38" s="82">
        <v>0</v>
      </c>
      <c r="AB38" s="83">
        <v>0</v>
      </c>
      <c r="AC38" s="84">
        <v>0</v>
      </c>
      <c r="AD38" s="85">
        <v>0</v>
      </c>
      <c r="AE38" s="83">
        <v>0</v>
      </c>
      <c r="AF38" s="83">
        <v>0</v>
      </c>
      <c r="AG38" s="83">
        <v>0</v>
      </c>
      <c r="AH38" s="84">
        <v>308.78663601080575</v>
      </c>
      <c r="AI38" s="84">
        <v>640.57616105079649</v>
      </c>
      <c r="AJ38" s="84">
        <v>1423.9960953394568</v>
      </c>
      <c r="AK38" s="84">
        <v>276.87841331958771</v>
      </c>
      <c r="AL38" s="84">
        <v>1584.7076641082765</v>
      </c>
      <c r="AM38" s="84">
        <v>1970.8784196217857</v>
      </c>
      <c r="AN38" s="84">
        <v>625.80937937100737</v>
      </c>
      <c r="AO38" s="84">
        <v>397.15307534535725</v>
      </c>
      <c r="AP38" s="84">
        <v>94.270299911499023</v>
      </c>
      <c r="AQ38" s="84">
        <v>717.80583012898762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0</v>
      </c>
      <c r="V39" s="264">
        <f t="shared" si="0"/>
        <v>0</v>
      </c>
      <c r="W39" s="264">
        <f t="shared" si="0"/>
        <v>0</v>
      </c>
      <c r="X39" s="264">
        <f t="shared" si="0"/>
        <v>0</v>
      </c>
      <c r="Y39" s="264">
        <f t="shared" si="0"/>
        <v>0</v>
      </c>
      <c r="Z39" s="264">
        <f t="shared" si="0"/>
        <v>0</v>
      </c>
      <c r="AA39" s="272">
        <f t="shared" si="0"/>
        <v>0</v>
      </c>
      <c r="AB39" s="275">
        <f t="shared" si="0"/>
        <v>0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8462.8976351817473</v>
      </c>
      <c r="AI39" s="275">
        <f t="shared" si="1"/>
        <v>16965.362865670526</v>
      </c>
      <c r="AJ39" s="275">
        <f t="shared" si="1"/>
        <v>41542.204386901853</v>
      </c>
      <c r="AK39" s="275">
        <f t="shared" si="1"/>
        <v>6776.7254744052889</v>
      </c>
      <c r="AL39" s="275">
        <f t="shared" si="1"/>
        <v>45508.919131406154</v>
      </c>
      <c r="AM39" s="275">
        <f t="shared" si="1"/>
        <v>59016.945616277066</v>
      </c>
      <c r="AN39" s="275">
        <f t="shared" si="1"/>
        <v>16863.268768183392</v>
      </c>
      <c r="AO39" s="275">
        <f t="shared" si="1"/>
        <v>11261.049877627691</v>
      </c>
      <c r="AP39" s="275">
        <f t="shared" si="1"/>
        <v>3120.5846703211464</v>
      </c>
      <c r="AQ39" s="275">
        <f t="shared" si="1"/>
        <v>21372.828229204821</v>
      </c>
    </row>
    <row r="40" spans="1:43" ht="15.75" thickBot="1" x14ac:dyDescent="0.3">
      <c r="A40" s="47" t="s">
        <v>174</v>
      </c>
      <c r="B40" s="32">
        <f>Projection!$AD$30</f>
        <v>0.80583665399999982</v>
      </c>
      <c r="C40" s="33">
        <f>Projection!$AD$28</f>
        <v>1.2134866799999999</v>
      </c>
      <c r="D40" s="33">
        <f>Projection!$AD$31</f>
        <v>2.3118479999999999</v>
      </c>
      <c r="E40" s="33">
        <f>Projection!$AD$26</f>
        <v>4.3368000000000002</v>
      </c>
      <c r="F40" s="33">
        <f>Projection!$AC$23</f>
        <v>0</v>
      </c>
      <c r="G40" s="33">
        <f>Projection!$AD$24</f>
        <v>5.7325000000000001E-2</v>
      </c>
      <c r="H40" s="34">
        <f>Projection!$AD$29</f>
        <v>3.6159737999999999</v>
      </c>
      <c r="I40" s="32">
        <f>Projection!$AD$30</f>
        <v>0.80583665399999982</v>
      </c>
      <c r="J40" s="33">
        <f>Projection!$AD$28</f>
        <v>1.2134866799999999</v>
      </c>
      <c r="K40" s="33">
        <f>Projection!$AD$26</f>
        <v>4.3368000000000002</v>
      </c>
      <c r="L40" s="33">
        <f>Projection!$AD$25</f>
        <v>0</v>
      </c>
      <c r="M40" s="33">
        <f>Projection!$AC$23</f>
        <v>0</v>
      </c>
      <c r="N40" s="34">
        <f>Projection!$AC$23</f>
        <v>0</v>
      </c>
      <c r="O40" s="266">
        <v>15.77</v>
      </c>
      <c r="P40" s="267">
        <v>15.77</v>
      </c>
      <c r="Q40" s="267">
        <v>15.77</v>
      </c>
      <c r="R40" s="267">
        <v>15.77</v>
      </c>
      <c r="S40" s="267">
        <f>Projection!$AD$28</f>
        <v>1.2134866799999999</v>
      </c>
      <c r="T40" s="268">
        <f>Projection!$AD$28</f>
        <v>1.2134866799999999</v>
      </c>
      <c r="U40" s="266">
        <f>Projection!$AD$27</f>
        <v>0.23649999999999999</v>
      </c>
      <c r="V40" s="267">
        <f>Projection!$AD$27</f>
        <v>0.23649999999999999</v>
      </c>
      <c r="W40" s="267">
        <f>Projection!$AD$22</f>
        <v>1.1599999999999999</v>
      </c>
      <c r="X40" s="267">
        <f>Projection!$AD$22</f>
        <v>1.1599999999999999</v>
      </c>
      <c r="Y40" s="267">
        <f>Projection!$AD$31</f>
        <v>2.3118479999999999</v>
      </c>
      <c r="Z40" s="267">
        <f>Projection!$AD$31</f>
        <v>2.3118479999999999</v>
      </c>
      <c r="AA40" s="273">
        <v>0</v>
      </c>
      <c r="AB40" s="276">
        <f>Projection!$AD$27</f>
        <v>0.23649999999999999</v>
      </c>
      <c r="AC40" s="276">
        <f>Projection!$AD$30</f>
        <v>0.80583665399999982</v>
      </c>
      <c r="AD40" s="279">
        <f>SUM(AD8:AD38)</f>
        <v>0</v>
      </c>
      <c r="AE40" s="279">
        <f>SUM(AE8:AE38)</f>
        <v>0</v>
      </c>
      <c r="AF40" s="279">
        <f>SUM(AF8:AF38)</f>
        <v>0</v>
      </c>
      <c r="AG40" s="279">
        <v>0</v>
      </c>
      <c r="AH40" s="315">
        <v>6.2E-2</v>
      </c>
      <c r="AI40" s="315">
        <f t="shared" ref="AI40:AQ40" si="2">$AH$40</f>
        <v>6.2E-2</v>
      </c>
      <c r="AJ40" s="315">
        <f t="shared" si="2"/>
        <v>6.2E-2</v>
      </c>
      <c r="AK40" s="315">
        <f t="shared" si="2"/>
        <v>6.2E-2</v>
      </c>
      <c r="AL40" s="315">
        <f t="shared" si="2"/>
        <v>6.2E-2</v>
      </c>
      <c r="AM40" s="315">
        <f t="shared" si="2"/>
        <v>6.2E-2</v>
      </c>
      <c r="AN40" s="315">
        <f t="shared" si="2"/>
        <v>6.2E-2</v>
      </c>
      <c r="AO40" s="315">
        <f t="shared" si="2"/>
        <v>6.2E-2</v>
      </c>
      <c r="AP40" s="315">
        <f t="shared" si="2"/>
        <v>6.2E-2</v>
      </c>
      <c r="AQ40" s="315">
        <f t="shared" si="2"/>
        <v>6.2E-2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0</v>
      </c>
      <c r="V41" s="270">
        <f t="shared" si="3"/>
        <v>0</v>
      </c>
      <c r="W41" s="270">
        <f t="shared" si="3"/>
        <v>0</v>
      </c>
      <c r="X41" s="270">
        <f t="shared" si="3"/>
        <v>0</v>
      </c>
      <c r="Y41" s="270">
        <f t="shared" si="3"/>
        <v>0</v>
      </c>
      <c r="Z41" s="270">
        <f t="shared" si="3"/>
        <v>0</v>
      </c>
      <c r="AA41" s="274">
        <f t="shared" si="3"/>
        <v>0</v>
      </c>
      <c r="AB41" s="277">
        <f t="shared" si="3"/>
        <v>0</v>
      </c>
      <c r="AC41" s="277">
        <f t="shared" si="3"/>
        <v>0</v>
      </c>
      <c r="AH41" s="280">
        <f t="shared" ref="AH41:AQ41" si="4">AH40*AH39</f>
        <v>524.69965338126838</v>
      </c>
      <c r="AI41" s="280">
        <f t="shared" si="4"/>
        <v>1051.8524976715726</v>
      </c>
      <c r="AJ41" s="280">
        <f t="shared" si="4"/>
        <v>2575.6166719879147</v>
      </c>
      <c r="AK41" s="280">
        <f t="shared" si="4"/>
        <v>420.15697941312789</v>
      </c>
      <c r="AL41" s="280">
        <f t="shared" si="4"/>
        <v>2821.5529861471814</v>
      </c>
      <c r="AM41" s="280">
        <f t="shared" si="4"/>
        <v>3659.0506282091778</v>
      </c>
      <c r="AN41" s="280">
        <f t="shared" si="4"/>
        <v>1045.5226636273703</v>
      </c>
      <c r="AO41" s="280">
        <f t="shared" si="4"/>
        <v>698.18509241291679</v>
      </c>
      <c r="AP41" s="280">
        <f t="shared" si="4"/>
        <v>193.47624955991108</v>
      </c>
      <c r="AQ41" s="280">
        <f t="shared" si="4"/>
        <v>1325.1153502106988</v>
      </c>
    </row>
    <row r="42" spans="1:43" ht="49.5" customHeight="1" thickTop="1" thickBot="1" x14ac:dyDescent="0.3">
      <c r="A42" s="561" t="s">
        <v>234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980.31</v>
      </c>
      <c r="AI42" s="280" t="s">
        <v>199</v>
      </c>
      <c r="AJ42" s="280">
        <v>3029.48</v>
      </c>
      <c r="AK42" s="280">
        <v>1002.09</v>
      </c>
      <c r="AL42" s="280">
        <v>1588.37</v>
      </c>
      <c r="AM42" s="280">
        <v>6996.72</v>
      </c>
      <c r="AN42" s="280">
        <v>1644.92</v>
      </c>
      <c r="AO42" s="280" t="s">
        <v>199</v>
      </c>
      <c r="AP42" s="280">
        <v>266.12</v>
      </c>
      <c r="AQ42" s="280">
        <v>766.01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0</v>
      </c>
      <c r="C44" s="12"/>
      <c r="D44" s="284" t="s">
        <v>135</v>
      </c>
      <c r="E44" s="285">
        <f>SUM(B41:H41)+P41+R41+T41+V41+X41+Z41</f>
        <v>0</v>
      </c>
      <c r="F44" s="12"/>
      <c r="G44" s="284" t="s">
        <v>135</v>
      </c>
      <c r="H44" s="285">
        <f>SUM(I41:N41)+O41+Q41+S41+U41+W41+Y41</f>
        <v>0</v>
      </c>
      <c r="I44" s="12"/>
      <c r="J44" s="284" t="s">
        <v>200</v>
      </c>
      <c r="K44" s="285"/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14315.228772621143</v>
      </c>
      <c r="C45" s="12"/>
      <c r="D45" s="286" t="s">
        <v>185</v>
      </c>
      <c r="E45" s="287">
        <f>AH41*(1-$AG$40)+AI41+AJ41*0.5+AL41+AM41*(1-$AG$40)+AN41*(1-$AG$40)+AO41*(1-$AG$40)+AP41*0.5+AQ41*0.5</f>
        <v>11847.967657328749</v>
      </c>
      <c r="F45" s="24"/>
      <c r="G45" s="286" t="s">
        <v>185</v>
      </c>
      <c r="H45" s="287">
        <f>AH41*AG40+AJ41*0.5+AK41+AM41*AG40+AN41*AG40+AO41*AG40+AP41*0.5+AQ41*0.5</f>
        <v>2467.2611152923901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0</v>
      </c>
      <c r="U45" s="258">
        <f>(T45*8.34*0.895)/27000</f>
        <v>0</v>
      </c>
    </row>
    <row r="46" spans="1:43" ht="32.25" thickBot="1" x14ac:dyDescent="0.3">
      <c r="A46" s="288" t="s">
        <v>186</v>
      </c>
      <c r="B46" s="289">
        <f>SUM(AH42:AQ42)</f>
        <v>16274.020000000002</v>
      </c>
      <c r="C46" s="12"/>
      <c r="D46" s="288" t="s">
        <v>186</v>
      </c>
      <c r="E46" s="289">
        <f>AH42*(1-$AG$40)+AJ42*0.5+AL42+AM42*(1-$AG$40)+AN42*(1-$AG$40)+AP42*0.5+AQ42*0.5</f>
        <v>13241.124999999998</v>
      </c>
      <c r="F46" s="23"/>
      <c r="G46" s="288" t="s">
        <v>186</v>
      </c>
      <c r="H46" s="289">
        <f>AH42*AG40+AJ42*0.5+AK42+AM42*AG40+AN42*AG40+AP42*0.5+AQ42*0.5</f>
        <v>3032.895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0</v>
      </c>
      <c r="C47" s="12"/>
      <c r="D47" s="288" t="s">
        <v>189</v>
      </c>
      <c r="E47" s="289">
        <f>K44*0.5</f>
        <v>0</v>
      </c>
      <c r="F47" s="24"/>
      <c r="G47" s="288" t="s">
        <v>187</v>
      </c>
      <c r="H47" s="289">
        <f>K44*0.5</f>
        <v>0</v>
      </c>
      <c r="I47" s="12"/>
      <c r="J47" s="284" t="s">
        <v>200</v>
      </c>
      <c r="K47" s="285"/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0</v>
      </c>
      <c r="C48" s="12"/>
      <c r="D48" s="288" t="s">
        <v>188</v>
      </c>
      <c r="E48" s="289">
        <f>K47*0.5</f>
        <v>0</v>
      </c>
      <c r="F48" s="23"/>
      <c r="G48" s="288" t="s">
        <v>188</v>
      </c>
      <c r="H48" s="289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0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0</v>
      </c>
      <c r="U49" s="258">
        <f>(T49*8.34*1.04)/45000</f>
        <v>0</v>
      </c>
    </row>
    <row r="50" spans="1:25" ht="48" thickTop="1" thickBot="1" x14ac:dyDescent="0.3">
      <c r="A50" s="293" t="s">
        <v>192</v>
      </c>
      <c r="B50" s="295" t="e">
        <f>(SUM(B44:B48)/AD40)</f>
        <v>#DIV/0!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 t="e">
        <f>SUM(H44:H48)/AE40</f>
        <v>#DIV/0!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0</v>
      </c>
      <c r="U50" s="258">
        <f>T50/2000/8</f>
        <v>0</v>
      </c>
    </row>
    <row r="51" spans="1:25" ht="48" thickTop="1" thickBot="1" x14ac:dyDescent="0.3">
      <c r="A51" s="283" t="s">
        <v>193</v>
      </c>
      <c r="B51" s="296" t="e">
        <f>B50/1000</f>
        <v>#DIV/0!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 t="e">
        <f>H50/1000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0</v>
      </c>
      <c r="U51" s="258">
        <f>(T51*8.34*1.4)/45000</f>
        <v>0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0</v>
      </c>
      <c r="U52" s="258">
        <f>(T52*8.34*1.135)/45000</f>
        <v>0</v>
      </c>
    </row>
    <row r="53" spans="1:25" ht="33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0</v>
      </c>
      <c r="U53" s="258">
        <f>(T53*8.34*1.029*0.03)/3300</f>
        <v>0</v>
      </c>
    </row>
    <row r="54" spans="1:25" ht="54.75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96"/>
      <c r="T54" s="329">
        <f>$D$39+$Y$39+$Z$39</f>
        <v>0</v>
      </c>
      <c r="U54" s="330">
        <f>(T54*1.54*8.34)/45000</f>
        <v>0</v>
      </c>
      <c r="V54" s="328"/>
      <c r="W54" s="12"/>
      <c r="X54" s="12"/>
      <c r="Y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32"/>
      <c r="T55" s="554"/>
      <c r="U55" s="554"/>
      <c r="V55" s="326"/>
      <c r="W55" s="327"/>
      <c r="X55" s="325"/>
      <c r="Y55" s="325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5"/>
      <c r="T56" s="595"/>
      <c r="U56" s="595"/>
      <c r="V56" s="326"/>
      <c r="W56" s="327"/>
      <c r="X56" s="325"/>
      <c r="Y56" s="325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5"/>
      <c r="T57" s="595"/>
      <c r="U57" s="595"/>
      <c r="V57" s="326"/>
      <c r="W57" s="327"/>
      <c r="X57" s="325"/>
      <c r="Y57" s="325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5"/>
      <c r="T58" s="595"/>
      <c r="U58" s="595"/>
      <c r="V58" s="326"/>
      <c r="W58" s="327"/>
      <c r="X58" s="325"/>
      <c r="Y58" s="325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5"/>
      <c r="T59" s="595"/>
      <c r="U59" s="595"/>
      <c r="V59" s="326"/>
      <c r="W59" s="327"/>
      <c r="X59" s="325"/>
      <c r="Y59" s="325"/>
    </row>
    <row r="60" spans="1:25" x14ac:dyDescent="0.25">
      <c r="S60" s="325"/>
      <c r="T60" s="595"/>
      <c r="U60" s="595"/>
      <c r="V60" s="326"/>
      <c r="W60" s="327"/>
      <c r="X60" s="325"/>
      <c r="Y60" s="325"/>
    </row>
    <row r="61" spans="1:25" x14ac:dyDescent="0.25">
      <c r="S61" s="325"/>
      <c r="T61" s="595"/>
      <c r="U61" s="595"/>
      <c r="V61" s="326"/>
      <c r="W61" s="327"/>
      <c r="X61" s="325"/>
      <c r="Y61" s="325"/>
    </row>
    <row r="62" spans="1:25" x14ac:dyDescent="0.25">
      <c r="S62" s="325"/>
      <c r="T62" s="595"/>
      <c r="U62" s="595"/>
      <c r="V62" s="326"/>
      <c r="W62" s="327"/>
      <c r="X62" s="325"/>
      <c r="Y62" s="325"/>
    </row>
    <row r="63" spans="1:25" x14ac:dyDescent="0.25">
      <c r="S63" s="325"/>
      <c r="T63" s="325"/>
      <c r="U63" s="325"/>
      <c r="V63" s="325"/>
      <c r="W63" s="325"/>
      <c r="X63" s="325"/>
      <c r="Y63" s="325"/>
    </row>
    <row r="64" spans="1:25" x14ac:dyDescent="0.25">
      <c r="S64" s="325"/>
      <c r="T64" s="325"/>
      <c r="U64" s="325"/>
      <c r="V64" s="325"/>
      <c r="W64" s="325"/>
      <c r="X64" s="325"/>
      <c r="Y64" s="325"/>
    </row>
    <row r="65" spans="19:25" x14ac:dyDescent="0.25">
      <c r="S65" s="325"/>
      <c r="T65" s="325"/>
      <c r="U65" s="325"/>
      <c r="V65" s="325"/>
      <c r="W65" s="325"/>
      <c r="X65" s="325"/>
      <c r="Y65" s="325"/>
    </row>
  </sheetData>
  <sheetProtection algorithmName="SHA-512" hashValue="6qeTNbx/cHpVueVym07rdn7jH9u29sqB2Ap9Iepdq1/dJY3PlozXV71nuSRPKUagxSrDAD6J2PRo0jiGAsmtYQ==" saltValue="+tcz6VC4odVAErGi42qtzQ==" spinCount="100000" sheet="1" objects="1" scenarios="1" selectLockedCells="1" selectUnlockedCells="1"/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scale="5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tabSelected="1" zoomScale="80" zoomScaleNormal="80" workbookViewId="0">
      <selection activeCell="E41" sqref="E41"/>
    </sheetView>
  </sheetViews>
  <sheetFormatPr defaultRowHeight="15" x14ac:dyDescent="0.25"/>
  <cols>
    <col min="1" max="1" width="10.140625" customWidth="1"/>
    <col min="2" max="2" width="25.5703125" bestFit="1" customWidth="1"/>
    <col min="3" max="3" width="9.85546875" customWidth="1"/>
    <col min="4" max="4" width="10" customWidth="1"/>
    <col min="5" max="5" width="11.140625" customWidth="1"/>
    <col min="6" max="9" width="8.7109375" customWidth="1"/>
    <col min="10" max="10" width="9.85546875" customWidth="1"/>
    <col min="11" max="11" width="9.28515625" bestFit="1" customWidth="1"/>
    <col min="12" max="25" width="8.7109375" customWidth="1"/>
    <col min="26" max="26" width="10.140625" customWidth="1"/>
    <col min="27" max="31" width="8.7109375" customWidth="1"/>
    <col min="32" max="32" width="10.140625" customWidth="1"/>
    <col min="33" max="34" width="8.7109375" customWidth="1"/>
  </cols>
  <sheetData>
    <row r="1" spans="1:34" ht="28.5" customHeight="1" thickTop="1" thickBot="1" x14ac:dyDescent="0.3">
      <c r="A1" s="413">
        <v>2015</v>
      </c>
      <c r="B1" s="414"/>
      <c r="C1" s="378" t="s">
        <v>89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80"/>
      <c r="W1" s="380"/>
      <c r="X1" s="380"/>
      <c r="Y1" s="380"/>
      <c r="Z1" s="380"/>
      <c r="AA1" s="380"/>
      <c r="AB1" s="380"/>
      <c r="AC1" s="379"/>
      <c r="AD1" s="379"/>
      <c r="AE1" s="379"/>
      <c r="AF1" s="379"/>
      <c r="AG1" s="379"/>
      <c r="AH1" s="381"/>
    </row>
    <row r="2" spans="1:34" ht="28.5" customHeight="1" thickTop="1" thickBot="1" x14ac:dyDescent="0.3">
      <c r="A2" s="382"/>
      <c r="B2" s="383"/>
      <c r="C2" s="389" t="s">
        <v>66</v>
      </c>
      <c r="D2" s="390"/>
      <c r="E2" s="390"/>
      <c r="F2" s="390"/>
      <c r="G2" s="390"/>
      <c r="H2" s="390"/>
      <c r="I2" s="391"/>
      <c r="J2" s="392" t="s">
        <v>71</v>
      </c>
      <c r="K2" s="393"/>
      <c r="L2" s="393"/>
      <c r="M2" s="393"/>
      <c r="N2" s="393"/>
      <c r="O2" s="394"/>
      <c r="P2" s="395" t="s">
        <v>73</v>
      </c>
      <c r="Q2" s="396"/>
      <c r="R2" s="396"/>
      <c r="S2" s="396"/>
      <c r="T2" s="396"/>
      <c r="U2" s="397"/>
      <c r="V2" s="398" t="s">
        <v>82</v>
      </c>
      <c r="W2" s="399"/>
      <c r="X2" s="399"/>
      <c r="Y2" s="399"/>
      <c r="Z2" s="399"/>
      <c r="AA2" s="399"/>
      <c r="AB2" s="400"/>
      <c r="AC2" s="401" t="s">
        <v>83</v>
      </c>
      <c r="AD2" s="402"/>
      <c r="AE2" s="386" t="s">
        <v>85</v>
      </c>
      <c r="AF2" s="387"/>
      <c r="AG2" s="387"/>
      <c r="AH2" s="388"/>
    </row>
    <row r="3" spans="1:34" ht="119.25" customHeight="1" thickBot="1" x14ac:dyDescent="0.3">
      <c r="A3" s="384"/>
      <c r="B3" s="385"/>
      <c r="C3" s="228" t="s">
        <v>67</v>
      </c>
      <c r="D3" s="228" t="s">
        <v>68</v>
      </c>
      <c r="E3" s="228" t="s">
        <v>11</v>
      </c>
      <c r="F3" s="228" t="s">
        <v>12</v>
      </c>
      <c r="G3" s="228" t="s">
        <v>13</v>
      </c>
      <c r="H3" s="228" t="s">
        <v>69</v>
      </c>
      <c r="I3" s="229" t="s">
        <v>70</v>
      </c>
      <c r="J3" s="230" t="s">
        <v>67</v>
      </c>
      <c r="K3" s="230" t="s">
        <v>72</v>
      </c>
      <c r="L3" s="231" t="s">
        <v>17</v>
      </c>
      <c r="M3" s="230" t="s">
        <v>18</v>
      </c>
      <c r="N3" s="230" t="s">
        <v>19</v>
      </c>
      <c r="O3" s="230" t="s">
        <v>13</v>
      </c>
      <c r="P3" s="232" t="s">
        <v>35</v>
      </c>
      <c r="Q3" s="233" t="s">
        <v>36</v>
      </c>
      <c r="R3" s="232" t="s">
        <v>74</v>
      </c>
      <c r="S3" s="232" t="s">
        <v>75</v>
      </c>
      <c r="T3" s="232" t="s">
        <v>76</v>
      </c>
      <c r="U3" s="232" t="s">
        <v>77</v>
      </c>
      <c r="V3" s="234" t="s">
        <v>78</v>
      </c>
      <c r="W3" s="234" t="s">
        <v>79</v>
      </c>
      <c r="X3" s="234" t="s">
        <v>80</v>
      </c>
      <c r="Y3" s="234" t="s">
        <v>81</v>
      </c>
      <c r="Z3" s="234" t="s">
        <v>45</v>
      </c>
      <c r="AA3" s="234" t="s">
        <v>46</v>
      </c>
      <c r="AB3" s="234" t="s">
        <v>20</v>
      </c>
      <c r="AC3" s="235" t="s">
        <v>7</v>
      </c>
      <c r="AD3" s="236" t="s">
        <v>84</v>
      </c>
      <c r="AE3" s="237" t="s">
        <v>27</v>
      </c>
      <c r="AF3" s="237" t="s">
        <v>31</v>
      </c>
      <c r="AG3" s="237" t="s">
        <v>32</v>
      </c>
      <c r="AH3" s="238" t="s">
        <v>33</v>
      </c>
    </row>
    <row r="4" spans="1:34" ht="15.75" customHeight="1" thickTop="1" x14ac:dyDescent="0.25">
      <c r="A4" s="410" t="s">
        <v>86</v>
      </c>
      <c r="B4" s="89" t="s">
        <v>52</v>
      </c>
      <c r="C4" s="101">
        <f>JANUARY!B39</f>
        <v>0</v>
      </c>
      <c r="D4" s="101">
        <f>JANUARY!C39</f>
        <v>1136.6985269387546</v>
      </c>
      <c r="E4" s="101">
        <f>JANUARY!D39</f>
        <v>13722.127092093237</v>
      </c>
      <c r="F4" s="101">
        <f>JANUARY!E39</f>
        <v>193.16969372232751</v>
      </c>
      <c r="G4" s="101">
        <f>JANUARY!F39</f>
        <v>0</v>
      </c>
      <c r="H4" s="101">
        <f>JANUARY!G39</f>
        <v>51573.667943890774</v>
      </c>
      <c r="I4" s="101">
        <f>JANUARY!H39</f>
        <v>811.42009836634099</v>
      </c>
      <c r="J4" s="101">
        <f>JANUARY!I39</f>
        <v>7256.4035043954764</v>
      </c>
      <c r="K4" s="101">
        <f>JANUARY!J39</f>
        <v>16462.415831454589</v>
      </c>
      <c r="L4" s="239">
        <f>JANUARY!K39</f>
        <v>905.66951889594304</v>
      </c>
      <c r="M4" s="101">
        <f>JANUARY!L39</f>
        <v>0</v>
      </c>
      <c r="N4" s="101">
        <f>JANUARY!M39</f>
        <v>0</v>
      </c>
      <c r="O4" s="101">
        <f>JANUARY!N39</f>
        <v>0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46473.157416876158</v>
      </c>
      <c r="W4" s="101">
        <f>JANUARY!V39</f>
        <v>11572.774161982459</v>
      </c>
      <c r="X4" s="101">
        <f>JANUARY!W39</f>
        <v>786.23911493718788</v>
      </c>
      <c r="Y4" s="101">
        <f>JANUARY!X39</f>
        <v>195.74086347718887</v>
      </c>
      <c r="Z4" s="101">
        <f>JANUARY!Y39</f>
        <v>6091.1608019893411</v>
      </c>
      <c r="AA4" s="101">
        <f>JANUARY!Z39</f>
        <v>1501.9920271252549</v>
      </c>
      <c r="AB4" s="101">
        <f>JANUARY!AA39</f>
        <v>0</v>
      </c>
      <c r="AC4" s="102">
        <f>JANUARY!AB39</f>
        <v>1000.5404392785532</v>
      </c>
      <c r="AD4" s="102">
        <f>JANUARY!AC39</f>
        <v>0</v>
      </c>
      <c r="AE4" s="240">
        <f>JANUARY!AD40</f>
        <v>403.51794011592864</v>
      </c>
      <c r="AF4" s="240">
        <f>JANUARY!AE40</f>
        <v>318.537127218443</v>
      </c>
      <c r="AG4" s="240">
        <f>JANUARY!AF40</f>
        <v>79.193870803727094</v>
      </c>
      <c r="AH4" s="241">
        <f>JANUARY!AG40</f>
        <v>0.80088584697310239</v>
      </c>
    </row>
    <row r="5" spans="1:34" ht="15.75" customHeight="1" x14ac:dyDescent="0.25">
      <c r="A5" s="411"/>
      <c r="B5" s="90" t="s">
        <v>53</v>
      </c>
      <c r="C5" s="103">
        <f>FEBRUARY!B39</f>
        <v>0</v>
      </c>
      <c r="D5" s="103">
        <f>FEBRUARY!C39</f>
        <v>1132.194460336367</v>
      </c>
      <c r="E5" s="103">
        <f>FEBRUARY!D39</f>
        <v>13167.194509553914</v>
      </c>
      <c r="F5" s="103">
        <f>FEBRUARY!E39</f>
        <v>197.40234364320807</v>
      </c>
      <c r="G5" s="103">
        <f>FEBRUARY!F39</f>
        <v>0</v>
      </c>
      <c r="H5" s="103">
        <f>FEBRUARY!G39</f>
        <v>47093.399299875753</v>
      </c>
      <c r="I5" s="103">
        <f>FEBRUARY!H39</f>
        <v>685.45917457441521</v>
      </c>
      <c r="J5" s="103">
        <f>FEBRUARY!I39</f>
        <v>6713.7765335877621</v>
      </c>
      <c r="K5" s="103">
        <f>FEBRUARY!J39</f>
        <v>14563.788837687172</v>
      </c>
      <c r="L5" s="104">
        <f>FEBRUARY!K39</f>
        <v>752.76830041408402</v>
      </c>
      <c r="M5" s="103">
        <f>FEBRUARY!L39</f>
        <v>0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38230.736717445143</v>
      </c>
      <c r="W5" s="103">
        <f>FEBRUARY!V39</f>
        <v>11642.558835083948</v>
      </c>
      <c r="X5" s="103">
        <f>FEBRUARY!W39</f>
        <v>647.02942903982341</v>
      </c>
      <c r="Y5" s="103">
        <f>FEBRUARY!X39</f>
        <v>197.04168995075673</v>
      </c>
      <c r="Z5" s="103">
        <f>FEBRUARY!Y39</f>
        <v>4517.0995443721349</v>
      </c>
      <c r="AA5" s="103">
        <f>FEBRUARY!Z39</f>
        <v>1375.7017249604387</v>
      </c>
      <c r="AB5" s="103">
        <f>FEBRUARY!AA39</f>
        <v>0</v>
      </c>
      <c r="AC5" s="105">
        <f>FEBRUARY!AB39</f>
        <v>1100.0697627147013</v>
      </c>
      <c r="AD5" s="105">
        <f>FEBRUARY!AC39</f>
        <v>0</v>
      </c>
      <c r="AE5" s="99">
        <f>FEBRUARY!AD40</f>
        <v>344.64946224888178</v>
      </c>
      <c r="AF5" s="99">
        <f>FEBRUARY!AE40</f>
        <v>260.3213876098207</v>
      </c>
      <c r="AG5" s="99">
        <f>FEBRUARY!AF40</f>
        <v>79.265850260580933</v>
      </c>
      <c r="AH5" s="91">
        <f>FEBRUARY!AG40</f>
        <v>0.5</v>
      </c>
    </row>
    <row r="6" spans="1:34" ht="15.75" customHeight="1" x14ac:dyDescent="0.25">
      <c r="A6" s="411"/>
      <c r="B6" s="90" t="s">
        <v>54</v>
      </c>
      <c r="C6" s="103">
        <f>MARCH!B39</f>
        <v>0</v>
      </c>
      <c r="D6" s="103">
        <f>MARCH!C39</f>
        <v>1301.2993431607881</v>
      </c>
      <c r="E6" s="103">
        <f>MARCH!D39</f>
        <v>15468.905899898215</v>
      </c>
      <c r="F6" s="103">
        <f>MARCH!E39</f>
        <v>217.88684479395528</v>
      </c>
      <c r="G6" s="103">
        <f>MARCH!F39</f>
        <v>0</v>
      </c>
      <c r="H6" s="103">
        <f>MARCH!G39</f>
        <v>55025.832154973192</v>
      </c>
      <c r="I6" s="103">
        <f>MARCH!H39</f>
        <v>694.90900699794315</v>
      </c>
      <c r="J6" s="103">
        <f>MARCH!I39</f>
        <v>7616.8073968489844</v>
      </c>
      <c r="K6" s="103">
        <f>MARCH!J39</f>
        <v>17009.171507263192</v>
      </c>
      <c r="L6" s="104">
        <f>MARCH!K39</f>
        <v>895.45423113703464</v>
      </c>
      <c r="M6" s="103">
        <f>MARCH!L39</f>
        <v>0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12180.950864680086</v>
      </c>
      <c r="W6" s="103">
        <f>MARCH!V39</f>
        <v>3528.4247418143941</v>
      </c>
      <c r="X6" s="103">
        <f>MARCH!W39</f>
        <v>759.50605608995909</v>
      </c>
      <c r="Y6" s="103">
        <f>MARCH!X39</f>
        <v>216.85580253227437</v>
      </c>
      <c r="Z6" s="103">
        <f>MARCH!Y39</f>
        <v>5140.5949273114848</v>
      </c>
      <c r="AA6" s="103">
        <f>MARCH!Z39</f>
        <v>1470.0464817995457</v>
      </c>
      <c r="AB6" s="103">
        <f>MARCH!AA39</f>
        <v>0</v>
      </c>
      <c r="AC6" s="105">
        <f>MARCH!AB39</f>
        <v>1313.0395864566215</v>
      </c>
      <c r="AD6" s="105">
        <f>MARCH!AC39</f>
        <v>0</v>
      </c>
      <c r="AE6" s="99">
        <f>MARCH!AD40</f>
        <v>404.95929047763371</v>
      </c>
      <c r="AF6" s="99">
        <f>MARCH!AE40</f>
        <v>310.17601901357358</v>
      </c>
      <c r="AG6" s="99">
        <f>MARCH!AF40</f>
        <v>88.606996878927404</v>
      </c>
      <c r="AH6" s="91">
        <f>MARCH!AG40</f>
        <v>0.5</v>
      </c>
    </row>
    <row r="7" spans="1:34" ht="15.75" customHeight="1" x14ac:dyDescent="0.25">
      <c r="A7" s="411"/>
      <c r="B7" s="90" t="s">
        <v>55</v>
      </c>
      <c r="C7" s="103">
        <f>APRIL!B39</f>
        <v>0</v>
      </c>
      <c r="D7" s="103">
        <f>APRIL!C39</f>
        <v>1665.069586080315</v>
      </c>
      <c r="E7" s="103">
        <f>APRIL!D39</f>
        <v>13927.971749087175</v>
      </c>
      <c r="F7" s="103">
        <f>APRIL!E39</f>
        <v>196.22094914068757</v>
      </c>
      <c r="G7" s="103">
        <f>APRIL!F39</f>
        <v>0</v>
      </c>
      <c r="H7" s="103">
        <f>APRIL!G39</f>
        <v>57036.906667073526</v>
      </c>
      <c r="I7" s="103">
        <f>APRIL!H39</f>
        <v>658.02308477163331</v>
      </c>
      <c r="J7" s="103">
        <f>APRIL!I39</f>
        <v>8202.9849534908899</v>
      </c>
      <c r="K7" s="103">
        <f>APRIL!J39</f>
        <v>17708.443681081135</v>
      </c>
      <c r="L7" s="104">
        <f>APRIL!K39</f>
        <v>905.71135205626388</v>
      </c>
      <c r="M7" s="103">
        <f>APRIL!L39</f>
        <v>5.6468212604522297E-2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8916.1432958468613</v>
      </c>
      <c r="W7" s="103">
        <f>APRIL!V39</f>
        <v>2204.2943480413946</v>
      </c>
      <c r="X7" s="103">
        <f>APRIL!W39</f>
        <v>796.27975586011769</v>
      </c>
      <c r="Y7" s="103">
        <f>APRIL!X39</f>
        <v>196.12390355512753</v>
      </c>
      <c r="Z7" s="103">
        <f>APRIL!Y39</f>
        <v>6581.5839023620583</v>
      </c>
      <c r="AA7" s="103">
        <f>APRIL!Z39</f>
        <v>1641.0837245195364</v>
      </c>
      <c r="AB7" s="103">
        <f>APRIL!AA39</f>
        <v>0</v>
      </c>
      <c r="AC7" s="105">
        <f>APRIL!AB39</f>
        <v>1335.7824016902155</v>
      </c>
      <c r="AD7" s="105">
        <f>APRIL!AC39</f>
        <v>0</v>
      </c>
      <c r="AE7" s="99">
        <f>APRIL!AD40</f>
        <v>400.55988267991273</v>
      </c>
      <c r="AF7" s="99">
        <f>APRIL!AE40</f>
        <v>316.08022320446133</v>
      </c>
      <c r="AG7" s="99">
        <f>APRIL!AF40</f>
        <v>77.760673286017578</v>
      </c>
      <c r="AH7" s="91">
        <f>APRIL!AG40</f>
        <v>0.5</v>
      </c>
    </row>
    <row r="8" spans="1:34" ht="15.75" customHeight="1" x14ac:dyDescent="0.25">
      <c r="A8" s="411"/>
      <c r="B8" s="90" t="s">
        <v>56</v>
      </c>
      <c r="C8" s="103">
        <f>MAY!B39</f>
        <v>0</v>
      </c>
      <c r="D8" s="103">
        <f>MAY!C39</f>
        <v>2245.5768593013349</v>
      </c>
      <c r="E8" s="103">
        <f>MAY!D39</f>
        <v>17727.932950846363</v>
      </c>
      <c r="F8" s="103">
        <f>MAY!E39</f>
        <v>251.80192873279233</v>
      </c>
      <c r="G8" s="103">
        <f>MAY!F39</f>
        <v>0</v>
      </c>
      <c r="H8" s="103">
        <f>MAY!G39</f>
        <v>66767.978626886921</v>
      </c>
      <c r="I8" s="103">
        <f>MAY!H39</f>
        <v>858.87165476679866</v>
      </c>
      <c r="J8" s="103">
        <f>MAY!I39</f>
        <v>8437.4643633127162</v>
      </c>
      <c r="K8" s="103">
        <f>MAY!J39</f>
        <v>15606.46694639524</v>
      </c>
      <c r="L8" s="104">
        <f>MAY!K39</f>
        <v>796.47637827297103</v>
      </c>
      <c r="M8" s="103">
        <f>MAY!L39</f>
        <v>0.10478038787841865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7950.4452366793748</v>
      </c>
      <c r="W8" s="103">
        <f>MAY!V39</f>
        <v>2997.4397776215187</v>
      </c>
      <c r="X8" s="103">
        <f>MAY!W39</f>
        <v>678.58875080760504</v>
      </c>
      <c r="Y8" s="103">
        <f>MAY!X39</f>
        <v>255.46209737046382</v>
      </c>
      <c r="Z8" s="103">
        <f>MAY!Y39</f>
        <v>5970.5070227962133</v>
      </c>
      <c r="AA8" s="103">
        <f>MAY!Z39</f>
        <v>2257.8564178683914</v>
      </c>
      <c r="AB8" s="103">
        <f>MAY!AA39</f>
        <v>0</v>
      </c>
      <c r="AC8" s="105">
        <f>MAY!AB39</f>
        <v>1134.8343018876089</v>
      </c>
      <c r="AD8" s="105">
        <f>MAY!AC39</f>
        <v>0</v>
      </c>
      <c r="AE8" s="99">
        <f>MAY!AD40</f>
        <v>384.93037114342059</v>
      </c>
      <c r="AF8" s="99">
        <f>MAY!AE40</f>
        <v>275.11492892082055</v>
      </c>
      <c r="AG8" s="99">
        <f>MAY!AF40</f>
        <v>103.22236847272788</v>
      </c>
      <c r="AH8" s="91">
        <f>MAY!AG40</f>
        <v>0.72716840453254228</v>
      </c>
    </row>
    <row r="9" spans="1:34" ht="15.75" customHeight="1" x14ac:dyDescent="0.25">
      <c r="A9" s="411"/>
      <c r="B9" s="90" t="s">
        <v>57</v>
      </c>
      <c r="C9" s="103">
        <f>JUNE!B39</f>
        <v>0</v>
      </c>
      <c r="D9" s="103">
        <f>JUNE!C39</f>
        <v>576.63004583120528</v>
      </c>
      <c r="E9" s="103">
        <f>JUNE!D39</f>
        <v>4271.3500141143877</v>
      </c>
      <c r="F9" s="103">
        <f>JUNE!E39</f>
        <v>68.41679313778863</v>
      </c>
      <c r="G9" s="103">
        <f>JUNE!F39</f>
        <v>0</v>
      </c>
      <c r="H9" s="103">
        <f>JUNE!G39</f>
        <v>15907.740254592833</v>
      </c>
      <c r="I9" s="103">
        <f>JUNE!H39</f>
        <v>225.68077377776308</v>
      </c>
      <c r="J9" s="103">
        <f>JUNE!I39</f>
        <v>15840.489933411271</v>
      </c>
      <c r="K9" s="103">
        <f>JUNE!J39</f>
        <v>28481.114334710441</v>
      </c>
      <c r="L9" s="104">
        <f>JUNE!K39</f>
        <v>1510.3096861104168</v>
      </c>
      <c r="M9" s="103">
        <f>JUNE!L39</f>
        <v>0.16715995073318218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14404.089993071579</v>
      </c>
      <c r="W9" s="103">
        <f>JUNE!V39</f>
        <v>657.20498594970479</v>
      </c>
      <c r="X9" s="103">
        <f>JUNE!W39</f>
        <v>1221.854471125888</v>
      </c>
      <c r="Y9" s="103">
        <f>JUNE!X39</f>
        <v>53.523526498985909</v>
      </c>
      <c r="Z9" s="103">
        <f>JUNE!Y39</f>
        <v>10039.613238237338</v>
      </c>
      <c r="AA9" s="103">
        <f>JUNE!Z39</f>
        <v>458.55986367262437</v>
      </c>
      <c r="AB9" s="103">
        <f>JUNE!AA39</f>
        <v>0</v>
      </c>
      <c r="AC9" s="105">
        <f>JUNE!AB39</f>
        <v>1748.6314325703506</v>
      </c>
      <c r="AD9" s="105">
        <f>JUNE!AC39</f>
        <v>0</v>
      </c>
      <c r="AE9" s="99">
        <f>JUNE!AD40</f>
        <v>554.44661297433913</v>
      </c>
      <c r="AF9" s="99">
        <f>JUNE!AE40</f>
        <v>521.0276226564813</v>
      </c>
      <c r="AG9" s="99">
        <f>JUNE!AF40</f>
        <v>23.720284738378147</v>
      </c>
      <c r="AH9" s="91">
        <f>JUNE!AG40</f>
        <v>0.95645640044435354</v>
      </c>
    </row>
    <row r="10" spans="1:34" ht="15.75" customHeight="1" x14ac:dyDescent="0.25">
      <c r="A10" s="411"/>
      <c r="B10" s="90" t="s">
        <v>58</v>
      </c>
      <c r="C10" s="103">
        <f>JULY!B39</f>
        <v>0</v>
      </c>
      <c r="D10" s="103">
        <f>JULY!C39</f>
        <v>0</v>
      </c>
      <c r="E10" s="103">
        <f>JULY!D39</f>
        <v>0</v>
      </c>
      <c r="F10" s="103">
        <f>JULY!E39</f>
        <v>0</v>
      </c>
      <c r="G10" s="103">
        <f>JULY!F39</f>
        <v>0</v>
      </c>
      <c r="H10" s="103">
        <f>JULY!G39</f>
        <v>0</v>
      </c>
      <c r="I10" s="103">
        <f>JULY!H39</f>
        <v>0</v>
      </c>
      <c r="J10" s="103">
        <f>JULY!I39</f>
        <v>22805.532553931076</v>
      </c>
      <c r="K10" s="103">
        <f>JULY!J39</f>
        <v>40843.454940724376</v>
      </c>
      <c r="L10" s="104">
        <f>JULY!K39</f>
        <v>2234.9101062754803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19504.032216305186</v>
      </c>
      <c r="W10" s="103">
        <f>JULY!V39</f>
        <v>0</v>
      </c>
      <c r="X10" s="103">
        <f>JULY!W39</f>
        <v>1810.0181850632025</v>
      </c>
      <c r="Y10" s="103">
        <f>JULY!X39</f>
        <v>0</v>
      </c>
      <c r="Z10" s="103">
        <f>JULY!Y39</f>
        <v>14749.312842076621</v>
      </c>
      <c r="AA10" s="103">
        <f>JULY!Z39</f>
        <v>0</v>
      </c>
      <c r="AB10" s="103">
        <f>JULY!AA39</f>
        <v>0</v>
      </c>
      <c r="AC10" s="105">
        <f>JULY!AB39</f>
        <v>2724.2571394317656</v>
      </c>
      <c r="AD10" s="105">
        <f>JULY!AC39</f>
        <v>0</v>
      </c>
      <c r="AE10" s="99">
        <f>JULY!AD40</f>
        <v>736.15203989777285</v>
      </c>
      <c r="AF10" s="99">
        <f>JULY!AE40</f>
        <v>725.05132104588756</v>
      </c>
      <c r="AG10" s="99">
        <f>JULY!AF40</f>
        <v>0</v>
      </c>
      <c r="AH10" s="91">
        <f>JULY!AG40</f>
        <v>1</v>
      </c>
    </row>
    <row r="11" spans="1:34" ht="15.75" customHeight="1" x14ac:dyDescent="0.25">
      <c r="A11" s="411"/>
      <c r="B11" s="90" t="s">
        <v>59</v>
      </c>
      <c r="C11" s="103">
        <f>AUGUST!B39</f>
        <v>0</v>
      </c>
      <c r="D11" s="103">
        <f>AUGUST!C39</f>
        <v>0</v>
      </c>
      <c r="E11" s="103">
        <f>AUGUST!D39</f>
        <v>0</v>
      </c>
      <c r="F11" s="103">
        <f>AUGUST!E39</f>
        <v>0</v>
      </c>
      <c r="G11" s="103">
        <f>AUGUST!F39</f>
        <v>0</v>
      </c>
      <c r="H11" s="103">
        <f>AUGUST!G39</f>
        <v>0</v>
      </c>
      <c r="I11" s="103">
        <f>AUGUST!H39</f>
        <v>0</v>
      </c>
      <c r="J11" s="103">
        <f>AUGUST!I39</f>
        <v>32811.507571335635</v>
      </c>
      <c r="K11" s="103">
        <f>AUGUST!J39</f>
        <v>50852.185209274285</v>
      </c>
      <c r="L11" s="104">
        <f>AUGUST!K39</f>
        <v>2902.796916580201</v>
      </c>
      <c r="M11" s="103">
        <f>AUGUST!L39</f>
        <v>0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18727.945011266074</v>
      </c>
      <c r="W11" s="103">
        <f>AUGUST!V39</f>
        <v>0</v>
      </c>
      <c r="X11" s="103">
        <f>AUGUST!W39</f>
        <v>1799.960414090157</v>
      </c>
      <c r="Y11" s="103">
        <f>AUGUST!X39</f>
        <v>0</v>
      </c>
      <c r="Z11" s="103">
        <f>AUGUST!Y39</f>
        <v>16759.703466974894</v>
      </c>
      <c r="AA11" s="103">
        <f>AUGUST!Z39</f>
        <v>0</v>
      </c>
      <c r="AB11" s="103">
        <f>AUGUST!AA39</f>
        <v>0</v>
      </c>
      <c r="AC11" s="105">
        <f>AUGUST!AB39</f>
        <v>1734.5134191830839</v>
      </c>
      <c r="AD11" s="105">
        <f>AUGUST!AC39</f>
        <v>0</v>
      </c>
      <c r="AE11" s="99">
        <f>AUGUST!AD40</f>
        <v>733.7939142776861</v>
      </c>
      <c r="AF11" s="99">
        <f>AUGUST!AE40</f>
        <v>722.66091892094289</v>
      </c>
      <c r="AG11" s="99">
        <f>AUGUST!AF40</f>
        <v>0</v>
      </c>
      <c r="AH11" s="91">
        <f>AUGUST!AG40</f>
        <v>1</v>
      </c>
    </row>
    <row r="12" spans="1:34" ht="15.75" customHeight="1" x14ac:dyDescent="0.25">
      <c r="A12" s="411"/>
      <c r="B12" s="90" t="s">
        <v>60</v>
      </c>
      <c r="C12" s="103">
        <f>SEPTEMBER!B39</f>
        <v>0</v>
      </c>
      <c r="D12" s="103">
        <f>SEPTEMBER!C39</f>
        <v>0</v>
      </c>
      <c r="E12" s="103">
        <f>SEPTEMBER!D39</f>
        <v>0</v>
      </c>
      <c r="F12" s="103">
        <f>SEPTEMBER!E39</f>
        <v>0</v>
      </c>
      <c r="G12" s="103">
        <f>SEPTEMBER!F39</f>
        <v>0</v>
      </c>
      <c r="H12" s="103">
        <f>SEPTEMBER!G39</f>
        <v>0</v>
      </c>
      <c r="I12" s="103">
        <f>SEPTEMBER!H39</f>
        <v>0</v>
      </c>
      <c r="J12" s="103">
        <f>SEPTEMBER!I39</f>
        <v>23978.054618795715</v>
      </c>
      <c r="K12" s="103">
        <f>SEPTEMBER!J39</f>
        <v>40787.890769298887</v>
      </c>
      <c r="L12" s="104">
        <f>SEPTEMBER!K39</f>
        <v>2398.7231489151714</v>
      </c>
      <c r="M12" s="103">
        <f>SEPTEMBER!L39</f>
        <v>0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16200.391271811588</v>
      </c>
      <c r="W12" s="103">
        <f>SEPTEMBER!V39</f>
        <v>0</v>
      </c>
      <c r="X12" s="103">
        <f>SEPTEMBER!W39</f>
        <v>1545.7582301020625</v>
      </c>
      <c r="Y12" s="103">
        <f>SEPTEMBER!X39</f>
        <v>0</v>
      </c>
      <c r="Z12" s="103">
        <f>SEPTEMBER!Y39</f>
        <v>14665.803252463349</v>
      </c>
      <c r="AA12" s="103">
        <f>SEPTEMBER!Z39</f>
        <v>0</v>
      </c>
      <c r="AB12" s="103">
        <f>SEPTEMBER!AA39</f>
        <v>0</v>
      </c>
      <c r="AC12" s="105">
        <f>SEPTEMBER!AB39</f>
        <v>1315.8507535894735</v>
      </c>
      <c r="AD12" s="105">
        <f>SEPTEMBER!AC39</f>
        <v>0</v>
      </c>
      <c r="AE12" s="99">
        <f>SEPTEMBER!AD40</f>
        <v>635.51552640762588</v>
      </c>
      <c r="AF12" s="99">
        <f>SEPTEMBER!AE40</f>
        <v>626.17730353570835</v>
      </c>
      <c r="AG12" s="99">
        <f>SEPTEMBER!AF40</f>
        <v>0</v>
      </c>
      <c r="AH12" s="91">
        <f>SEPTEMBER!AG40</f>
        <v>1</v>
      </c>
    </row>
    <row r="13" spans="1:34" ht="15.75" customHeight="1" x14ac:dyDescent="0.25">
      <c r="A13" s="411"/>
      <c r="B13" s="90" t="s">
        <v>61</v>
      </c>
      <c r="C13" s="103">
        <f>OCTOBER!B39</f>
        <v>0</v>
      </c>
      <c r="D13" s="103">
        <f>OCTOBER!C39</f>
        <v>0</v>
      </c>
      <c r="E13" s="103">
        <f>OCTOBER!D39</f>
        <v>0</v>
      </c>
      <c r="F13" s="103">
        <f>OCTOBER!E39</f>
        <v>0</v>
      </c>
      <c r="G13" s="103">
        <f>OCTOBER!F39</f>
        <v>0</v>
      </c>
      <c r="H13" s="103">
        <f>OCTOBER!G39</f>
        <v>0</v>
      </c>
      <c r="I13" s="103">
        <f>OCTOBER!H39</f>
        <v>0</v>
      </c>
      <c r="J13" s="103">
        <f>OCTOBER!I39</f>
        <v>0</v>
      </c>
      <c r="K13" s="103">
        <f>OCTOBER!J39</f>
        <v>0</v>
      </c>
      <c r="L13" s="104">
        <f>OCTOBER!K39</f>
        <v>0</v>
      </c>
      <c r="M13" s="103">
        <f>OCTOBER!L39</f>
        <v>0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0</v>
      </c>
      <c r="W13" s="103">
        <f>OCTOBER!V39</f>
        <v>0</v>
      </c>
      <c r="X13" s="103">
        <f>OCTOBER!W39</f>
        <v>0</v>
      </c>
      <c r="Y13" s="103">
        <f>OCTOBER!X39</f>
        <v>0</v>
      </c>
      <c r="Z13" s="103">
        <f>OCTOBER!Y39</f>
        <v>0</v>
      </c>
      <c r="AA13" s="103">
        <f>OCTOBER!Z39</f>
        <v>0</v>
      </c>
      <c r="AB13" s="103">
        <f>OCTOBER!AA39</f>
        <v>0</v>
      </c>
      <c r="AC13" s="105">
        <f>OCTOBER!AB39</f>
        <v>0</v>
      </c>
      <c r="AD13" s="105">
        <f>OCTOBER!AC39</f>
        <v>0</v>
      </c>
      <c r="AE13" s="99">
        <f>OCTOBER!AD40</f>
        <v>0</v>
      </c>
      <c r="AF13" s="99">
        <f>OCTOBER!AE40</f>
        <v>0</v>
      </c>
      <c r="AG13" s="99">
        <f>OCTOBER!AF40</f>
        <v>0</v>
      </c>
      <c r="AH13" s="91">
        <f>OCTOBER!AG40</f>
        <v>0</v>
      </c>
    </row>
    <row r="14" spans="1:34" ht="15.75" customHeight="1" x14ac:dyDescent="0.25">
      <c r="A14" s="411"/>
      <c r="B14" s="90" t="s">
        <v>62</v>
      </c>
      <c r="C14" s="103">
        <f>NOVEMBER!B39</f>
        <v>0</v>
      </c>
      <c r="D14" s="103">
        <f>NOVEMBER!C39</f>
        <v>0</v>
      </c>
      <c r="E14" s="103">
        <f>NOVEMBER!D39</f>
        <v>0</v>
      </c>
      <c r="F14" s="103">
        <f>NOVEMBER!E39</f>
        <v>0</v>
      </c>
      <c r="G14" s="103">
        <f>NOVEMBER!F39</f>
        <v>0</v>
      </c>
      <c r="H14" s="103">
        <f>NOVEMBER!G39</f>
        <v>0</v>
      </c>
      <c r="I14" s="103">
        <f>NOVEMBER!H39</f>
        <v>0</v>
      </c>
      <c r="J14" s="103">
        <f>NOVEMBER!I39</f>
        <v>0</v>
      </c>
      <c r="K14" s="103">
        <f>NOVEMBER!J39</f>
        <v>0</v>
      </c>
      <c r="L14" s="104">
        <f>NOVEMBER!K39</f>
        <v>0</v>
      </c>
      <c r="M14" s="103">
        <f>NOVEMBER!L39</f>
        <v>0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0</v>
      </c>
      <c r="W14" s="103">
        <f>NOVEMBER!V39</f>
        <v>0</v>
      </c>
      <c r="X14" s="103">
        <f>NOVEMBER!W39</f>
        <v>0</v>
      </c>
      <c r="Y14" s="103">
        <f>NOVEMBER!X39</f>
        <v>0</v>
      </c>
      <c r="Z14" s="103">
        <f>NOVEMBER!Y39</f>
        <v>0</v>
      </c>
      <c r="AA14" s="103">
        <f>NOVEMBER!Z39</f>
        <v>0</v>
      </c>
      <c r="AB14" s="103">
        <f>NOVEMBER!AA39</f>
        <v>0.58304797808329267</v>
      </c>
      <c r="AC14" s="105">
        <f>NOVEMBER!AB39</f>
        <v>0</v>
      </c>
      <c r="AD14" s="105">
        <f>NOVEMBER!AC39</f>
        <v>0</v>
      </c>
      <c r="AE14" s="99">
        <f>NOVEMBER!AD40</f>
        <v>0</v>
      </c>
      <c r="AF14" s="99">
        <f>NOVEMBER!AE40</f>
        <v>0</v>
      </c>
      <c r="AG14" s="99">
        <f>NOVEMBER!AF40</f>
        <v>0</v>
      </c>
      <c r="AH14" s="91">
        <f>NOVEMBER!AG40</f>
        <v>0</v>
      </c>
    </row>
    <row r="15" spans="1:34" ht="15.75" customHeight="1" x14ac:dyDescent="0.25">
      <c r="A15" s="412"/>
      <c r="B15" s="92" t="s">
        <v>63</v>
      </c>
      <c r="C15" s="106">
        <f>DECEMBER!B39</f>
        <v>0</v>
      </c>
      <c r="D15" s="106">
        <f>DECEMBER!C39</f>
        <v>0</v>
      </c>
      <c r="E15" s="106">
        <f>DECEMBER!D39</f>
        <v>0</v>
      </c>
      <c r="F15" s="106">
        <f>DECEMBER!E39</f>
        <v>0</v>
      </c>
      <c r="G15" s="106">
        <f>DECEMBER!F39</f>
        <v>0</v>
      </c>
      <c r="H15" s="106">
        <f>DECEMBER!G39</f>
        <v>0</v>
      </c>
      <c r="I15" s="106">
        <f>DECEMBER!H39</f>
        <v>0</v>
      </c>
      <c r="J15" s="106">
        <f>DECEMBER!I39</f>
        <v>0</v>
      </c>
      <c r="K15" s="106">
        <f>DECEMBER!J39</f>
        <v>0</v>
      </c>
      <c r="L15" s="107">
        <f>DECEMBER!K39</f>
        <v>0</v>
      </c>
      <c r="M15" s="106">
        <f>DECEMBER!L39</f>
        <v>0</v>
      </c>
      <c r="N15" s="106">
        <f>DECEMBER!M39</f>
        <v>0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0</v>
      </c>
      <c r="W15" s="106">
        <f>DECEMBER!V39</f>
        <v>0</v>
      </c>
      <c r="X15" s="106">
        <f>DECEMBER!W39</f>
        <v>0</v>
      </c>
      <c r="Y15" s="106">
        <f>DECEMBER!X39</f>
        <v>0</v>
      </c>
      <c r="Z15" s="106">
        <f>DECEMBER!Y39</f>
        <v>0</v>
      </c>
      <c r="AA15" s="106">
        <f>DECEMBER!Z39</f>
        <v>0</v>
      </c>
      <c r="AB15" s="106">
        <f>DECEMBER!AA39</f>
        <v>0</v>
      </c>
      <c r="AC15" s="108">
        <f>DECEMBER!AB39</f>
        <v>0</v>
      </c>
      <c r="AD15" s="108">
        <f>DECEMBER!AC39</f>
        <v>0</v>
      </c>
      <c r="AE15" s="100">
        <f>DECEMBER!AD40</f>
        <v>0</v>
      </c>
      <c r="AF15" s="100">
        <f>DECEMBER!AE40</f>
        <v>0</v>
      </c>
      <c r="AG15" s="100">
        <f>DECEMBER!AF40</f>
        <v>0</v>
      </c>
      <c r="AH15" s="93">
        <f>DECEMBER!AG40</f>
        <v>0</v>
      </c>
    </row>
    <row r="16" spans="1:34" ht="15.75" customHeight="1" x14ac:dyDescent="0.25">
      <c r="A16" s="415" t="s">
        <v>162</v>
      </c>
      <c r="B16" s="416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2" t="s">
        <v>28</v>
      </c>
      <c r="AF16" s="242" t="s">
        <v>28</v>
      </c>
      <c r="AG16" s="242" t="s">
        <v>28</v>
      </c>
      <c r="AH16" s="243" t="s">
        <v>34</v>
      </c>
    </row>
    <row r="17" spans="1:34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G17" si="0">SUM(D4:D15)</f>
        <v>8057.4688216487648</v>
      </c>
      <c r="E17" s="109">
        <f t="shared" si="0"/>
        <v>78285.482215593292</v>
      </c>
      <c r="F17" s="109">
        <f t="shared" si="0"/>
        <v>1124.8985531707594</v>
      </c>
      <c r="G17" s="109">
        <f t="shared" si="0"/>
        <v>0</v>
      </c>
      <c r="H17" s="109">
        <f t="shared" si="0"/>
        <v>293405.52494729304</v>
      </c>
      <c r="I17" s="109">
        <f t="shared" si="0"/>
        <v>3934.3637932548945</v>
      </c>
      <c r="J17" s="109">
        <f t="shared" si="0"/>
        <v>133663.02142910953</v>
      </c>
      <c r="K17" s="109">
        <f t="shared" si="0"/>
        <v>242314.93205788932</v>
      </c>
      <c r="L17" s="109">
        <f t="shared" si="0"/>
        <v>13302.819638657566</v>
      </c>
      <c r="M17" s="109">
        <f t="shared" si="0"/>
        <v>0.32840855121612311</v>
      </c>
      <c r="N17" s="109">
        <f t="shared" si="0"/>
        <v>0</v>
      </c>
      <c r="O17" s="109">
        <f t="shared" si="0"/>
        <v>0</v>
      </c>
      <c r="P17" s="109">
        <f t="shared" si="0"/>
        <v>0</v>
      </c>
      <c r="Q17" s="109">
        <f t="shared" si="0"/>
        <v>0</v>
      </c>
      <c r="R17" s="109">
        <f t="shared" si="0"/>
        <v>0</v>
      </c>
      <c r="S17" s="109">
        <f t="shared" si="0"/>
        <v>0</v>
      </c>
      <c r="T17" s="109">
        <f t="shared" si="0"/>
        <v>0</v>
      </c>
      <c r="U17" s="109">
        <f t="shared" si="0"/>
        <v>0</v>
      </c>
      <c r="V17" s="109">
        <f t="shared" si="0"/>
        <v>182587.89202398204</v>
      </c>
      <c r="W17" s="109">
        <f t="shared" si="0"/>
        <v>32602.696850493419</v>
      </c>
      <c r="X17" s="109">
        <f t="shared" si="0"/>
        <v>10045.234407116004</v>
      </c>
      <c r="Y17" s="109">
        <f t="shared" si="0"/>
        <v>1114.7478833847972</v>
      </c>
      <c r="Z17" s="109">
        <f t="shared" si="0"/>
        <v>84515.37899858343</v>
      </c>
      <c r="AA17" s="109">
        <f t="shared" si="0"/>
        <v>8705.2402399457915</v>
      </c>
      <c r="AB17" s="109">
        <f t="shared" si="0"/>
        <v>0.58304797808329267</v>
      </c>
      <c r="AC17" s="109">
        <f t="shared" si="0"/>
        <v>13407.519236802373</v>
      </c>
      <c r="AD17" s="109">
        <f t="shared" si="0"/>
        <v>0</v>
      </c>
      <c r="AE17" s="96">
        <f t="shared" si="0"/>
        <v>4598.5250402232014</v>
      </c>
      <c r="AF17" s="96">
        <f t="shared" si="0"/>
        <v>4075.1468521261395</v>
      </c>
      <c r="AG17" s="96">
        <f t="shared" si="0"/>
        <v>451.77004444035913</v>
      </c>
      <c r="AH17" s="226">
        <f>IF(SUM(AF17:AG17)&gt;0, AF17/(AF17+AG17), "")</f>
        <v>0.90020359225436408</v>
      </c>
    </row>
    <row r="18" spans="1:34" ht="15.75" customHeight="1" thickTop="1" x14ac:dyDescent="0.25">
      <c r="A18" s="410" t="s">
        <v>87</v>
      </c>
      <c r="B18" s="89" t="s">
        <v>52</v>
      </c>
      <c r="C18" s="110">
        <f>JANUARY!B41</f>
        <v>0</v>
      </c>
      <c r="D18" s="110">
        <f>JANUARY!C41</f>
        <v>1379.3685216157999</v>
      </c>
      <c r="E18" s="110">
        <f>JANUARY!D41</f>
        <v>31723.472073601562</v>
      </c>
      <c r="F18" s="110">
        <f>JANUARY!E41</f>
        <v>837.73832773498998</v>
      </c>
      <c r="G18" s="110">
        <f>JANUARY!F41</f>
        <v>0</v>
      </c>
      <c r="H18" s="110">
        <f>JANUARY!G41</f>
        <v>2956.4605148835385</v>
      </c>
      <c r="I18" s="110">
        <f>JANUARY!H41</f>
        <v>2934.0738164861118</v>
      </c>
      <c r="J18" s="110">
        <f>JANUARY!I41</f>
        <v>5847.4759200559238</v>
      </c>
      <c r="K18" s="110">
        <f>JANUARY!J41</f>
        <v>19976.922332091268</v>
      </c>
      <c r="L18" s="111">
        <f>JANUARY!K41</f>
        <v>3927.7075695479261</v>
      </c>
      <c r="M18" s="110">
        <f>JANUARY!L41</f>
        <v>0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10990.901729091211</v>
      </c>
      <c r="W18" s="110">
        <f>JANUARY!V41</f>
        <v>2736.9610893088516</v>
      </c>
      <c r="X18" s="110">
        <f>JANUARY!W41</f>
        <v>912.03737332713786</v>
      </c>
      <c r="Y18" s="110">
        <f>JANUARY!X41</f>
        <v>227.05940163353907</v>
      </c>
      <c r="Z18" s="110">
        <f>JANUARY!Y41</f>
        <v>14081.837917757453</v>
      </c>
      <c r="AA18" s="110">
        <f>JANUARY!Z41</f>
        <v>3472.3772639254662</v>
      </c>
      <c r="AB18" s="110">
        <f>JANUARY!AA41</f>
        <v>0</v>
      </c>
      <c r="AC18" s="113">
        <f>JANUARY!AB41</f>
        <v>236.62781388937782</v>
      </c>
      <c r="AD18" s="113">
        <f>JANUARY!AC41</f>
        <v>0</v>
      </c>
      <c r="AE18" s="123"/>
      <c r="AF18" s="123"/>
      <c r="AG18" s="123"/>
      <c r="AH18" s="124"/>
    </row>
    <row r="19" spans="1:34" ht="15.75" customHeight="1" x14ac:dyDescent="0.25">
      <c r="A19" s="411"/>
      <c r="B19" s="90" t="s">
        <v>53</v>
      </c>
      <c r="C19" s="114">
        <f>FEBRUARY!B41</f>
        <v>0</v>
      </c>
      <c r="D19" s="114">
        <f>FEBRUARY!C41</f>
        <v>1373.9028967879697</v>
      </c>
      <c r="E19" s="114">
        <f>FEBRUARY!D41</f>
        <v>30440.552292523196</v>
      </c>
      <c r="F19" s="114">
        <f>FEBRUARY!E41</f>
        <v>856.09448391186481</v>
      </c>
      <c r="G19" s="114">
        <f>FEBRUARY!F41</f>
        <v>0</v>
      </c>
      <c r="H19" s="114">
        <f>FEBRUARY!G41</f>
        <v>2699.6291148653777</v>
      </c>
      <c r="I19" s="114">
        <f>FEBRUARY!H41</f>
        <v>2478.6024162307117</v>
      </c>
      <c r="J19" s="114">
        <f>FEBRUARY!I41</f>
        <v>5410.20721753008</v>
      </c>
      <c r="K19" s="114">
        <f>FEBRUARY!J41</f>
        <v>17672.963764866065</v>
      </c>
      <c r="L19" s="115">
        <f>FEBRUARY!K41</f>
        <v>3264.6055652357995</v>
      </c>
      <c r="M19" s="114">
        <f>FEBRUARY!L41</f>
        <v>0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9041.5692336757766</v>
      </c>
      <c r="W19" s="114">
        <f>FEBRUARY!V41</f>
        <v>2753.4651644973537</v>
      </c>
      <c r="X19" s="114">
        <f>FEBRUARY!W41</f>
        <v>750.55413768619508</v>
      </c>
      <c r="Y19" s="114">
        <f>FEBRUARY!X41</f>
        <v>228.56836034287778</v>
      </c>
      <c r="Z19" s="114">
        <f>FEBRUARY!Y41</f>
        <v>10442.847547457632</v>
      </c>
      <c r="AA19" s="114">
        <f>FEBRUARY!Z41</f>
        <v>3180.4132814463401</v>
      </c>
      <c r="AB19" s="114">
        <f>FEBRUARY!AA41</f>
        <v>0</v>
      </c>
      <c r="AC19" s="117">
        <f>FEBRUARY!AB41</f>
        <v>260.16649888202681</v>
      </c>
      <c r="AD19" s="117">
        <f>FEBRUARY!AC41</f>
        <v>0</v>
      </c>
      <c r="AE19" s="125"/>
      <c r="AF19" s="125"/>
      <c r="AG19" s="125"/>
      <c r="AH19" s="126"/>
    </row>
    <row r="20" spans="1:34" ht="15.75" customHeight="1" x14ac:dyDescent="0.25">
      <c r="A20" s="411"/>
      <c r="B20" s="90" t="s">
        <v>54</v>
      </c>
      <c r="C20" s="114">
        <f>MARCH!B41</f>
        <v>0</v>
      </c>
      <c r="D20" s="114">
        <f>MARCH!C41</f>
        <v>1579.1094196183653</v>
      </c>
      <c r="E20" s="114">
        <f>MARCH!D41</f>
        <v>35761.759166867887</v>
      </c>
      <c r="F20" s="114">
        <f>MARCH!E41</f>
        <v>944.93166850242528</v>
      </c>
      <c r="G20" s="114">
        <f>MARCH!F41</f>
        <v>0</v>
      </c>
      <c r="H20" s="114">
        <f>MARCH!G41</f>
        <v>3154.3558282838385</v>
      </c>
      <c r="I20" s="114">
        <f>MARCH!H41</f>
        <v>2512.772762688579</v>
      </c>
      <c r="J20" s="114">
        <f>MARCH!I41</f>
        <v>6137.9025868392346</v>
      </c>
      <c r="K20" s="114">
        <f>MARCH!J41</f>
        <v>20640.403061899407</v>
      </c>
      <c r="L20" s="115">
        <f>MARCH!K41</f>
        <v>3883.405909595092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2880.7948794968402</v>
      </c>
      <c r="W20" s="114">
        <f>MARCH!V41</f>
        <v>834.47245143910413</v>
      </c>
      <c r="X20" s="114">
        <f>MARCH!W41</f>
        <v>881.02702506435253</v>
      </c>
      <c r="Y20" s="114">
        <f>MARCH!X41</f>
        <v>251.55273093743824</v>
      </c>
      <c r="Z20" s="114">
        <f>MARCH!Y41</f>
        <v>11884.274101515201</v>
      </c>
      <c r="AA20" s="114">
        <f>MARCH!Z41</f>
        <v>3398.5240188553162</v>
      </c>
      <c r="AB20" s="114">
        <f>MARCH!AA41</f>
        <v>0</v>
      </c>
      <c r="AC20" s="117">
        <f>MARCH!AB41</f>
        <v>310.53386219699098</v>
      </c>
      <c r="AD20" s="117">
        <f>MARCH!AC41</f>
        <v>0</v>
      </c>
      <c r="AE20" s="125"/>
      <c r="AF20" s="125"/>
      <c r="AG20" s="125"/>
      <c r="AH20" s="126"/>
    </row>
    <row r="21" spans="1:34" ht="15.75" customHeight="1" x14ac:dyDescent="0.25">
      <c r="A21" s="411"/>
      <c r="B21" s="90" t="s">
        <v>55</v>
      </c>
      <c r="C21" s="114">
        <f>APRIL!B41</f>
        <v>0</v>
      </c>
      <c r="D21" s="114">
        <f>APRIL!C41</f>
        <v>2020.5397639815756</v>
      </c>
      <c r="E21" s="114">
        <f>APRIL!D41</f>
        <v>32199.353632183687</v>
      </c>
      <c r="F21" s="114">
        <f>APRIL!E41</f>
        <v>850.97101223333391</v>
      </c>
      <c r="G21" s="114">
        <f>APRIL!F41</f>
        <v>0</v>
      </c>
      <c r="H21" s="114">
        <f>APRIL!G41</f>
        <v>3269.6406746899897</v>
      </c>
      <c r="I21" s="114">
        <f>APRIL!H41</f>
        <v>2379.3942343294048</v>
      </c>
      <c r="J21" s="114">
        <f>APRIL!I41</f>
        <v>6610.2659477334428</v>
      </c>
      <c r="K21" s="114">
        <f>APRIL!J41</f>
        <v>21488.960530522123</v>
      </c>
      <c r="L21" s="115">
        <f>APRIL!K41</f>
        <v>3927.8889915976056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2108.6678894677825</v>
      </c>
      <c r="W21" s="114">
        <f>APRIL!V41</f>
        <v>521.31561331178978</v>
      </c>
      <c r="X21" s="114">
        <f>APRIL!W41</f>
        <v>923.68451679773648</v>
      </c>
      <c r="Y21" s="114">
        <f>APRIL!X41</f>
        <v>227.50372812394792</v>
      </c>
      <c r="Z21" s="114">
        <f>APRIL!Y41</f>
        <v>15215.621581507919</v>
      </c>
      <c r="AA21" s="114">
        <f>APRIL!Z41</f>
        <v>3793.9361263630412</v>
      </c>
      <c r="AB21" s="114">
        <f>APRIL!AA41</f>
        <v>0</v>
      </c>
      <c r="AC21" s="117">
        <f>APRIL!AB41</f>
        <v>315.91253799973595</v>
      </c>
      <c r="AD21" s="117">
        <f>APRIL!AC41</f>
        <v>0</v>
      </c>
      <c r="AE21" s="125"/>
      <c r="AF21" s="125"/>
      <c r="AG21" s="125"/>
      <c r="AH21" s="126"/>
    </row>
    <row r="22" spans="1:34" ht="15.75" customHeight="1" x14ac:dyDescent="0.25">
      <c r="A22" s="411"/>
      <c r="B22" s="90" t="s">
        <v>56</v>
      </c>
      <c r="C22" s="114">
        <f>MAY!B41</f>
        <v>0</v>
      </c>
      <c r="D22" s="114">
        <f>MAY!C41</f>
        <v>2724.9776076784037</v>
      </c>
      <c r="E22" s="114">
        <f>MAY!D41</f>
        <v>40984.286336548263</v>
      </c>
      <c r="F22" s="114">
        <f>MAY!E41</f>
        <v>1092.0146045283739</v>
      </c>
      <c r="G22" s="114">
        <f>MAY!F41</f>
        <v>0</v>
      </c>
      <c r="H22" s="114">
        <f>MAY!G41</f>
        <v>3827.4743747862926</v>
      </c>
      <c r="I22" s="114">
        <f>MAY!H41</f>
        <v>3105.6574011993889</v>
      </c>
      <c r="J22" s="114">
        <f>MAY!I41</f>
        <v>6799.2180507761577</v>
      </c>
      <c r="K22" s="114">
        <f>MAY!J41</f>
        <v>18938.239761310895</v>
      </c>
      <c r="L22" s="115">
        <f>MAY!K41</f>
        <v>3454.1587572942208</v>
      </c>
      <c r="M22" s="114">
        <f>MAY!L41</f>
        <v>0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1880.280298474672</v>
      </c>
      <c r="W22" s="114">
        <f>MAY!V41</f>
        <v>708.89450740748919</v>
      </c>
      <c r="X22" s="114">
        <f>MAY!W41</f>
        <v>787.16295093682174</v>
      </c>
      <c r="Y22" s="114">
        <f>MAY!X41</f>
        <v>296.33603294973801</v>
      </c>
      <c r="Z22" s="114">
        <f>MAY!Y41</f>
        <v>13802.904719637379</v>
      </c>
      <c r="AA22" s="114">
        <f>MAY!Z41</f>
        <v>5219.8208439362052</v>
      </c>
      <c r="AB22" s="114">
        <f>MAY!AA41</f>
        <v>0</v>
      </c>
      <c r="AC22" s="117">
        <f>MAY!AB41</f>
        <v>268.38831239641951</v>
      </c>
      <c r="AD22" s="117">
        <f>MAY!AC41</f>
        <v>0</v>
      </c>
      <c r="AE22" s="125"/>
      <c r="AF22" s="125"/>
      <c r="AG22" s="125"/>
      <c r="AH22" s="126"/>
    </row>
    <row r="23" spans="1:34" ht="15.75" customHeight="1" x14ac:dyDescent="0.25">
      <c r="A23" s="411"/>
      <c r="B23" s="90" t="s">
        <v>57</v>
      </c>
      <c r="C23" s="114">
        <f>JUNE!B41</f>
        <v>0</v>
      </c>
      <c r="D23" s="114">
        <f>JUNE!C41</f>
        <v>699.73287990395704</v>
      </c>
      <c r="E23" s="114">
        <f>JUNE!D41</f>
        <v>9874.7119874303189</v>
      </c>
      <c r="F23" s="114">
        <f>JUNE!E41</f>
        <v>296.70994847996172</v>
      </c>
      <c r="G23" s="114">
        <f>JUNE!F41</f>
        <v>0</v>
      </c>
      <c r="H23" s="114">
        <f>JUNE!G41</f>
        <v>911.91121009453411</v>
      </c>
      <c r="I23" s="114">
        <f>JUNE!H41</f>
        <v>816.05576514411825</v>
      </c>
      <c r="J23" s="114">
        <f>JUNE!I41</f>
        <v>12764.847405660817</v>
      </c>
      <c r="K23" s="114">
        <f>JUNE!J41</f>
        <v>34561.452876728181</v>
      </c>
      <c r="L23" s="115">
        <f>JUNE!K41</f>
        <v>6549.911046723656</v>
      </c>
      <c r="M23" s="114">
        <f>JUNE!L41</f>
        <v>0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3406.5672833614281</v>
      </c>
      <c r="W23" s="114">
        <f>JUNE!V41</f>
        <v>155.42897917710516</v>
      </c>
      <c r="X23" s="114">
        <f>JUNE!W41</f>
        <v>1417.35118650603</v>
      </c>
      <c r="Y23" s="114">
        <f>JUNE!X41</f>
        <v>62.087290738823647</v>
      </c>
      <c r="Z23" s="114">
        <f>JUNE!Y41</f>
        <v>23210.059785592512</v>
      </c>
      <c r="AA23" s="114">
        <f>JUNE!Z41</f>
        <v>1060.1207037118293</v>
      </c>
      <c r="AB23" s="114">
        <f>JUNE!AA41</f>
        <v>0</v>
      </c>
      <c r="AC23" s="117">
        <f>JUNE!AB41</f>
        <v>413.55133380288788</v>
      </c>
      <c r="AD23" s="117">
        <f>JUNE!AC41</f>
        <v>0</v>
      </c>
      <c r="AE23" s="125"/>
      <c r="AF23" s="125"/>
      <c r="AG23" s="125"/>
      <c r="AH23" s="126"/>
    </row>
    <row r="24" spans="1:34" ht="15.75" customHeight="1" x14ac:dyDescent="0.25">
      <c r="A24" s="411"/>
      <c r="B24" s="90" t="s">
        <v>58</v>
      </c>
      <c r="C24" s="114">
        <f>JULY!B41</f>
        <v>0</v>
      </c>
      <c r="D24" s="114">
        <f>JULY!C41</f>
        <v>0</v>
      </c>
      <c r="E24" s="114">
        <f>JULY!D41</f>
        <v>0</v>
      </c>
      <c r="F24" s="114">
        <f>JULY!E41</f>
        <v>0</v>
      </c>
      <c r="G24" s="114">
        <f>JULY!F41</f>
        <v>0</v>
      </c>
      <c r="H24" s="114">
        <f>JULY!G41</f>
        <v>0</v>
      </c>
      <c r="I24" s="114">
        <f>JULY!H41</f>
        <v>0</v>
      </c>
      <c r="J24" s="114">
        <f>JULY!I41</f>
        <v>18377.53404594789</v>
      </c>
      <c r="K24" s="114">
        <f>JULY!J41</f>
        <v>49562.988535749217</v>
      </c>
      <c r="L24" s="115">
        <f>JULY!K41</f>
        <v>9692.3581488955042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4612.7036191561765</v>
      </c>
      <c r="W24" s="114">
        <f>JULY!V41</f>
        <v>0</v>
      </c>
      <c r="X24" s="114">
        <f>JULY!W41</f>
        <v>2099.6210946733149</v>
      </c>
      <c r="Y24" s="114">
        <f>JULY!X41</f>
        <v>0</v>
      </c>
      <c r="Z24" s="114">
        <f>JULY!Y41</f>
        <v>34098.169395329147</v>
      </c>
      <c r="AA24" s="114">
        <f>JULY!Z41</f>
        <v>0</v>
      </c>
      <c r="AB24" s="114">
        <f>JULY!AA41</f>
        <v>0</v>
      </c>
      <c r="AC24" s="117">
        <f>JULY!AB41</f>
        <v>644.28681347561258</v>
      </c>
      <c r="AD24" s="117">
        <f>JULY!AC41</f>
        <v>0</v>
      </c>
      <c r="AE24" s="125"/>
      <c r="AF24" s="125"/>
      <c r="AG24" s="125"/>
      <c r="AH24" s="126"/>
    </row>
    <row r="25" spans="1:34" ht="15.75" customHeight="1" x14ac:dyDescent="0.25">
      <c r="A25" s="411"/>
      <c r="B25" s="90" t="s">
        <v>59</v>
      </c>
      <c r="C25" s="114">
        <f>AUGUST!B41</f>
        <v>0</v>
      </c>
      <c r="D25" s="114">
        <f>AUGUST!C41</f>
        <v>0</v>
      </c>
      <c r="E25" s="114">
        <f>AUGUST!D41</f>
        <v>0</v>
      </c>
      <c r="F25" s="114">
        <f>AUGUST!E41</f>
        <v>0</v>
      </c>
      <c r="G25" s="114">
        <f>AUGUST!F41</f>
        <v>0</v>
      </c>
      <c r="H25" s="114">
        <f>AUGUST!G41</f>
        <v>0</v>
      </c>
      <c r="I25" s="114">
        <f>AUGUST!H41</f>
        <v>0</v>
      </c>
      <c r="J25" s="114">
        <f>AUGUST!I41</f>
        <v>26440.715473980767</v>
      </c>
      <c r="K25" s="114">
        <f>AUGUST!J41</f>
        <v>61708.449400347352</v>
      </c>
      <c r="L25" s="115">
        <f>AUGUST!K41</f>
        <v>12588.849667825016</v>
      </c>
      <c r="M25" s="114">
        <f>AUGUST!L41</f>
        <v>0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4429.1589951644264</v>
      </c>
      <c r="W25" s="114">
        <f>AUGUST!V41</f>
        <v>0</v>
      </c>
      <c r="X25" s="114">
        <f>AUGUST!W41</f>
        <v>2087.9540803445821</v>
      </c>
      <c r="Y25" s="114">
        <f>AUGUST!X41</f>
        <v>0</v>
      </c>
      <c r="Z25" s="114">
        <f>AUGUST!Y41</f>
        <v>38745.88694071897</v>
      </c>
      <c r="AA25" s="114">
        <f>AUGUST!Z41</f>
        <v>0</v>
      </c>
      <c r="AB25" s="114">
        <f>AUGUST!AA41</f>
        <v>0</v>
      </c>
      <c r="AC25" s="117">
        <f>AUGUST!AB41</f>
        <v>410.21242363679931</v>
      </c>
      <c r="AD25" s="117">
        <f>AUGUST!AC41</f>
        <v>0</v>
      </c>
      <c r="AE25" s="125"/>
      <c r="AF25" s="125"/>
      <c r="AG25" s="125"/>
      <c r="AH25" s="126"/>
    </row>
    <row r="26" spans="1:34" ht="15.75" customHeight="1" x14ac:dyDescent="0.25">
      <c r="A26" s="411"/>
      <c r="B26" s="90" t="s">
        <v>60</v>
      </c>
      <c r="C26" s="114">
        <f>SEPTEMBER!B41</f>
        <v>0</v>
      </c>
      <c r="D26" s="114">
        <f>SEPTEMBER!C41</f>
        <v>0</v>
      </c>
      <c r="E26" s="114">
        <f>SEPTEMBER!D41</f>
        <v>0</v>
      </c>
      <c r="F26" s="114">
        <f>SEPTEMBER!E41</f>
        <v>0</v>
      </c>
      <c r="G26" s="114">
        <f>SEPTEMBER!F41</f>
        <v>0</v>
      </c>
      <c r="H26" s="114">
        <f>SEPTEMBER!G41</f>
        <v>0</v>
      </c>
      <c r="I26" s="114">
        <f>SEPTEMBER!H41</f>
        <v>0</v>
      </c>
      <c r="J26" s="114">
        <f>SEPTEMBER!I41</f>
        <v>19322.395303439582</v>
      </c>
      <c r="K26" s="114">
        <f>SEPTEMBER!J41</f>
        <v>49495.56215383915</v>
      </c>
      <c r="L26" s="115">
        <f>SEPTEMBER!K41</f>
        <v>10402.782552215316</v>
      </c>
      <c r="M26" s="114">
        <f>SEPTEMBER!L41</f>
        <v>0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3831.3925357834405</v>
      </c>
      <c r="W26" s="114">
        <f>SEPTEMBER!V41</f>
        <v>0</v>
      </c>
      <c r="X26" s="114">
        <f>SEPTEMBER!W41</f>
        <v>1793.0795469183925</v>
      </c>
      <c r="Y26" s="114">
        <f>SEPTEMBER!X41</f>
        <v>0</v>
      </c>
      <c r="Z26" s="114">
        <f>SEPTEMBER!Y41</f>
        <v>33905.107917600886</v>
      </c>
      <c r="AA26" s="114">
        <f>SEPTEMBER!Z41</f>
        <v>0</v>
      </c>
      <c r="AB26" s="114">
        <f>SEPTEMBER!AA41</f>
        <v>0</v>
      </c>
      <c r="AC26" s="117">
        <f>SEPTEMBER!AB41</f>
        <v>311.19870322391046</v>
      </c>
      <c r="AD26" s="117">
        <f>SEPTEMBER!AC41</f>
        <v>0</v>
      </c>
      <c r="AE26" s="125"/>
      <c r="AF26" s="125"/>
      <c r="AG26" s="125"/>
      <c r="AH26" s="126"/>
    </row>
    <row r="27" spans="1:34" ht="15.75" customHeight="1" x14ac:dyDescent="0.25">
      <c r="A27" s="411"/>
      <c r="B27" s="90" t="s">
        <v>61</v>
      </c>
      <c r="C27" s="114">
        <f>OCTOBER!B41</f>
        <v>0</v>
      </c>
      <c r="D27" s="114">
        <f>OCTOBER!C41</f>
        <v>0</v>
      </c>
      <c r="E27" s="114">
        <f>OCTOBER!D41</f>
        <v>0</v>
      </c>
      <c r="F27" s="114">
        <f>OCTOBER!E41</f>
        <v>0</v>
      </c>
      <c r="G27" s="114">
        <f>OCTOBER!F41</f>
        <v>0</v>
      </c>
      <c r="H27" s="114">
        <f>OCTOBER!G41</f>
        <v>0</v>
      </c>
      <c r="I27" s="114">
        <f>OCTOBER!H41</f>
        <v>0</v>
      </c>
      <c r="J27" s="114">
        <f>OCTOBER!I41</f>
        <v>0</v>
      </c>
      <c r="K27" s="114">
        <f>OCTOBER!J41</f>
        <v>0</v>
      </c>
      <c r="L27" s="115">
        <f>OCTOBER!K41</f>
        <v>0</v>
      </c>
      <c r="M27" s="114">
        <f>OCTOBER!L41</f>
        <v>0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0</v>
      </c>
      <c r="W27" s="114">
        <f>OCTOBER!V41</f>
        <v>0</v>
      </c>
      <c r="X27" s="114">
        <f>OCTOBER!W41</f>
        <v>0</v>
      </c>
      <c r="Y27" s="114">
        <f>OCTOBER!X41</f>
        <v>0</v>
      </c>
      <c r="Z27" s="114">
        <f>OCTOBER!Y41</f>
        <v>0</v>
      </c>
      <c r="AA27" s="114">
        <f>OCTOBER!Z41</f>
        <v>0</v>
      </c>
      <c r="AB27" s="114">
        <f>OCTOBER!AA41</f>
        <v>0</v>
      </c>
      <c r="AC27" s="117">
        <f>OCTOBER!AB41</f>
        <v>0</v>
      </c>
      <c r="AD27" s="117">
        <f>OCTOBER!AC41</f>
        <v>0</v>
      </c>
      <c r="AE27" s="125"/>
      <c r="AF27" s="125"/>
      <c r="AG27" s="125"/>
      <c r="AH27" s="126"/>
    </row>
    <row r="28" spans="1:34" ht="15.75" customHeight="1" x14ac:dyDescent="0.25">
      <c r="A28" s="411"/>
      <c r="B28" s="90" t="s">
        <v>62</v>
      </c>
      <c r="C28" s="114">
        <f>NOVEMBER!B41</f>
        <v>0</v>
      </c>
      <c r="D28" s="114">
        <f>NOVEMBER!C41</f>
        <v>0</v>
      </c>
      <c r="E28" s="114">
        <f>NOVEMBER!D41</f>
        <v>0</v>
      </c>
      <c r="F28" s="114">
        <f>NOVEMBER!E41</f>
        <v>0</v>
      </c>
      <c r="G28" s="114">
        <f>NOVEMBER!F41</f>
        <v>0</v>
      </c>
      <c r="H28" s="114">
        <f>NOVEMBER!G41</f>
        <v>0</v>
      </c>
      <c r="I28" s="114">
        <f>NOVEMBER!H41</f>
        <v>0</v>
      </c>
      <c r="J28" s="114">
        <f>NOVEMBER!I41</f>
        <v>0</v>
      </c>
      <c r="K28" s="114">
        <f>NOVEMBER!J41</f>
        <v>0</v>
      </c>
      <c r="L28" s="115">
        <f>NOVEMBER!K41</f>
        <v>0</v>
      </c>
      <c r="M28" s="114">
        <f>NOVEMBER!L41</f>
        <v>0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0</v>
      </c>
      <c r="W28" s="114">
        <f>NOVEMBER!V41</f>
        <v>0</v>
      </c>
      <c r="X28" s="114">
        <f>NOVEMBER!W41</f>
        <v>0</v>
      </c>
      <c r="Y28" s="114">
        <f>NOVEMBER!X41</f>
        <v>0</v>
      </c>
      <c r="Z28" s="114">
        <f>NOVEMBER!Y41</f>
        <v>0</v>
      </c>
      <c r="AA28" s="114">
        <f>NOVEMBER!Z41</f>
        <v>0</v>
      </c>
      <c r="AB28" s="114">
        <f>NOVEMBER!AA41</f>
        <v>0</v>
      </c>
      <c r="AC28" s="117">
        <f>NOVEMBER!AB41</f>
        <v>0</v>
      </c>
      <c r="AD28" s="117">
        <f>NOVEMBER!AC41</f>
        <v>0</v>
      </c>
      <c r="AE28" s="125"/>
      <c r="AF28" s="125"/>
      <c r="AG28" s="125"/>
      <c r="AH28" s="126"/>
    </row>
    <row r="29" spans="1:34" ht="15.75" customHeight="1" x14ac:dyDescent="0.25">
      <c r="A29" s="412"/>
      <c r="B29" s="92" t="s">
        <v>63</v>
      </c>
      <c r="C29" s="118">
        <f>DECEMBER!B41</f>
        <v>0</v>
      </c>
      <c r="D29" s="118">
        <f>DECEMBER!C41</f>
        <v>0</v>
      </c>
      <c r="E29" s="118">
        <f>DECEMBER!D41</f>
        <v>0</v>
      </c>
      <c r="F29" s="118">
        <f>DECEMBER!E41</f>
        <v>0</v>
      </c>
      <c r="G29" s="118">
        <f>DECEMBER!F41</f>
        <v>0</v>
      </c>
      <c r="H29" s="118">
        <f>DECEMBER!G41</f>
        <v>0</v>
      </c>
      <c r="I29" s="118">
        <f>DECEMBER!H41</f>
        <v>0</v>
      </c>
      <c r="J29" s="118">
        <f>DECEMBER!I41</f>
        <v>0</v>
      </c>
      <c r="K29" s="118">
        <f>DECEMBER!J41</f>
        <v>0</v>
      </c>
      <c r="L29" s="119">
        <f>DECEMBER!K41</f>
        <v>0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0</v>
      </c>
      <c r="W29" s="118">
        <f>DECEMBER!V41</f>
        <v>0</v>
      </c>
      <c r="X29" s="118">
        <f>DECEMBER!W41</f>
        <v>0</v>
      </c>
      <c r="Y29" s="118">
        <f>DECEMBER!X41</f>
        <v>0</v>
      </c>
      <c r="Z29" s="118">
        <f>DECEMBER!Y41</f>
        <v>0</v>
      </c>
      <c r="AA29" s="118">
        <f>DECEMBER!Z41</f>
        <v>0</v>
      </c>
      <c r="AB29" s="118">
        <f>DECEMBER!AA41</f>
        <v>0</v>
      </c>
      <c r="AC29" s="121">
        <f>DECEMBER!AB41</f>
        <v>0</v>
      </c>
      <c r="AD29" s="121">
        <f>DECEMBER!AC41</f>
        <v>0</v>
      </c>
      <c r="AE29" s="127"/>
      <c r="AF29" s="127"/>
      <c r="AG29" s="127"/>
      <c r="AH29" s="128"/>
    </row>
    <row r="30" spans="1:34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1">SUM(D18:D29)</f>
        <v>9777.6310895860697</v>
      </c>
      <c r="E30" s="122">
        <f t="shared" si="1"/>
        <v>180984.13548915493</v>
      </c>
      <c r="F30" s="122">
        <f t="shared" si="1"/>
        <v>4878.4600453909497</v>
      </c>
      <c r="G30" s="122">
        <f t="shared" si="1"/>
        <v>0</v>
      </c>
      <c r="H30" s="122">
        <f t="shared" si="1"/>
        <v>16819.47171760357</v>
      </c>
      <c r="I30" s="122">
        <f t="shared" si="1"/>
        <v>14226.556396078315</v>
      </c>
      <c r="J30" s="122">
        <f t="shared" si="1"/>
        <v>107710.5619519639</v>
      </c>
      <c r="K30" s="122">
        <f t="shared" si="1"/>
        <v>294045.94241735368</v>
      </c>
      <c r="L30" s="122">
        <f t="shared" si="1"/>
        <v>57691.668208930139</v>
      </c>
      <c r="M30" s="122">
        <f t="shared" si="1"/>
        <v>0</v>
      </c>
      <c r="N30" s="122">
        <f t="shared" si="1"/>
        <v>0</v>
      </c>
      <c r="O30" s="122">
        <f t="shared" si="1"/>
        <v>0</v>
      </c>
      <c r="P30" s="122">
        <f t="shared" si="1"/>
        <v>0</v>
      </c>
      <c r="Q30" s="122">
        <f t="shared" si="1"/>
        <v>0</v>
      </c>
      <c r="R30" s="122">
        <f t="shared" si="1"/>
        <v>0</v>
      </c>
      <c r="S30" s="122">
        <f t="shared" si="1"/>
        <v>0</v>
      </c>
      <c r="T30" s="122">
        <f t="shared" si="1"/>
        <v>0</v>
      </c>
      <c r="U30" s="122">
        <f t="shared" si="1"/>
        <v>0</v>
      </c>
      <c r="V30" s="122">
        <f t="shared" si="1"/>
        <v>43182.03646367175</v>
      </c>
      <c r="W30" s="122">
        <f t="shared" si="1"/>
        <v>7710.5378051416928</v>
      </c>
      <c r="X30" s="122">
        <f t="shared" si="1"/>
        <v>11652.471912254563</v>
      </c>
      <c r="Y30" s="122">
        <f t="shared" si="1"/>
        <v>1293.1075447263647</v>
      </c>
      <c r="Z30" s="122">
        <f t="shared" si="1"/>
        <v>195386.70990711713</v>
      </c>
      <c r="AA30" s="122">
        <f t="shared" si="1"/>
        <v>20125.1922382382</v>
      </c>
      <c r="AB30" s="122">
        <f t="shared" si="1"/>
        <v>0</v>
      </c>
      <c r="AC30" s="122">
        <f t="shared" si="1"/>
        <v>3170.8782995037614</v>
      </c>
      <c r="AD30" s="122">
        <f t="shared" si="1"/>
        <v>0</v>
      </c>
      <c r="AE30" s="129" t="str">
        <f>IF(SUM(AE18:AE29)&gt;0, AVERAGE(AE18:AE29), "")</f>
        <v/>
      </c>
      <c r="AF30" s="129" t="str">
        <f>IF(SUM(AF18:AF29)&gt;0, AVERAGE(AF18:AF29), "")</f>
        <v/>
      </c>
      <c r="AG30" s="129" t="str">
        <f>IF(SUM(AG18:AG29)&gt;0, AVERAGE(AG18:AG29), "")</f>
        <v/>
      </c>
      <c r="AH30" s="227" t="str">
        <f>IF(SUM(AH18:AH29)&gt;0, AVERAGE(AH18:AH29), "")</f>
        <v/>
      </c>
    </row>
    <row r="31" spans="1:34" ht="16.5" customHeight="1" thickTop="1" x14ac:dyDescent="0.25"/>
    <row r="32" spans="1:34" ht="15.75" thickBot="1" x14ac:dyDescent="0.3">
      <c r="C32" s="338" t="s">
        <v>203</v>
      </c>
      <c r="D32" s="338" t="s">
        <v>204</v>
      </c>
      <c r="E32" s="338" t="s">
        <v>205</v>
      </c>
    </row>
    <row r="33" spans="1:5" ht="15.75" customHeight="1" thickTop="1" x14ac:dyDescent="0.25">
      <c r="A33" s="407" t="s">
        <v>206</v>
      </c>
      <c r="B33" s="89" t="s">
        <v>52</v>
      </c>
      <c r="C33" s="333">
        <f>IF(ISNUMBER(JANUARY!B51)=TRUE,JANUARY!B51,"")</f>
        <v>0.68963990050264978</v>
      </c>
      <c r="D33" s="333">
        <f>IF(ISNUMBER(JANUARY!E51)=TRUE,JANUARY!E51,"")</f>
        <v>1.637276696364417</v>
      </c>
      <c r="E33" s="333">
        <f>IF(ISNUMBER(JANUARY!H51)=TRUE,JANUARY!H51,"")</f>
        <v>0.46582690813024263</v>
      </c>
    </row>
    <row r="34" spans="1:5" ht="15.75" customHeight="1" x14ac:dyDescent="0.25">
      <c r="A34" s="408"/>
      <c r="B34" s="90" t="s">
        <v>53</v>
      </c>
      <c r="C34" s="334">
        <f>IF(ISNUMBER(FEBRUARY!$B$51)=TRUE,FEBRUARY!$B$51,"")</f>
        <v>0.83325858348518134</v>
      </c>
      <c r="D34" s="334">
        <f>IF(ISNUMBER(FEBRUARY!$E$51)=TRUE,FEBRUARY!$E$51,"")</f>
        <v>1.8365114937118312</v>
      </c>
      <c r="E34" s="334">
        <f>IF(ISNUMBER(FEBRUARY!$H$51)=TRUE,FEBRUARY!$H$51,"")</f>
        <v>0.54298001577577781</v>
      </c>
    </row>
    <row r="35" spans="1:5" x14ac:dyDescent="0.25">
      <c r="A35" s="408"/>
      <c r="B35" s="90" t="s">
        <v>54</v>
      </c>
      <c r="C35" s="334">
        <f>IF(ISNUMBER(MARCH!$B$51)=TRUE,MARCH!$B$51,"")</f>
        <v>0.81172098469688736</v>
      </c>
      <c r="D35" s="334">
        <f>IF(ISNUMBER(MARCH!$E$51)=TRUE,MARCH!$E$51,"")</f>
        <v>1.928573910159193</v>
      </c>
      <c r="E35" s="334">
        <f>IF(ISNUMBER(MARCH!$H$51)=TRUE,MARCH!$H$51,"")</f>
        <v>0.50783512609758252</v>
      </c>
    </row>
    <row r="36" spans="1:5" x14ac:dyDescent="0.25">
      <c r="A36" s="408"/>
      <c r="B36" s="90" t="s">
        <v>55</v>
      </c>
      <c r="C36" s="334">
        <f>IF(ISNUMBER(APRIL!$B$51)=TRUE,APRIL!$B$51,"")</f>
        <v>0.80764597072392119</v>
      </c>
      <c r="D36" s="334">
        <f>IF(ISNUMBER(APRIL!$E$51)=TRUE,APRIL!$E$51,"")</f>
        <v>2.094530261385088</v>
      </c>
      <c r="E36" s="334">
        <f>IF(ISNUMBER(APRIL!$H$51)=TRUE,APRIL!$H$51,"")</f>
        <v>0.50722116611240298</v>
      </c>
    </row>
    <row r="37" spans="1:5" x14ac:dyDescent="0.25">
      <c r="A37" s="408"/>
      <c r="B37" s="90" t="s">
        <v>56</v>
      </c>
      <c r="C37" s="334">
        <f>IF(ISNUMBER(MAY!$B$51)=TRUE,MAY!$B$51,"")</f>
        <v>1.0776899004101645</v>
      </c>
      <c r="D37" s="334">
        <f>IF(ISNUMBER(MAY!$E$51)=TRUE,MAY!$E$51,"")</f>
        <v>2.0634465104842548</v>
      </c>
      <c r="E37" s="334">
        <f>IF(ISNUMBER(MAY!$H$51)=TRUE,MAY!$H$51,"")</f>
        <v>0.73268778903324316</v>
      </c>
    </row>
    <row r="38" spans="1:5" x14ac:dyDescent="0.25">
      <c r="A38" s="408"/>
      <c r="B38" s="90" t="s">
        <v>57</v>
      </c>
      <c r="C38" s="334">
        <f>IF(ISNUMBER(JUNE!$B$51)=TRUE,JUNE!$B$51,"")</f>
        <v>0.52108069902499543</v>
      </c>
      <c r="D38" s="334">
        <f>IF(ISNUMBER(JUNE!$E$51)=TRUE,JUNE!$E$51,"")</f>
        <v>4.4455029441590881</v>
      </c>
      <c r="E38" s="334">
        <f>IF(ISNUMBER(JUNE!$H$51)=TRUE,JUNE!$H$51,"")</f>
        <v>0.35132356467565079</v>
      </c>
    </row>
    <row r="39" spans="1:5" x14ac:dyDescent="0.25">
      <c r="A39" s="408"/>
      <c r="B39" s="90" t="s">
        <v>58</v>
      </c>
      <c r="C39" s="334">
        <f>IF(ISNUMBER(JULY!$B$51)=TRUE,JULY!$B$51,"")</f>
        <v>0.59717100286724711</v>
      </c>
      <c r="D39" s="334" t="str">
        <f>IF(ISNUMBER(JULY!$E$51)=TRUE,JULY!$E$51,"")</f>
        <v/>
      </c>
      <c r="E39" s="334">
        <f>IF(ISNUMBER(JULY!$H$51)=TRUE,JULY!$H$51,"")</f>
        <v>0.3927145010140366</v>
      </c>
    </row>
    <row r="40" spans="1:5" x14ac:dyDescent="0.25">
      <c r="A40" s="408"/>
      <c r="B40" s="90" t="s">
        <v>59</v>
      </c>
      <c r="C40" s="334">
        <f>IF(ISNUMBER(AUGUST!$B$51)=TRUE,AUGUST!$B$51,"")</f>
        <v>0.4526183922771953</v>
      </c>
      <c r="D40" s="334" t="str">
        <f>IF(ISNUMBER(AUGUST!$E$51)=TRUE,AUGUST!$E$51,"")</f>
        <v/>
      </c>
      <c r="E40" s="334">
        <f>IF(ISNUMBER(AUGUST!$H$51)=TRUE,AUGUST!$H$51,"")</f>
        <v>0.34121990357646764</v>
      </c>
    </row>
    <row r="41" spans="1:5" x14ac:dyDescent="0.25">
      <c r="A41" s="408"/>
      <c r="B41" s="90" t="s">
        <v>60</v>
      </c>
      <c r="C41" s="334">
        <f>IF(ISNUMBER(SEPTEMBER!$B$51)=TRUE,SEPTEMBER!$B$51,"")</f>
        <v>0.47360646174052295</v>
      </c>
      <c r="D41" s="334" t="str">
        <f>IF(ISNUMBER(SEPTEMBER!$E$51)=TRUE,SEPTEMBER!$E$51,"")</f>
        <v/>
      </c>
      <c r="E41" s="334" t="str">
        <f>IF(ISNUMBER(SEPTEMBER!$BH$51)=TRUE,SEPTEMBER!$H$51,"")</f>
        <v/>
      </c>
    </row>
    <row r="42" spans="1:5" x14ac:dyDescent="0.25">
      <c r="A42" s="408"/>
      <c r="B42" s="90" t="s">
        <v>61</v>
      </c>
      <c r="C42" s="334" t="str">
        <f>IF(ISNUMBER(OCTOBER!$B$51)=TRUE,OCTOBER!$B$51,"")</f>
        <v/>
      </c>
      <c r="D42" s="334" t="str">
        <f>IF(ISNUMBER(OCTOBER!$E$51)=TRUE,OCTOBER!$E$51,"")</f>
        <v/>
      </c>
      <c r="E42" s="334" t="str">
        <f>IF(ISNUMBER(OCTOBER!$H$51)=TRUE,OCTOBER!$H$51,"")</f>
        <v/>
      </c>
    </row>
    <row r="43" spans="1:5" x14ac:dyDescent="0.25">
      <c r="A43" s="408"/>
      <c r="B43" s="90" t="s">
        <v>62</v>
      </c>
      <c r="C43" s="334" t="str">
        <f>IF(ISNUMBER(NOVEMBER!$B$51)=TRUE,NOVEMBER!$B$51,"")</f>
        <v/>
      </c>
      <c r="D43" s="334" t="str">
        <f>IF(ISNUMBER(NOVEMBER!$E$51)=TRUE,NOVEMBER!$E$51,"")</f>
        <v/>
      </c>
      <c r="E43" s="334" t="str">
        <f>IF(ISNUMBER(NOVEMBER!$H$51)=TRUE,NOVEMBER!$H$51,"")</f>
        <v/>
      </c>
    </row>
    <row r="44" spans="1:5" ht="15.75" thickBot="1" x14ac:dyDescent="0.3">
      <c r="A44" s="408"/>
      <c r="B44" s="92" t="s">
        <v>63</v>
      </c>
      <c r="C44" s="335" t="str">
        <f>IF(ISNUMBER(DECEMBER!$B$51)=TRUE,DECEMBER!$B$51,"")</f>
        <v/>
      </c>
      <c r="D44" s="335" t="str">
        <f>IF(ISNUMBER(DECEMBER!$E$51)=TRUE,DECEMBER!$E$51,"")</f>
        <v/>
      </c>
      <c r="E44" s="335" t="str">
        <f>IF(ISNUMBER(DECEMBER!$H$51)=TRUE,DECEMBER!$H$51,"")</f>
        <v/>
      </c>
    </row>
    <row r="45" spans="1:5" ht="15.75" thickBot="1" x14ac:dyDescent="0.3">
      <c r="A45" s="409"/>
      <c r="B45" s="337" t="s">
        <v>207</v>
      </c>
      <c r="C45" s="336">
        <f>AVERAGE(C33:C44)</f>
        <v>0.69604798841430737</v>
      </c>
      <c r="D45" s="336">
        <f>AVERAGE(D33:D44)</f>
        <v>2.334306969377312</v>
      </c>
      <c r="E45" s="336">
        <f>AVERAGE(E33:E44)</f>
        <v>0.48022612180192553</v>
      </c>
    </row>
    <row r="47" spans="1:5" ht="15.75" thickBot="1" x14ac:dyDescent="0.3">
      <c r="C47" s="338" t="s">
        <v>203</v>
      </c>
      <c r="D47" s="338" t="s">
        <v>204</v>
      </c>
      <c r="E47" s="338" t="s">
        <v>205</v>
      </c>
    </row>
    <row r="48" spans="1:5" ht="15" customHeight="1" thickTop="1" x14ac:dyDescent="0.25">
      <c r="A48" s="403" t="s">
        <v>210</v>
      </c>
      <c r="B48" s="342" t="s">
        <v>219</v>
      </c>
      <c r="C48" s="343">
        <f>(JANUARY!B44+FEBRUARY!B44+MARCH!B44+APRIL!B44+MAY!B44+JUNE!B44+JULY!B44+AUGUST!B44+SEPTEMBER!B44+OCTOBER!B44+NOVEMBER!B44+DECEMBER!B44)/$AE$17</f>
        <v>210.64479436643421</v>
      </c>
      <c r="D48" s="344">
        <f>(JANUARY!E44+FEBRUARY!E44+MARCH!E44+APRIL!E44+MAY!E44+JUNE!E44+JULY!E44+AUGUST!E44+SEPTEMBER!E44+OCTOBER!E44+NOVEMBER!E44+DECEMBER!E44)/$AG$17</f>
        <v>566.25067437310304</v>
      </c>
      <c r="E48" s="345">
        <f>(JANUARY!H44+FEBRUARY!H44+MARCH!H44+APRIL!H44+MAY!H44+JUNE!H44+JULY!H44+AUGUST!H44+SEPTEMBER!H44+OCTOBER!H44+NOVEMBER!H44+DECEMBER!H44)/$AF$17</f>
        <v>174.14572201024683</v>
      </c>
    </row>
    <row r="49" spans="1:5" ht="15" customHeight="1" x14ac:dyDescent="0.25">
      <c r="A49" s="404"/>
      <c r="B49" s="346" t="s">
        <v>211</v>
      </c>
      <c r="C49" s="334">
        <f>(JANUARY!B47+FEBRUARY!B47+MARCH!B47+APRIL!B47+MAY!B47+JUNE!B47+JULY!B47+AUGUST!B47+SEPTEMBER!B47+OCTOBER!B47+NOVEMBER!B47+DECEMBER!B47)/$AE$17</f>
        <v>245.88263412938133</v>
      </c>
      <c r="D49" s="334">
        <f>(JANUARY!E47+FEBRUARY!E47+MARCH!E47+APRIL!E47+MAY!E47+JUNE!E47+JULY!E47+AUGUST!E47+SEPTEMBER!E47+OCTOBER!E47+NOVEMBER!E47+DECEMBER!E47)/$AG$17</f>
        <v>1251.4081709431159</v>
      </c>
      <c r="E49" s="347">
        <f>(JANUARY!H47+FEBRUARY!H47+MARCH!H47+APRIL!H47+MAY!H47+JUNE!H47+JULY!H47+AUGUST!H47+SEPTEMBER!H47+OCTOBER!H47+NOVEMBER!H47+DECEMBER!H47)/$AF$17</f>
        <v>138.73088394471938</v>
      </c>
    </row>
    <row r="50" spans="1:5" ht="15" customHeight="1" x14ac:dyDescent="0.25">
      <c r="A50" s="404"/>
      <c r="B50" s="346" t="s">
        <v>212</v>
      </c>
      <c r="C50" s="348">
        <f>C48+C51</f>
        <v>324.9092259839461</v>
      </c>
      <c r="D50" s="348">
        <f>D48+D51</f>
        <v>1147.7941570213507</v>
      </c>
      <c r="E50" s="349">
        <f>E48+E51</f>
        <v>238.61552752484522</v>
      </c>
    </row>
    <row r="51" spans="1:5" ht="15" customHeight="1" x14ac:dyDescent="0.25">
      <c r="A51" s="404"/>
      <c r="B51" s="346" t="s">
        <v>213</v>
      </c>
      <c r="C51" s="334">
        <f>(JANUARY!B48+FEBRUARY!B48+MARCH!B48+APRIL!B48+MAY!B48+JUNE!B48+JULY!B48+AUGUST!B48+SEPTEMBER!B48+OCTOBER!B48+NOVEMBER!B48+DECEMBER!B48)/$AE$17</f>
        <v>114.26443161751189</v>
      </c>
      <c r="D51" s="334">
        <f>(JANUARY!E48+FEBRUARY!E48+MARCH!E48+APRIL!E48+MAY!E48+JUNE!E48+JULY!E48+AUGUST!E48+SEPTEMBER!E48+OCTOBER!E48+NOVEMBER!E48+DECEMBER!E48)/$AG$17</f>
        <v>581.54348264824762</v>
      </c>
      <c r="E51" s="347">
        <f>(JANUARY!H48+FEBRUARY!H48+MARCH!H48+APRIL!H48+MAY!H48+JUNE!H48+JULY!H48+AUGUST!H48+SEPTEMBER!H48+OCTOBER!H48+NOVEMBER!H48+DECEMBER!H48)/$AF$17</f>
        <v>64.469805514598391</v>
      </c>
    </row>
    <row r="52" spans="1:5" ht="15" customHeight="1" x14ac:dyDescent="0.25">
      <c r="A52" s="404"/>
      <c r="B52" s="346" t="s">
        <v>214</v>
      </c>
      <c r="C52" s="334">
        <f>(JANUARY!B46+FEBRUARY!B46+MARCH!B46+APRIL!B46+MAY!B46+JUNE!B46+JULY!B46+AUGUST!B46+SEPTEMBER!B46+OCTOBER!B46+NOVEMBER!B46+DECEMBER!B46)/$AE$17</f>
        <v>24.481595514925303</v>
      </c>
      <c r="D52" s="334">
        <f>(JANUARY!E46+FEBRUARY!E46+MARCH!E46+APRIL!E46+MAY!E46+JUNE!E46+JULY!E46+AUGUST!E46+SEPTEMBER!E46+OCTOBER!E46+NOVEMBER!E46+DECEMBER!E46)/$AG$17</f>
        <v>126.71787797355525</v>
      </c>
      <c r="E52" s="347">
        <f>(JANUARY!H46+FEBRUARY!H46+MARCH!H46+APRIL!H46+MAY!H46+JUNE!H46+JULY!H46+AUGUST!H46+SEPTEMBER!H46+OCTOBER!H46+NOVEMBER!H46+DECEMBER!H46)/$AF$17</f>
        <v>13.577888268647412</v>
      </c>
    </row>
    <row r="53" spans="1:5" ht="15" customHeight="1" x14ac:dyDescent="0.25">
      <c r="A53" s="404"/>
      <c r="B53" s="350" t="s">
        <v>215</v>
      </c>
      <c r="C53" s="335">
        <f>(JANUARY!B45+FEBRUARY!B45+MARCH!B45+APRIL!B45+MAY!B45+JUNE!B45+JULY!B45+AUGUST!B45+SEPTEMBER!B45+OCTOBER!B45+NOVEMBER!B45+DECEMBER!B45)/$AE$17</f>
        <v>71.756504775557616</v>
      </c>
      <c r="D53" s="335">
        <f>(JANUARY!E45+FEBRUARY!E45+MARCH!E45+APRIL!E45+MAY!E45+JUNE!E45+JULY!E45+AUGUST!E45+SEPTEMBER!E45+OCTOBER!E45+NOVEMBER!E45+DECEMBER!E45)/$AG$17</f>
        <v>374.76987018756461</v>
      </c>
      <c r="E53" s="351">
        <f>(JANUARY!H45+FEBRUARY!H45+MARCH!H45+APRIL!H45+MAY!H45+JUNE!H45+JULY!H45+AUGUST!H45+SEPTEMBER!H45+OCTOBER!H45+NOVEMBER!H45+DECEMBER!H45)/$AF$17</f>
        <v>39.425397152480471</v>
      </c>
    </row>
    <row r="54" spans="1:5" ht="15" customHeight="1" x14ac:dyDescent="0.25">
      <c r="A54" s="405"/>
      <c r="B54" s="350" t="s">
        <v>220</v>
      </c>
      <c r="C54" s="361">
        <f>(SUM(JANUARY!AH39:AQ39)+SUM(FEBRUARY!AH39:AQ39)+SUM(MARCH!AH39:AQ39)+SUM(APRIL!AH39:AQ39)+SUM(MAY!AH39:AQ39)+SUM(JUNE!AH39:AQ39)+SUM(JULY!AH39:AQ39)+SUM(AUGUST!AH39:AQ39)+SUM(SEPTEMBER!AH39:AQ39)+SUM(OCTOBER!AH39:AQ39)+SUM(NOVEMBER!AH39:AQ39)+SUM(DECEMBER!AH39:AQ39))</f>
        <v>4235909.454787802</v>
      </c>
      <c r="D54" s="361">
        <f>(JANUARY!E45/JANUARY!AH40+FEBRUARY!E45/FEBRUARY!AH40+MARCH!E45/MARCH!AH40+APRIL!E45/APRIL!AH40+MAY!E45/MAY!AH40+JUNE!E45/JUNE!AH40+JULY!E45/JULY!AH40+AUGUST!E45/AUGUST!AH40+SEPTEMBER!E45/SEPTEMBER!AH40+OCTOBER!E45/OCTOBER!AH40+NOVEMBER!E45/NOVEMBER!AH40+DECEMBER!E45/DECEMBER!AH40)</f>
        <v>2136133.4899208839</v>
      </c>
      <c r="E54" s="362">
        <f>C54-D54</f>
        <v>2099775.964866918</v>
      </c>
    </row>
    <row r="55" spans="1:5" ht="15" customHeight="1" thickBot="1" x14ac:dyDescent="0.3">
      <c r="A55" s="405"/>
      <c r="B55" s="350" t="s">
        <v>221</v>
      </c>
      <c r="C55" s="363">
        <f>C54/C58</f>
        <v>921.14524064485704</v>
      </c>
      <c r="D55" s="363">
        <f>D54/D58</f>
        <v>4728.3646098471845</v>
      </c>
      <c r="E55" s="364">
        <f>E54/E58</f>
        <v>515.26387663094772</v>
      </c>
    </row>
    <row r="56" spans="1:5" ht="15" customHeight="1" thickTop="1" x14ac:dyDescent="0.25">
      <c r="A56" s="405"/>
      <c r="B56" s="352" t="s">
        <v>216</v>
      </c>
      <c r="C56" s="353">
        <f>C48+C49+C51+C52+C53</f>
        <v>667.02996040381026</v>
      </c>
      <c r="D56" s="353">
        <f>D48+D49+D51+D52+D53</f>
        <v>2900.6900761255865</v>
      </c>
      <c r="E56" s="354">
        <f>E48+E49+E51+E52+E53</f>
        <v>430.34969689069248</v>
      </c>
    </row>
    <row r="57" spans="1:5" ht="15" customHeight="1" x14ac:dyDescent="0.25">
      <c r="A57" s="405"/>
      <c r="B57" s="355" t="s">
        <v>217</v>
      </c>
      <c r="C57" s="356">
        <f>C56/1000</f>
        <v>0.66702996040381024</v>
      </c>
      <c r="D57" s="356">
        <f>D56/1000</f>
        <v>2.9006900761255867</v>
      </c>
      <c r="E57" s="357">
        <f>E56/1000</f>
        <v>0.43034969689069247</v>
      </c>
    </row>
    <row r="58" spans="1:5" ht="15" customHeight="1" thickBot="1" x14ac:dyDescent="0.3">
      <c r="A58" s="406"/>
      <c r="B58" s="358" t="s">
        <v>218</v>
      </c>
      <c r="C58" s="359">
        <f>AE17</f>
        <v>4598.5250402232014</v>
      </c>
      <c r="D58" s="359">
        <f>AG17</f>
        <v>451.77004444035913</v>
      </c>
      <c r="E58" s="360">
        <f>AF17</f>
        <v>4075.1468521261395</v>
      </c>
    </row>
    <row r="59" spans="1:5" ht="15.75" thickTop="1" x14ac:dyDescent="0.25"/>
  </sheetData>
  <sheetProtection algorithmName="SHA-512" hashValue="OrErLab0Ug0lXn275MuXyz03J/CK3XQl6KMMGJhknELL2g6DJq3sJxQh4OQS6iuzNSvTF/+j0lxl9d49AYk4Ig==" saltValue="Gcvh5A2ovpRZwhSA92Zqhg==" spinCount="100000" sheet="1" objects="1" scenarios="1" selectLockedCells="1" selectUnlockedCells="1"/>
  <mergeCells count="14">
    <mergeCell ref="A48:A58"/>
    <mergeCell ref="A33:A45"/>
    <mergeCell ref="A4:A15"/>
    <mergeCell ref="A18:A29"/>
    <mergeCell ref="A1:B1"/>
    <mergeCell ref="A16:B16"/>
    <mergeCell ref="C1:AH1"/>
    <mergeCell ref="A2:B3"/>
    <mergeCell ref="AE2:AH2"/>
    <mergeCell ref="C2:I2"/>
    <mergeCell ref="J2:O2"/>
    <mergeCell ref="P2:U2"/>
    <mergeCell ref="V2:AB2"/>
    <mergeCell ref="AC2:AD2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40" t="s">
        <v>222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361950</xdr:colOff>
                <xdr:row>42</xdr:row>
                <xdr:rowOff>114300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104775</xdr:colOff>
                <xdr:row>0</xdr:row>
                <xdr:rowOff>0</xdr:rowOff>
              </from>
              <to>
                <xdr:col>20</xdr:col>
                <xdr:colOff>466725</xdr:colOff>
                <xdr:row>31</xdr:row>
                <xdr:rowOff>85725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topLeftCell="O1" zoomScale="90" zoomScaleNormal="90" workbookViewId="0">
      <selection activeCell="E8" sqref="E8 O8 AB18 AB8 T18"/>
    </sheetView>
  </sheetViews>
  <sheetFormatPr defaultRowHeight="15" x14ac:dyDescent="0.25"/>
  <cols>
    <col min="1" max="2" width="12.7109375" customWidth="1"/>
    <col min="3" max="21" width="9.140625" customWidth="1"/>
    <col min="22" max="24" width="9.85546875" bestFit="1" customWidth="1"/>
    <col min="25" max="25" width="9.7109375" customWidth="1"/>
    <col min="26" max="31" width="9.140625" customWidth="1"/>
    <col min="32" max="35" width="9.85546875" bestFit="1" customWidth="1"/>
  </cols>
  <sheetData>
    <row r="1" spans="1:35" ht="21.75" thickBot="1" x14ac:dyDescent="0.3">
      <c r="A1" s="487">
        <v>2015</v>
      </c>
      <c r="B1" s="519"/>
      <c r="C1" s="520" t="s">
        <v>90</v>
      </c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522"/>
    </row>
    <row r="2" spans="1:35" ht="28.5" customHeight="1" thickBot="1" x14ac:dyDescent="0.3">
      <c r="A2" s="523"/>
      <c r="B2" s="385"/>
      <c r="C2" s="526" t="s">
        <v>66</v>
      </c>
      <c r="D2" s="390"/>
      <c r="E2" s="390"/>
      <c r="F2" s="390"/>
      <c r="G2" s="390"/>
      <c r="H2" s="390"/>
      <c r="I2" s="390"/>
      <c r="J2" s="390"/>
      <c r="K2" s="390"/>
      <c r="L2" s="390"/>
      <c r="M2" s="527"/>
      <c r="N2" s="527"/>
      <c r="O2" s="527"/>
      <c r="P2" s="528"/>
      <c r="Q2" s="529" t="s">
        <v>71</v>
      </c>
      <c r="R2" s="530"/>
      <c r="S2" s="530"/>
      <c r="T2" s="530"/>
      <c r="U2" s="530"/>
      <c r="V2" s="530"/>
      <c r="W2" s="530"/>
      <c r="X2" s="530"/>
      <c r="Y2" s="530"/>
      <c r="Z2" s="530"/>
      <c r="AA2" s="530"/>
      <c r="AB2" s="530"/>
      <c r="AC2" s="531"/>
      <c r="AD2" s="532" t="s">
        <v>83</v>
      </c>
      <c r="AE2" s="533"/>
      <c r="AF2" s="536" t="s">
        <v>161</v>
      </c>
      <c r="AG2" s="537"/>
      <c r="AH2" s="537"/>
      <c r="AI2" s="538"/>
    </row>
    <row r="3" spans="1:35" ht="28.5" customHeight="1" thickBot="1" x14ac:dyDescent="0.3">
      <c r="A3" s="523"/>
      <c r="B3" s="385"/>
      <c r="C3" s="526" t="s">
        <v>91</v>
      </c>
      <c r="D3" s="390"/>
      <c r="E3" s="390"/>
      <c r="F3" s="390"/>
      <c r="G3" s="390"/>
      <c r="H3" s="390"/>
      <c r="I3" s="391"/>
      <c r="J3" s="395" t="s">
        <v>92</v>
      </c>
      <c r="K3" s="396"/>
      <c r="L3" s="397"/>
      <c r="M3" s="496" t="s">
        <v>93</v>
      </c>
      <c r="N3" s="497"/>
      <c r="O3" s="497"/>
      <c r="P3" s="498"/>
      <c r="Q3" s="495" t="s">
        <v>94</v>
      </c>
      <c r="R3" s="393"/>
      <c r="S3" s="393"/>
      <c r="T3" s="393"/>
      <c r="U3" s="393"/>
      <c r="V3" s="394"/>
      <c r="W3" s="395" t="s">
        <v>95</v>
      </c>
      <c r="X3" s="396"/>
      <c r="Y3" s="397"/>
      <c r="Z3" s="496" t="s">
        <v>96</v>
      </c>
      <c r="AA3" s="497"/>
      <c r="AB3" s="497"/>
      <c r="AC3" s="498"/>
      <c r="AD3" s="534"/>
      <c r="AE3" s="535"/>
      <c r="AF3" s="539"/>
      <c r="AG3" s="540"/>
      <c r="AH3" s="540"/>
      <c r="AI3" s="541"/>
    </row>
    <row r="4" spans="1:35" ht="129.75" thickBot="1" x14ac:dyDescent="0.3">
      <c r="A4" s="524"/>
      <c r="B4" s="525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499" t="s">
        <v>99</v>
      </c>
      <c r="B5" s="500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470"/>
      <c r="B6" s="501"/>
      <c r="C6" s="144">
        <f>'Yearly Summary '!$C$17</f>
        <v>0</v>
      </c>
      <c r="D6" s="142">
        <f>'Yearly Summary '!$D$17</f>
        <v>8057.4688216487648</v>
      </c>
      <c r="E6" s="142">
        <f>'Yearly Summary '!$E$17</f>
        <v>78285.482215593292</v>
      </c>
      <c r="F6" s="142">
        <f>'Yearly Summary '!$F$17</f>
        <v>1124.8985531707594</v>
      </c>
      <c r="G6" s="142">
        <f>'Yearly Summary '!$G$17</f>
        <v>0</v>
      </c>
      <c r="H6" s="142">
        <f>'Yearly Summary '!$H$17</f>
        <v>293405.52494729304</v>
      </c>
      <c r="I6" s="142">
        <f>'Yearly Summary '!$I$17</f>
        <v>3934.3637932548945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32602.696850493419</v>
      </c>
      <c r="N6" s="142">
        <f>'Yearly Summary '!$Y$17</f>
        <v>1114.7478833847972</v>
      </c>
      <c r="O6" s="142">
        <f>'Yearly Summary '!$AA$17</f>
        <v>8705.2402399457915</v>
      </c>
      <c r="P6" s="143">
        <f>('Yearly Summary '!$AB$17)*(1-AI6)</f>
        <v>5.8186093756068868E-2</v>
      </c>
      <c r="Q6" s="141">
        <f>'Yearly Summary '!$J$17</f>
        <v>133663.02142910953</v>
      </c>
      <c r="R6" s="142">
        <f>'Yearly Summary '!$K$17</f>
        <v>242314.93205788932</v>
      </c>
      <c r="S6" s="142">
        <f>'Yearly Summary '!$L$17</f>
        <v>13302.819638657566</v>
      </c>
      <c r="T6" s="142">
        <f>'Yearly Summary '!$M$17</f>
        <v>0.32840855121612311</v>
      </c>
      <c r="U6" s="142">
        <f>'Yearly Summary '!N17</f>
        <v>0</v>
      </c>
      <c r="V6" s="142">
        <f>'Yearly Summary '!O17</f>
        <v>0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182587.89202398204</v>
      </c>
      <c r="AA6" s="142">
        <f>'Yearly Summary '!$X$17</f>
        <v>10045.234407116004</v>
      </c>
      <c r="AB6" s="142">
        <f>'Yearly Summary '!$Z$17</f>
        <v>84515.37899858343</v>
      </c>
      <c r="AC6" s="143">
        <f>('Yearly Summary '!$AB$17)*AI6</f>
        <v>0.5248618843272238</v>
      </c>
      <c r="AD6" s="144">
        <v>4688.3846085177338</v>
      </c>
      <c r="AE6" s="142">
        <v>0</v>
      </c>
      <c r="AF6" s="147">
        <f>'Yearly Summary '!$AE$17</f>
        <v>4598.5250402232014</v>
      </c>
      <c r="AG6" s="147">
        <f>'Yearly Summary '!$AF$17</f>
        <v>4075.1468521261395</v>
      </c>
      <c r="AH6" s="147">
        <f>'Yearly Summary '!$AG$17</f>
        <v>451.77004444035913</v>
      </c>
      <c r="AI6" s="148">
        <f>'Yearly Summary '!$AH$17</f>
        <v>0.90020359225436408</v>
      </c>
    </row>
    <row r="7" spans="1:35" ht="15" customHeight="1" x14ac:dyDescent="0.25">
      <c r="A7" s="472" t="s">
        <v>103</v>
      </c>
      <c r="B7" s="502"/>
      <c r="C7" s="152">
        <f>(C6*(1.029*8.34)*0.03)/2000</f>
        <v>0</v>
      </c>
      <c r="D7" s="150">
        <f>(D6*(1.4*8.34)*0.38)/2000</f>
        <v>17.875011132698486</v>
      </c>
      <c r="E7" s="150">
        <f>(E6*(1.54*8.34)*0.5)/2000</f>
        <v>251.36685484604851</v>
      </c>
      <c r="F7" s="150">
        <f>(F6*(1.04*8.34)*1)/2000</f>
        <v>4.8784600453909501</v>
      </c>
      <c r="G7" s="150">
        <f>(G6*(1.055*8.34)*0.005)/2000</f>
        <v>0</v>
      </c>
      <c r="H7" s="150">
        <f>H6/2000</f>
        <v>146.70276247364652</v>
      </c>
      <c r="I7" s="150">
        <f>(I6*(1.135*8.34)*0.35)/2000</f>
        <v>6.5174014903500126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16.301348425246708</v>
      </c>
      <c r="N7" s="150">
        <f>(N6*(0.895*8.34)*0.29)/2000</f>
        <v>1.2065178307626254</v>
      </c>
      <c r="O7" s="150">
        <f>(O6*(1.54*8.34)*0.5)/2000</f>
        <v>27.951655886441941</v>
      </c>
      <c r="P7" s="151">
        <f>(P6*(1.135*8.34)*0.35)/2000</f>
        <v>9.6387155354975138E-5</v>
      </c>
      <c r="Q7" s="149">
        <f>(Q6*(1.029*8.34)*0.03)/2000</f>
        <v>17.206160056224263</v>
      </c>
      <c r="R7" s="150">
        <f>(R6*(1.4*8.34)*0.38)/2000</f>
        <v>537.56113787450386</v>
      </c>
      <c r="S7" s="150">
        <f>(S6*(1.04*8.34)*1)/2000</f>
        <v>57.691668208930132</v>
      </c>
      <c r="T7" s="150">
        <f>(T6*(1.135*8.34)*0.35)/2000</f>
        <v>5.4401943836742241E-4</v>
      </c>
      <c r="U7" s="150">
        <f>(U6*(1.055*8.34)*0.005)/2000</f>
        <v>0</v>
      </c>
      <c r="V7" s="150">
        <f>(V6*(1.055*8.34)*0.005)/2000</f>
        <v>0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91.293946011991025</v>
      </c>
      <c r="AA7" s="150">
        <f>(AA6*(0.895*8.34)*0.29)/2000</f>
        <v>10.872193261830216</v>
      </c>
      <c r="AB7" s="150">
        <f>(AB6*(1.54*8.34)*0.5)/2000</f>
        <v>271.37043042655154</v>
      </c>
      <c r="AC7" s="151">
        <f>(AC6*(1.135*8.34)*0.35)/2000</f>
        <v>8.6945076939928681E-4</v>
      </c>
      <c r="AD7" s="152">
        <f>AD6/2000</f>
        <v>2.344192304258867</v>
      </c>
      <c r="AE7" s="150">
        <f>(AE6*(1.029*8.34)*0.03)/2000</f>
        <v>0</v>
      </c>
      <c r="AF7" s="506" t="s">
        <v>160</v>
      </c>
      <c r="AG7" s="507"/>
      <c r="AH7" s="507"/>
      <c r="AI7" s="508"/>
    </row>
    <row r="8" spans="1:35" x14ac:dyDescent="0.25">
      <c r="A8" s="515" t="s">
        <v>104</v>
      </c>
      <c r="B8" s="516"/>
      <c r="C8" s="156">
        <f>C7/$AH$6</f>
        <v>0</v>
      </c>
      <c r="D8" s="154">
        <f>D7/$AH$6</f>
        <v>3.9566614370905404E-2</v>
      </c>
      <c r="E8" s="154">
        <f t="shared" ref="E8:P8" si="0">E7/$AH$6</f>
        <v>0.55640443172241572</v>
      </c>
      <c r="F8" s="154">
        <f t="shared" si="0"/>
        <v>1.0798546971909699E-2</v>
      </c>
      <c r="G8" s="154">
        <f t="shared" si="0"/>
        <v>0</v>
      </c>
      <c r="H8" s="154">
        <f t="shared" si="0"/>
        <v>0.32472883999065949</v>
      </c>
      <c r="I8" s="154">
        <f t="shared" si="0"/>
        <v>1.4426369279139786E-2</v>
      </c>
      <c r="J8" s="154">
        <f t="shared" si="0"/>
        <v>0</v>
      </c>
      <c r="K8" s="154">
        <f t="shared" si="0"/>
        <v>0</v>
      </c>
      <c r="L8" s="154">
        <f t="shared" si="0"/>
        <v>0</v>
      </c>
      <c r="M8" s="154">
        <f t="shared" si="0"/>
        <v>3.6083287561574362E-2</v>
      </c>
      <c r="N8" s="154">
        <f t="shared" si="0"/>
        <v>2.6706459306243468E-3</v>
      </c>
      <c r="O8" s="154">
        <f t="shared" si="0"/>
        <v>6.1871423814891753E-2</v>
      </c>
      <c r="P8" s="155">
        <f t="shared" si="0"/>
        <v>2.133544632742904E-7</v>
      </c>
      <c r="Q8" s="153">
        <f>Q7/$AG$6</f>
        <v>4.2222184084598664E-3</v>
      </c>
      <c r="R8" s="154">
        <f t="shared" ref="R8:AD8" si="1">R7/$AG$6</f>
        <v>0.1319120898904638</v>
      </c>
      <c r="S8" s="154">
        <f t="shared" si="1"/>
        <v>1.415695441228835E-2</v>
      </c>
      <c r="T8" s="154">
        <f t="shared" si="1"/>
        <v>1.3349689179509921E-7</v>
      </c>
      <c r="U8" s="154">
        <f t="shared" si="1"/>
        <v>0</v>
      </c>
      <c r="V8" s="154">
        <f t="shared" si="1"/>
        <v>0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2.2402615003766047E-2</v>
      </c>
      <c r="AA8" s="154">
        <f t="shared" si="1"/>
        <v>2.6679267413781253E-3</v>
      </c>
      <c r="AB8" s="154">
        <f t="shared" si="1"/>
        <v>6.659157087430323E-2</v>
      </c>
      <c r="AC8" s="155">
        <f t="shared" si="1"/>
        <v>2.1335446327429048E-7</v>
      </c>
      <c r="AD8" s="156">
        <f t="shared" si="1"/>
        <v>5.7524118499823482E-4</v>
      </c>
      <c r="AE8" s="154"/>
      <c r="AF8" s="509"/>
      <c r="AG8" s="510"/>
      <c r="AH8" s="510"/>
      <c r="AI8" s="511"/>
    </row>
    <row r="9" spans="1:35" ht="15.75" thickBot="1" x14ac:dyDescent="0.3">
      <c r="A9" s="517" t="s">
        <v>105</v>
      </c>
      <c r="B9" s="518"/>
      <c r="C9" s="219">
        <f t="shared" ref="C9:P9" si="2">C7/$AH$19</f>
        <v>0</v>
      </c>
      <c r="D9" s="157">
        <f t="shared" si="2"/>
        <v>3.4318332806272916E-2</v>
      </c>
      <c r="E9" s="157">
        <f t="shared" si="2"/>
        <v>0.48260061585598008</v>
      </c>
      <c r="F9" s="157">
        <f t="shared" si="2"/>
        <v>9.3661824418991239E-3</v>
      </c>
      <c r="G9" s="157">
        <f t="shared" si="2"/>
        <v>0</v>
      </c>
      <c r="H9" s="157">
        <f t="shared" si="2"/>
        <v>0.2816554456271359</v>
      </c>
      <c r="I9" s="157">
        <f t="shared" si="2"/>
        <v>1.2512795193105161E-2</v>
      </c>
      <c r="J9" s="157">
        <f t="shared" si="2"/>
        <v>0</v>
      </c>
      <c r="K9" s="157">
        <f t="shared" si="2"/>
        <v>0</v>
      </c>
      <c r="L9" s="157">
        <f t="shared" si="2"/>
        <v>0</v>
      </c>
      <c r="M9" s="157">
        <f t="shared" si="2"/>
        <v>3.1297049064504548E-2</v>
      </c>
      <c r="N9" s="157">
        <f t="shared" si="2"/>
        <v>2.3164002609806192E-3</v>
      </c>
      <c r="O9" s="157">
        <f t="shared" si="2"/>
        <v>5.3664538840067229E-2</v>
      </c>
      <c r="P9" s="158">
        <f t="shared" si="2"/>
        <v>1.850542330388245E-7</v>
      </c>
      <c r="Q9" s="159">
        <f t="shared" ref="Q9:AD9" si="3">Q7/$AF$19</f>
        <v>5.64846728956002E-3</v>
      </c>
      <c r="R9" s="160">
        <f t="shared" si="3"/>
        <v>0.17647147844148955</v>
      </c>
      <c r="S9" s="160">
        <f t="shared" si="3"/>
        <v>1.8939118297949895E-2</v>
      </c>
      <c r="T9" s="160">
        <f t="shared" si="3"/>
        <v>1.7859162023728806E-7</v>
      </c>
      <c r="U9" s="160">
        <f t="shared" si="3"/>
        <v>0</v>
      </c>
      <c r="V9" s="160">
        <f t="shared" si="3"/>
        <v>0</v>
      </c>
      <c r="W9" s="160">
        <f t="shared" si="3"/>
        <v>0</v>
      </c>
      <c r="X9" s="160">
        <f t="shared" si="3"/>
        <v>0</v>
      </c>
      <c r="Y9" s="160">
        <f t="shared" si="3"/>
        <v>0</v>
      </c>
      <c r="Z9" s="160">
        <f t="shared" si="3"/>
        <v>2.9970130819342675E-2</v>
      </c>
      <c r="AA9" s="160">
        <f t="shared" si="3"/>
        <v>3.5691419703495985E-3</v>
      </c>
      <c r="AB9" s="160">
        <f t="shared" si="3"/>
        <v>8.908594332549552E-2</v>
      </c>
      <c r="AC9" s="161">
        <f t="shared" si="3"/>
        <v>2.8542476733837569E-7</v>
      </c>
      <c r="AD9" s="162">
        <f t="shared" si="3"/>
        <v>7.6955540967751392E-4</v>
      </c>
      <c r="AE9" s="160"/>
      <c r="AF9" s="512"/>
      <c r="AG9" s="513"/>
      <c r="AH9" s="513"/>
      <c r="AI9" s="514"/>
    </row>
    <row r="10" spans="1:35" ht="15.75" thickBot="1" x14ac:dyDescent="0.3">
      <c r="A10" s="474" t="s">
        <v>106</v>
      </c>
      <c r="B10" s="486"/>
      <c r="C10" s="166">
        <f>'Yearly Summary '!$C$30</f>
        <v>0</v>
      </c>
      <c r="D10" s="164">
        <f>'Yearly Summary '!D30</f>
        <v>9777.6310895860697</v>
      </c>
      <c r="E10" s="164">
        <f>'Yearly Summary '!E30</f>
        <v>180984.13548915493</v>
      </c>
      <c r="F10" s="164">
        <f>'Yearly Summary '!F30</f>
        <v>4878.4600453909497</v>
      </c>
      <c r="G10" s="164">
        <f>'Yearly Summary '!G30</f>
        <v>0</v>
      </c>
      <c r="H10" s="164">
        <f>'Yearly Summary '!H30</f>
        <v>16819.47171760357</v>
      </c>
      <c r="I10" s="164">
        <f>'Yearly Summary '!I30</f>
        <v>14226.556396078315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7710.5378051416928</v>
      </c>
      <c r="N10" s="164">
        <f>'Yearly Summary '!$Y$30</f>
        <v>1293.1075447263647</v>
      </c>
      <c r="O10" s="164">
        <f>'Yearly Summary '!$AA$30</f>
        <v>20125.1922382382</v>
      </c>
      <c r="P10" s="165">
        <f>('Yearly Summary '!$AB$30)*(1-AI6)</f>
        <v>0</v>
      </c>
      <c r="Q10" s="163">
        <f>'Yearly Summary '!J30</f>
        <v>107710.5619519639</v>
      </c>
      <c r="R10" s="164">
        <f>'Yearly Summary '!K30</f>
        <v>294045.94241735368</v>
      </c>
      <c r="S10" s="164">
        <f>'Yearly Summary '!L30</f>
        <v>57691.668208930139</v>
      </c>
      <c r="T10" s="164">
        <f>'Yearly Summary '!M30</f>
        <v>0</v>
      </c>
      <c r="U10" s="164">
        <f>'Yearly Summary '!N30</f>
        <v>0</v>
      </c>
      <c r="V10" s="164">
        <f>'Yearly Summary '!O30</f>
        <v>0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43182.03646367175</v>
      </c>
      <c r="AA10" s="164">
        <f>'Yearly Summary '!$X$30</f>
        <v>11652.471912254563</v>
      </c>
      <c r="AB10" s="164">
        <f>'Yearly Summary '!$Z$30</f>
        <v>195386.70990711713</v>
      </c>
      <c r="AC10" s="165">
        <f>('Yearly Summary '!$AB$30)*AI6</f>
        <v>0</v>
      </c>
      <c r="AD10" s="166">
        <f>'Yearly Summary '!$AC$30</f>
        <v>3170.8782995037614</v>
      </c>
      <c r="AE10" s="164">
        <f>'Yearly Summary '!$AD$30</f>
        <v>0</v>
      </c>
      <c r="AF10" s="167" t="s">
        <v>107</v>
      </c>
      <c r="AG10" s="168">
        <f>'[1]Yearly Summary '!$Q$29</f>
        <v>42.185885911956788</v>
      </c>
      <c r="AH10" s="167" t="s">
        <v>108</v>
      </c>
      <c r="AI10" s="169">
        <f>'[1]Yearly Summary '!$R$29</f>
        <v>89.382557874206555</v>
      </c>
    </row>
    <row r="11" spans="1:35" ht="15.75" thickBot="1" x14ac:dyDescent="0.3">
      <c r="A11" s="216"/>
      <c r="B11" s="217"/>
      <c r="C11" s="491" t="s">
        <v>117</v>
      </c>
      <c r="D11" s="492"/>
      <c r="E11" s="492"/>
      <c r="F11" s="220">
        <f>SUM(C10:P10)</f>
        <v>255815.11204215809</v>
      </c>
      <c r="G11" s="493" t="s">
        <v>118</v>
      </c>
      <c r="H11" s="492"/>
      <c r="I11" s="492"/>
      <c r="J11" s="221">
        <f>SUM(Q10:AE10)</f>
        <v>712840.38776659605</v>
      </c>
      <c r="K11" s="493" t="s">
        <v>119</v>
      </c>
      <c r="L11" s="494"/>
      <c r="M11" s="494">
        <f>SUM(C10:AE10)</f>
        <v>968655.49980875419</v>
      </c>
      <c r="N11" s="503"/>
      <c r="O11" s="504" t="s">
        <v>120</v>
      </c>
      <c r="P11" s="505"/>
      <c r="Q11" s="505"/>
      <c r="R11" s="222">
        <f>($AG$6+$AH$6)/($AG$19+$AI$19)</f>
        <v>1.3177052202385238</v>
      </c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184"/>
      <c r="AF11" s="417" t="s">
        <v>110</v>
      </c>
      <c r="AG11" s="417" t="s">
        <v>111</v>
      </c>
      <c r="AH11" s="417" t="s">
        <v>112</v>
      </c>
      <c r="AI11" s="417" t="s">
        <v>113</v>
      </c>
    </row>
    <row r="12" spans="1:35" ht="21.75" customHeight="1" thickBot="1" x14ac:dyDescent="0.3">
      <c r="A12" s="487">
        <f>A1+1</f>
        <v>2016</v>
      </c>
      <c r="B12" s="488"/>
      <c r="C12" s="489" t="s">
        <v>109</v>
      </c>
      <c r="D12" s="489"/>
      <c r="E12" s="489"/>
      <c r="F12" s="489"/>
      <c r="G12" s="489"/>
      <c r="H12" s="489"/>
      <c r="I12" s="489"/>
      <c r="J12" s="489"/>
      <c r="K12" s="489"/>
      <c r="L12" s="489"/>
      <c r="M12" s="489"/>
      <c r="N12" s="489"/>
      <c r="O12" s="489"/>
      <c r="P12" s="489"/>
      <c r="Q12" s="489"/>
      <c r="R12" s="489"/>
      <c r="S12" s="490"/>
      <c r="T12" s="490"/>
      <c r="U12" s="490"/>
      <c r="V12" s="490"/>
      <c r="W12" s="490"/>
      <c r="X12" s="490"/>
      <c r="Y12" s="490"/>
      <c r="Z12" s="490"/>
      <c r="AA12" s="490"/>
      <c r="AB12" s="490"/>
      <c r="AC12" s="490"/>
      <c r="AD12" s="490"/>
      <c r="AE12" s="490"/>
      <c r="AF12" s="418"/>
      <c r="AG12" s="418"/>
      <c r="AH12" s="418"/>
      <c r="AI12" s="418"/>
    </row>
    <row r="13" spans="1:35" ht="15" customHeight="1" x14ac:dyDescent="0.25">
      <c r="A13" s="470" t="s">
        <v>114</v>
      </c>
      <c r="B13" s="471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418"/>
      <c r="AG13" s="418"/>
      <c r="AH13" s="418"/>
      <c r="AI13" s="418"/>
    </row>
    <row r="14" spans="1:35" x14ac:dyDescent="0.25">
      <c r="A14" s="470"/>
      <c r="B14" s="471"/>
      <c r="C14" s="141">
        <f t="shared" ref="C14:P14" si="4">(C6/$AH$6)*$AB$18</f>
        <v>0</v>
      </c>
      <c r="D14" s="142">
        <f t="shared" si="4"/>
        <v>28767.944959030283</v>
      </c>
      <c r="E14" s="142">
        <f t="shared" si="4"/>
        <v>279506.19398220541</v>
      </c>
      <c r="F14" s="142">
        <f t="shared" si="4"/>
        <v>4016.2761257185116</v>
      </c>
      <c r="G14" s="142">
        <f t="shared" si="4"/>
        <v>0</v>
      </c>
      <c r="H14" s="142">
        <f t="shared" si="4"/>
        <v>1047559.001367868</v>
      </c>
      <c r="I14" s="142">
        <f t="shared" si="4"/>
        <v>14047.036800075155</v>
      </c>
      <c r="J14" s="142">
        <f t="shared" si="4"/>
        <v>0</v>
      </c>
      <c r="K14" s="142">
        <f t="shared" si="4"/>
        <v>0</v>
      </c>
      <c r="L14" s="142">
        <f t="shared" si="4"/>
        <v>0</v>
      </c>
      <c r="M14" s="142">
        <f t="shared" si="4"/>
        <v>116402.88150926081</v>
      </c>
      <c r="N14" s="142">
        <f t="shared" si="4"/>
        <v>3980.0347307887209</v>
      </c>
      <c r="O14" s="142">
        <f t="shared" si="4"/>
        <v>31080.712519176872</v>
      </c>
      <c r="P14" s="143">
        <f t="shared" si="4"/>
        <v>0.20774443930309158</v>
      </c>
      <c r="Q14" s="141">
        <f t="shared" ref="Q14:AE14" si="5">(Q6/$AG$6)*$T$18</f>
        <v>109879.34413441663</v>
      </c>
      <c r="R14" s="142">
        <f t="shared" si="5"/>
        <v>199197.99450753731</v>
      </c>
      <c r="S14" s="142">
        <f t="shared" si="5"/>
        <v>10935.747833662212</v>
      </c>
      <c r="T14" s="142">
        <f t="shared" si="5"/>
        <v>0.26997232166340068</v>
      </c>
      <c r="U14" s="142">
        <f t="shared" si="5"/>
        <v>0</v>
      </c>
      <c r="V14" s="142">
        <f t="shared" si="5"/>
        <v>0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150098.64065598269</v>
      </c>
      <c r="AA14" s="142">
        <f t="shared" si="5"/>
        <v>8257.8095013046059</v>
      </c>
      <c r="AB14" s="142">
        <f t="shared" si="5"/>
        <v>69476.915263068819</v>
      </c>
      <c r="AC14" s="143">
        <f t="shared" si="5"/>
        <v>0.4314692200910365</v>
      </c>
      <c r="AD14" s="144">
        <f t="shared" si="5"/>
        <v>3854.1447015474237</v>
      </c>
      <c r="AE14" s="173">
        <f t="shared" si="5"/>
        <v>0</v>
      </c>
      <c r="AF14" s="418"/>
      <c r="AG14" s="418"/>
      <c r="AH14" s="418"/>
      <c r="AI14" s="418"/>
    </row>
    <row r="15" spans="1:35" x14ac:dyDescent="0.25">
      <c r="A15" s="472" t="s">
        <v>115</v>
      </c>
      <c r="B15" s="473"/>
      <c r="C15" s="149">
        <f t="shared" ref="C15:P15" si="6">C8*$AB$18</f>
        <v>0</v>
      </c>
      <c r="D15" s="150">
        <f t="shared" si="6"/>
        <v>63.819959814911137</v>
      </c>
      <c r="E15" s="150">
        <f t="shared" si="6"/>
        <v>897.46643825746344</v>
      </c>
      <c r="F15" s="150">
        <f t="shared" si="6"/>
        <v>17.417786302016047</v>
      </c>
      <c r="G15" s="150">
        <f t="shared" si="6"/>
        <v>0</v>
      </c>
      <c r="H15" s="150">
        <f t="shared" si="6"/>
        <v>523.77950068393397</v>
      </c>
      <c r="I15" s="150">
        <f t="shared" si="6"/>
        <v>23.269372988020493</v>
      </c>
      <c r="J15" s="150">
        <f t="shared" si="6"/>
        <v>0</v>
      </c>
      <c r="K15" s="150">
        <f t="shared" si="6"/>
        <v>0</v>
      </c>
      <c r="L15" s="150">
        <f t="shared" si="6"/>
        <v>0</v>
      </c>
      <c r="M15" s="150">
        <f t="shared" si="6"/>
        <v>58.201440754630404</v>
      </c>
      <c r="N15" s="150">
        <f t="shared" si="6"/>
        <v>4.3076851199488058</v>
      </c>
      <c r="O15" s="150">
        <f t="shared" si="6"/>
        <v>99.797059827825024</v>
      </c>
      <c r="P15" s="151">
        <f t="shared" si="6"/>
        <v>3.4413541539984855E-4</v>
      </c>
      <c r="Q15" s="149">
        <f t="shared" ref="Q15:AD15" si="7">Q8*$T$18</f>
        <v>14.144537223800764</v>
      </c>
      <c r="R15" s="150">
        <f t="shared" si="7"/>
        <v>441.90879893530098</v>
      </c>
      <c r="S15" s="150">
        <f t="shared" si="7"/>
        <v>47.426151205026279</v>
      </c>
      <c r="T15" s="150">
        <f t="shared" si="7"/>
        <v>4.4721792493587726E-4</v>
      </c>
      <c r="U15" s="150">
        <f t="shared" si="7"/>
        <v>0</v>
      </c>
      <c r="V15" s="150">
        <f t="shared" si="7"/>
        <v>0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75.049320327991353</v>
      </c>
      <c r="AA15" s="150">
        <f t="shared" si="7"/>
        <v>8.9376212817852547</v>
      </c>
      <c r="AB15" s="150">
        <f t="shared" si="7"/>
        <v>223.08342721818769</v>
      </c>
      <c r="AC15" s="151">
        <f t="shared" si="7"/>
        <v>7.1474278583045494E-4</v>
      </c>
      <c r="AD15" s="152">
        <f t="shared" si="7"/>
        <v>1.9270723507737118</v>
      </c>
      <c r="AE15" s="174">
        <f>(AE14*(1.029*8.34)*0.03)/2000</f>
        <v>0</v>
      </c>
      <c r="AF15" s="418"/>
      <c r="AG15" s="418"/>
      <c r="AH15" s="418"/>
      <c r="AI15" s="418"/>
    </row>
    <row r="16" spans="1:35" ht="15" customHeight="1" thickBot="1" x14ac:dyDescent="0.3">
      <c r="A16" s="474" t="s">
        <v>116</v>
      </c>
      <c r="B16" s="475"/>
      <c r="C16" s="175">
        <f>$AI$30*C15</f>
        <v>0</v>
      </c>
      <c r="D16" s="176">
        <f>$AI$28*D15</f>
        <v>34909.518018756389</v>
      </c>
      <c r="E16" s="176">
        <f>$AI$31*E15</f>
        <v>646175.83554537373</v>
      </c>
      <c r="F16" s="176">
        <f>$AI$26*F15</f>
        <v>17417.786302016048</v>
      </c>
      <c r="G16" s="177">
        <f>$AI$23*G15</f>
        <v>0</v>
      </c>
      <c r="H16" s="177">
        <f>$AI$24*H15</f>
        <v>60051.31975341303</v>
      </c>
      <c r="I16" s="177">
        <f>$AI$29*I15</f>
        <v>50793.717036707596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>
        <f>$AI$27*M15</f>
        <v>27529.281476940181</v>
      </c>
      <c r="N16" s="177">
        <f>$AI$22*N15</f>
        <v>4616.8402877149156</v>
      </c>
      <c r="O16" s="177">
        <f>$AI$31*O15</f>
        <v>71853.883076034021</v>
      </c>
      <c r="P16" s="178">
        <v>0</v>
      </c>
      <c r="Q16" s="179">
        <f>$AI$30*Q15</f>
        <v>88544.803020992782</v>
      </c>
      <c r="R16" s="177">
        <f>$AI$28*R15</f>
        <v>241724.11301760963</v>
      </c>
      <c r="S16" s="177">
        <f>$AI$26*S15</f>
        <v>47426.151205026283</v>
      </c>
      <c r="T16" s="177">
        <f>$AI$25*T15</f>
        <v>0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35498.32851513991</v>
      </c>
      <c r="AA16" s="177">
        <f>$AI$22*AA15</f>
        <v>9579.0590215133416</v>
      </c>
      <c r="AB16" s="177">
        <f>$AI$31*AB15</f>
        <v>160620.06759709513</v>
      </c>
      <c r="AC16" s="178">
        <v>0</v>
      </c>
      <c r="AD16" s="180">
        <f>$AI$27*AD15</f>
        <v>911.50522191596565</v>
      </c>
      <c r="AE16" s="181">
        <f>$AI$30*AE15</f>
        <v>0</v>
      </c>
      <c r="AF16" s="418"/>
      <c r="AG16" s="418"/>
      <c r="AH16" s="418"/>
      <c r="AI16" s="418"/>
    </row>
    <row r="17" spans="1:35" ht="15" customHeight="1" thickBot="1" x14ac:dyDescent="0.3">
      <c r="A17" s="476"/>
      <c r="B17" s="477"/>
      <c r="C17" s="478" t="s">
        <v>117</v>
      </c>
      <c r="D17" s="479"/>
      <c r="E17" s="479"/>
      <c r="F17" s="182">
        <f>SUM(C16:P16)</f>
        <v>913348.1814969558</v>
      </c>
      <c r="G17" s="480" t="s">
        <v>118</v>
      </c>
      <c r="H17" s="479"/>
      <c r="I17" s="479"/>
      <c r="J17" s="183">
        <f>SUM(Q16:AE16)</f>
        <v>584304.02759929304</v>
      </c>
      <c r="K17" s="480" t="s">
        <v>119</v>
      </c>
      <c r="L17" s="481"/>
      <c r="M17" s="482">
        <f>SUM(C16:AE16)</f>
        <v>1497652.209096249</v>
      </c>
      <c r="N17" s="483"/>
      <c r="O17" s="484"/>
      <c r="P17" s="485"/>
      <c r="Q17" s="485"/>
      <c r="R17" s="223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419"/>
      <c r="AG17" s="419"/>
      <c r="AH17" s="419"/>
      <c r="AI17" s="419"/>
    </row>
    <row r="18" spans="1:35" ht="15" customHeight="1" thickTop="1" thickBot="1" x14ac:dyDescent="0.3">
      <c r="A18" s="185" t="s">
        <v>121</v>
      </c>
      <c r="B18" s="186"/>
      <c r="C18" s="186"/>
      <c r="D18" s="187">
        <v>4963</v>
      </c>
      <c r="E18" s="188" t="s">
        <v>122</v>
      </c>
      <c r="F18" s="189"/>
      <c r="G18" s="189"/>
      <c r="H18" s="190">
        <f>D18*((AF19+AH19)/(AG6+AH6))</f>
        <v>3910.6388329866459</v>
      </c>
      <c r="I18" s="191" t="s">
        <v>123</v>
      </c>
      <c r="J18" s="189"/>
      <c r="K18" s="189"/>
      <c r="L18" s="192">
        <v>0.67500000000000004</v>
      </c>
      <c r="M18" s="191" t="s">
        <v>124</v>
      </c>
      <c r="N18" s="189"/>
      <c r="O18" s="189"/>
      <c r="P18" s="193">
        <f>L18/(1-L18)</f>
        <v>2.0769230769230775</v>
      </c>
      <c r="Q18" s="191" t="s">
        <v>125</v>
      </c>
      <c r="R18" s="189"/>
      <c r="S18" s="189"/>
      <c r="T18" s="190">
        <f>D18*L18</f>
        <v>3350.0250000000001</v>
      </c>
      <c r="U18" s="191" t="s">
        <v>126</v>
      </c>
      <c r="V18" s="189"/>
      <c r="W18" s="189"/>
      <c r="X18" s="190">
        <f>H18*L18</f>
        <v>2639.6812122659862</v>
      </c>
      <c r="Y18" s="191" t="s">
        <v>127</v>
      </c>
      <c r="Z18" s="189"/>
      <c r="AA18" s="189"/>
      <c r="AB18" s="190">
        <f>D18-T18</f>
        <v>1612.9749999999999</v>
      </c>
      <c r="AC18" s="191" t="s">
        <v>128</v>
      </c>
      <c r="AD18" s="189"/>
      <c r="AE18" s="194">
        <f>H18-X18</f>
        <v>1270.9576207206596</v>
      </c>
      <c r="AF18" s="224" t="s">
        <v>102</v>
      </c>
      <c r="AG18" s="225" t="s">
        <v>102</v>
      </c>
      <c r="AH18" s="225" t="s">
        <v>102</v>
      </c>
      <c r="AI18" s="225" t="s">
        <v>102</v>
      </c>
    </row>
    <row r="19" spans="1:35" ht="16.5" thickTop="1" thickBot="1" x14ac:dyDescent="0.3">
      <c r="O19" s="461"/>
      <c r="P19" s="461"/>
      <c r="AF19" s="195">
        <f>'[1]Yearly Summary '!$C$29</f>
        <v>3046.1644149070598</v>
      </c>
      <c r="AG19" s="195">
        <f>AF19-AG10</f>
        <v>3003.9785289951033</v>
      </c>
      <c r="AH19" s="195">
        <f>'[1]Yearly Summary '!$D$29</f>
        <v>520.85895995015176</v>
      </c>
      <c r="AI19" s="195">
        <f>AH19-AI10</f>
        <v>431.4764020759452</v>
      </c>
    </row>
    <row r="20" spans="1:35" ht="15" customHeight="1" x14ac:dyDescent="0.25">
      <c r="A20" s="462">
        <f>A12</f>
        <v>2016</v>
      </c>
      <c r="B20" s="463"/>
      <c r="C20" s="463" t="s">
        <v>129</v>
      </c>
      <c r="D20" s="463"/>
      <c r="E20" s="463"/>
      <c r="F20" s="463"/>
      <c r="G20" s="463"/>
      <c r="H20" s="463"/>
      <c r="I20" s="463"/>
      <c r="J20" s="463" t="s">
        <v>130</v>
      </c>
      <c r="K20" s="463"/>
      <c r="L20" s="463"/>
      <c r="M20" s="463"/>
      <c r="N20" s="463"/>
      <c r="O20" s="463"/>
      <c r="P20" s="464"/>
      <c r="Q20" s="196"/>
      <c r="R20" s="197">
        <f>A1</f>
        <v>2015</v>
      </c>
      <c r="S20" s="465" t="s">
        <v>131</v>
      </c>
      <c r="T20" s="466"/>
      <c r="U20" s="467" t="s">
        <v>132</v>
      </c>
      <c r="V20" s="468"/>
      <c r="W20" s="468"/>
      <c r="X20" s="468"/>
      <c r="Y20" s="469"/>
      <c r="Z20" s="450" t="s">
        <v>133</v>
      </c>
      <c r="AA20" s="451"/>
      <c r="AB20" s="451"/>
      <c r="AC20" s="451"/>
      <c r="AD20" s="452"/>
      <c r="AE20" s="453" t="s">
        <v>134</v>
      </c>
      <c r="AF20" s="454"/>
      <c r="AG20" s="454"/>
      <c r="AH20" s="454"/>
      <c r="AI20" s="455"/>
    </row>
    <row r="21" spans="1:35" ht="15.75" thickBot="1" x14ac:dyDescent="0.3">
      <c r="A21" s="456" t="s">
        <v>135</v>
      </c>
      <c r="B21" s="457"/>
      <c r="C21" s="442" t="s">
        <v>163</v>
      </c>
      <c r="D21" s="442"/>
      <c r="E21" s="442" t="s">
        <v>164</v>
      </c>
      <c r="F21" s="449"/>
      <c r="G21" s="449" t="s">
        <v>165</v>
      </c>
      <c r="H21" s="458"/>
      <c r="I21" s="458"/>
      <c r="J21" s="459" t="s">
        <v>166</v>
      </c>
      <c r="K21" s="459"/>
      <c r="L21" s="460"/>
      <c r="M21" s="459" t="s">
        <v>167</v>
      </c>
      <c r="N21" s="460"/>
      <c r="O21" s="442" t="s">
        <v>136</v>
      </c>
      <c r="P21" s="421"/>
      <c r="Q21" s="196"/>
      <c r="R21" s="422" t="s">
        <v>135</v>
      </c>
      <c r="S21" s="423"/>
      <c r="T21" s="423"/>
      <c r="U21" s="198" t="s">
        <v>137</v>
      </c>
      <c r="V21" s="248" t="s">
        <v>138</v>
      </c>
      <c r="W21" s="248" t="s">
        <v>139</v>
      </c>
      <c r="X21" s="248" t="s">
        <v>58</v>
      </c>
      <c r="Y21" s="248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439" t="s">
        <v>141</v>
      </c>
      <c r="B22" s="440"/>
      <c r="C22" s="441">
        <f>N15+AA15</f>
        <v>13.24530640173406</v>
      </c>
      <c r="D22" s="442"/>
      <c r="E22" s="443">
        <f>N16+AA16</f>
        <v>14195.899309228258</v>
      </c>
      <c r="F22" s="444"/>
      <c r="G22" s="445">
        <f>(C22*2000)/(8.34*0.895*0.29)</f>
        <v>12237.844232093326</v>
      </c>
      <c r="H22" s="445"/>
      <c r="I22" s="202" t="s">
        <v>142</v>
      </c>
      <c r="J22" s="446">
        <f>(G22*8.34*0.895)/27000</f>
        <v>3.3832200259857119</v>
      </c>
      <c r="K22" s="447"/>
      <c r="L22" s="203" t="s">
        <v>143</v>
      </c>
      <c r="M22" s="448">
        <f>ROUNDUP(J22,0)</f>
        <v>4</v>
      </c>
      <c r="N22" s="449"/>
      <c r="O22" s="420">
        <f>((M22*27000)/(8.34*0.895))*$Y$22</f>
        <v>16783.891322696032</v>
      </c>
      <c r="P22" s="421"/>
      <c r="Q22" s="196"/>
      <c r="R22" s="422" t="s">
        <v>141</v>
      </c>
      <c r="S22" s="423"/>
      <c r="T22" s="423"/>
      <c r="U22" s="244" t="s">
        <v>142</v>
      </c>
      <c r="V22" s="249">
        <v>1.1599999999999999</v>
      </c>
      <c r="W22" s="250">
        <v>1.1599999999999999</v>
      </c>
      <c r="X22" s="250">
        <v>1.1599999999999999</v>
      </c>
      <c r="Y22" s="251">
        <v>1.1599999999999999</v>
      </c>
      <c r="Z22" s="246" t="s">
        <v>142</v>
      </c>
      <c r="AA22" s="205">
        <f>V22</f>
        <v>1.1599999999999999</v>
      </c>
      <c r="AB22" s="205">
        <f>W22</f>
        <v>1.1599999999999999</v>
      </c>
      <c r="AC22" s="205">
        <f>X22</f>
        <v>1.1599999999999999</v>
      </c>
      <c r="AD22" s="205">
        <f>Y22</f>
        <v>1.1599999999999999</v>
      </c>
      <c r="AE22" s="206" t="s">
        <v>144</v>
      </c>
      <c r="AF22" s="207">
        <f>(V22/((0.895*8.34)*0.29))*2000</f>
        <v>1071.7682836970646</v>
      </c>
      <c r="AG22" s="207">
        <f>(W22/((0.895*8.34)*0.29))*2000</f>
        <v>1071.7682836970646</v>
      </c>
      <c r="AH22" s="207">
        <f>(X22/((0.895*8.34)*0.29))*2000</f>
        <v>1071.7682836970646</v>
      </c>
      <c r="AI22" s="208">
        <f>(Y22/((0.895*8.34)*0.29))*2000</f>
        <v>1071.7682836970646</v>
      </c>
    </row>
    <row r="23" spans="1:35" x14ac:dyDescent="0.25">
      <c r="A23" s="439" t="s">
        <v>145</v>
      </c>
      <c r="B23" s="440"/>
      <c r="C23" s="441">
        <f>G15+U15+V15</f>
        <v>0</v>
      </c>
      <c r="D23" s="442"/>
      <c r="E23" s="443">
        <f>G16+U16+V16</f>
        <v>0</v>
      </c>
      <c r="F23" s="444"/>
      <c r="G23" s="445">
        <f>C23*2000</f>
        <v>0</v>
      </c>
      <c r="H23" s="445"/>
      <c r="I23" s="202" t="s">
        <v>146</v>
      </c>
      <c r="J23" s="446">
        <f>(G23/(8.34*1.055))/400</f>
        <v>0</v>
      </c>
      <c r="K23" s="447"/>
      <c r="L23" s="203" t="s">
        <v>147</v>
      </c>
      <c r="M23" s="448">
        <f t="shared" ref="M23:M31" si="8">ROUNDUP(J23,0)</f>
        <v>0</v>
      </c>
      <c r="N23" s="449"/>
      <c r="O23" s="420">
        <f>(M23*400*8.34*1.055)*$Y$23</f>
        <v>0</v>
      </c>
      <c r="P23" s="421"/>
      <c r="Q23" s="196"/>
      <c r="R23" s="422" t="s">
        <v>145</v>
      </c>
      <c r="S23" s="423"/>
      <c r="T23" s="423"/>
      <c r="U23" s="244" t="s">
        <v>146</v>
      </c>
      <c r="V23" s="252"/>
      <c r="W23" s="204"/>
      <c r="X23" s="204"/>
      <c r="Y23" s="253"/>
      <c r="Z23" s="246" t="s">
        <v>142</v>
      </c>
      <c r="AA23" s="205">
        <f>V23*8.34*0.005</f>
        <v>0</v>
      </c>
      <c r="AB23" s="205">
        <f>W23*8.34*0.005</f>
        <v>0</v>
      </c>
      <c r="AC23" s="205">
        <f>X23*8.34*0.005</f>
        <v>0</v>
      </c>
      <c r="AD23" s="205">
        <f>Y23*8.34*0.005</f>
        <v>0</v>
      </c>
      <c r="AE23" s="206" t="s">
        <v>144</v>
      </c>
      <c r="AF23" s="207">
        <f>V23*2000</f>
        <v>0</v>
      </c>
      <c r="AG23" s="207">
        <f>W23*2000</f>
        <v>0</v>
      </c>
      <c r="AH23" s="207">
        <f>X23*2000</f>
        <v>0</v>
      </c>
      <c r="AI23" s="208">
        <f>Y23*2000</f>
        <v>0</v>
      </c>
    </row>
    <row r="24" spans="1:35" x14ac:dyDescent="0.25">
      <c r="A24" s="439" t="s">
        <v>148</v>
      </c>
      <c r="B24" s="440"/>
      <c r="C24" s="441">
        <f>H15</f>
        <v>523.77950068393397</v>
      </c>
      <c r="D24" s="442"/>
      <c r="E24" s="443">
        <f>H16</f>
        <v>60051.31975341303</v>
      </c>
      <c r="F24" s="444"/>
      <c r="G24" s="445">
        <f>C24</f>
        <v>523.77950068393397</v>
      </c>
      <c r="H24" s="445"/>
      <c r="I24" s="202" t="s">
        <v>149</v>
      </c>
      <c r="J24" s="446">
        <f>(G24*2000)/40000</f>
        <v>26.188975034196698</v>
      </c>
      <c r="K24" s="447"/>
      <c r="L24" s="203" t="s">
        <v>143</v>
      </c>
      <c r="M24" s="448">
        <f t="shared" si="8"/>
        <v>27</v>
      </c>
      <c r="N24" s="449"/>
      <c r="O24" s="420">
        <f>((M24*40000)/2000)*$Y$24</f>
        <v>61911</v>
      </c>
      <c r="P24" s="421"/>
      <c r="Q24" s="196"/>
      <c r="R24" s="422" t="s">
        <v>148</v>
      </c>
      <c r="S24" s="423"/>
      <c r="T24" s="423"/>
      <c r="U24" s="244" t="s">
        <v>149</v>
      </c>
      <c r="V24" s="252">
        <v>114.65</v>
      </c>
      <c r="W24" s="204">
        <v>114.65</v>
      </c>
      <c r="X24" s="204">
        <v>114.65</v>
      </c>
      <c r="Y24" s="253">
        <v>114.65</v>
      </c>
      <c r="Z24" s="246" t="s">
        <v>146</v>
      </c>
      <c r="AA24" s="205">
        <f>V24/2000</f>
        <v>5.7325000000000001E-2</v>
      </c>
      <c r="AB24" s="205">
        <f>W24/2000</f>
        <v>5.7325000000000001E-2</v>
      </c>
      <c r="AC24" s="205">
        <f>X24/2000</f>
        <v>5.7325000000000001E-2</v>
      </c>
      <c r="AD24" s="205">
        <f>Y24/2000</f>
        <v>5.7325000000000001E-2</v>
      </c>
      <c r="AE24" s="206" t="s">
        <v>144</v>
      </c>
      <c r="AF24" s="207">
        <f>V24</f>
        <v>114.65</v>
      </c>
      <c r="AG24" s="207">
        <f>W24</f>
        <v>114.65</v>
      </c>
      <c r="AH24" s="207">
        <f>X24</f>
        <v>114.65</v>
      </c>
      <c r="AI24" s="207">
        <f>Y24</f>
        <v>114.65</v>
      </c>
    </row>
    <row r="25" spans="1:35" ht="15.75" customHeight="1" x14ac:dyDescent="0.25">
      <c r="A25" s="439" t="s">
        <v>150</v>
      </c>
      <c r="B25" s="440"/>
      <c r="C25" s="441">
        <f>T15</f>
        <v>4.4721792493587726E-4</v>
      </c>
      <c r="D25" s="442"/>
      <c r="E25" s="443">
        <f>T16</f>
        <v>0</v>
      </c>
      <c r="F25" s="444"/>
      <c r="G25" s="445">
        <f>C25*2000</f>
        <v>0.89443584987175451</v>
      </c>
      <c r="H25" s="445"/>
      <c r="I25" s="202" t="s">
        <v>151</v>
      </c>
      <c r="J25" s="446">
        <f>G25/45000</f>
        <v>1.9876352219372321E-5</v>
      </c>
      <c r="K25" s="447"/>
      <c r="L25" s="203" t="s">
        <v>143</v>
      </c>
      <c r="M25" s="448">
        <f t="shared" si="8"/>
        <v>1</v>
      </c>
      <c r="N25" s="449"/>
      <c r="O25" s="420">
        <f>J25*45000*$Y$25</f>
        <v>0</v>
      </c>
      <c r="P25" s="421"/>
      <c r="Q25" s="196"/>
      <c r="R25" s="422" t="s">
        <v>150</v>
      </c>
      <c r="S25" s="423"/>
      <c r="T25" s="423"/>
      <c r="U25" s="244" t="s">
        <v>151</v>
      </c>
      <c r="V25" s="252"/>
      <c r="W25" s="204"/>
      <c r="X25" s="204"/>
      <c r="Y25" s="253"/>
      <c r="Z25" s="246" t="s">
        <v>142</v>
      </c>
      <c r="AA25" s="205">
        <f>V25*8.34*0.055</f>
        <v>0</v>
      </c>
      <c r="AB25" s="205">
        <f>W25*8.34*0.055</f>
        <v>0</v>
      </c>
      <c r="AC25" s="205">
        <f>X25*8.34*0.055</f>
        <v>0</v>
      </c>
      <c r="AD25" s="205">
        <f>Y25*8.34*0.055</f>
        <v>0</v>
      </c>
      <c r="AE25" s="206" t="s">
        <v>144</v>
      </c>
      <c r="AF25" s="207">
        <f>V25*2000</f>
        <v>0</v>
      </c>
      <c r="AG25" s="207">
        <f>W25*2000</f>
        <v>0</v>
      </c>
      <c r="AH25" s="207">
        <f>X25*2000</f>
        <v>0</v>
      </c>
      <c r="AI25" s="208">
        <f>Y25*2000</f>
        <v>0</v>
      </c>
    </row>
    <row r="26" spans="1:35" x14ac:dyDescent="0.25">
      <c r="A26" s="439" t="s">
        <v>152</v>
      </c>
      <c r="B26" s="440"/>
      <c r="C26" s="441">
        <f>F15+S15</f>
        <v>64.843937507042327</v>
      </c>
      <c r="D26" s="442"/>
      <c r="E26" s="443">
        <f>F16+S16</f>
        <v>64843.937507042327</v>
      </c>
      <c r="F26" s="444"/>
      <c r="G26" s="445">
        <f>C26</f>
        <v>64.843937507042327</v>
      </c>
      <c r="H26" s="445"/>
      <c r="I26" s="202" t="s">
        <v>149</v>
      </c>
      <c r="J26" s="446">
        <f>(G26*2000)/45000</f>
        <v>2.8819527780907701</v>
      </c>
      <c r="K26" s="447"/>
      <c r="L26" s="203" t="s">
        <v>143</v>
      </c>
      <c r="M26" s="448">
        <f t="shared" si="8"/>
        <v>3</v>
      </c>
      <c r="N26" s="449"/>
      <c r="O26" s="420">
        <f>((M26*45000)/2000)*$Y$26</f>
        <v>67500</v>
      </c>
      <c r="P26" s="421"/>
      <c r="Q26" s="196"/>
      <c r="R26" s="422" t="s">
        <v>152</v>
      </c>
      <c r="S26" s="423"/>
      <c r="T26" s="423"/>
      <c r="U26" s="244" t="s">
        <v>149</v>
      </c>
      <c r="V26" s="252">
        <v>1000</v>
      </c>
      <c r="W26" s="204">
        <v>1000</v>
      </c>
      <c r="X26" s="204">
        <v>1000</v>
      </c>
      <c r="Y26" s="253">
        <v>1000</v>
      </c>
      <c r="Z26" s="246" t="s">
        <v>142</v>
      </c>
      <c r="AA26" s="205">
        <f>(V26/2000)*8.34*1.04*1</f>
        <v>4.3368000000000002</v>
      </c>
      <c r="AB26" s="205">
        <f t="shared" ref="AB26:AD26" si="9">(W26/2000)*8.34*1.04*1</f>
        <v>4.3368000000000002</v>
      </c>
      <c r="AC26" s="205">
        <f t="shared" si="9"/>
        <v>4.3368000000000002</v>
      </c>
      <c r="AD26" s="205">
        <f t="shared" si="9"/>
        <v>4.3368000000000002</v>
      </c>
      <c r="AE26" s="206" t="s">
        <v>144</v>
      </c>
      <c r="AF26" s="207">
        <f t="shared" ref="AF26:AI28" si="10">V26</f>
        <v>1000</v>
      </c>
      <c r="AG26" s="207">
        <f t="shared" si="10"/>
        <v>1000</v>
      </c>
      <c r="AH26" s="207">
        <f t="shared" si="10"/>
        <v>1000</v>
      </c>
      <c r="AI26" s="208">
        <f t="shared" si="10"/>
        <v>1000</v>
      </c>
    </row>
    <row r="27" spans="1:35" x14ac:dyDescent="0.25">
      <c r="A27" s="439" t="s">
        <v>153</v>
      </c>
      <c r="B27" s="440"/>
      <c r="C27" s="441">
        <f>M15+Z15+AD15</f>
        <v>135.17783343339545</v>
      </c>
      <c r="D27" s="442"/>
      <c r="E27" s="443">
        <f>M16+Z16+AD16</f>
        <v>63939.115213996054</v>
      </c>
      <c r="F27" s="444"/>
      <c r="G27" s="445">
        <f>C27</f>
        <v>135.17783343339545</v>
      </c>
      <c r="H27" s="445"/>
      <c r="I27" s="202" t="s">
        <v>149</v>
      </c>
      <c r="J27" s="446">
        <f>G27/8</f>
        <v>16.897229179174431</v>
      </c>
      <c r="K27" s="447"/>
      <c r="L27" s="203" t="s">
        <v>143</v>
      </c>
      <c r="M27" s="448">
        <f t="shared" si="8"/>
        <v>17</v>
      </c>
      <c r="N27" s="449"/>
      <c r="O27" s="420">
        <f>M27*8*$Y$27</f>
        <v>64328</v>
      </c>
      <c r="P27" s="421"/>
      <c r="Q27" s="196"/>
      <c r="R27" s="422" t="s">
        <v>153</v>
      </c>
      <c r="S27" s="423"/>
      <c r="T27" s="423"/>
      <c r="U27" s="244" t="s">
        <v>149</v>
      </c>
      <c r="V27" s="252">
        <v>473</v>
      </c>
      <c r="W27" s="204">
        <v>473</v>
      </c>
      <c r="X27" s="204">
        <v>473</v>
      </c>
      <c r="Y27" s="253">
        <v>473</v>
      </c>
      <c r="Z27" s="246" t="s">
        <v>146</v>
      </c>
      <c r="AA27" s="205">
        <f>V27/2000</f>
        <v>0.23649999999999999</v>
      </c>
      <c r="AB27" s="205">
        <f>W27/2000</f>
        <v>0.23649999999999999</v>
      </c>
      <c r="AC27" s="205">
        <f>X27/2000</f>
        <v>0.23649999999999999</v>
      </c>
      <c r="AD27" s="205">
        <f>Y27/2000</f>
        <v>0.23649999999999999</v>
      </c>
      <c r="AE27" s="206" t="s">
        <v>144</v>
      </c>
      <c r="AF27" s="207">
        <f t="shared" si="10"/>
        <v>473</v>
      </c>
      <c r="AG27" s="207">
        <f t="shared" si="10"/>
        <v>473</v>
      </c>
      <c r="AH27" s="207">
        <f t="shared" si="10"/>
        <v>473</v>
      </c>
      <c r="AI27" s="208">
        <f t="shared" si="10"/>
        <v>473</v>
      </c>
    </row>
    <row r="28" spans="1:35" x14ac:dyDescent="0.25">
      <c r="A28" s="439" t="s">
        <v>154</v>
      </c>
      <c r="B28" s="440"/>
      <c r="C28" s="441">
        <f>D15+L15+R15+Y15</f>
        <v>505.72875875021214</v>
      </c>
      <c r="D28" s="442"/>
      <c r="E28" s="443">
        <f>D16+L16+R16+Y16</f>
        <v>276633.63103636605</v>
      </c>
      <c r="F28" s="444"/>
      <c r="G28" s="445">
        <f>C28</f>
        <v>505.72875875021214</v>
      </c>
      <c r="H28" s="445"/>
      <c r="I28" s="202" t="s">
        <v>144</v>
      </c>
      <c r="J28" s="446">
        <f>((G28/0.38)*2000)/45000</f>
        <v>59.149562426925385</v>
      </c>
      <c r="K28" s="447"/>
      <c r="L28" s="203" t="s">
        <v>143</v>
      </c>
      <c r="M28" s="448">
        <f t="shared" si="8"/>
        <v>60</v>
      </c>
      <c r="N28" s="449"/>
      <c r="O28" s="420">
        <f>((M28*45000*0.38)/2000)*$Y$28</f>
        <v>280611</v>
      </c>
      <c r="P28" s="421"/>
      <c r="Q28" s="196"/>
      <c r="R28" s="422" t="s">
        <v>154</v>
      </c>
      <c r="S28" s="423"/>
      <c r="T28" s="423"/>
      <c r="U28" s="244" t="s">
        <v>144</v>
      </c>
      <c r="V28" s="252">
        <v>547</v>
      </c>
      <c r="W28" s="204">
        <v>547</v>
      </c>
      <c r="X28" s="204">
        <v>547</v>
      </c>
      <c r="Y28" s="253">
        <v>547</v>
      </c>
      <c r="Z28" s="246" t="s">
        <v>142</v>
      </c>
      <c r="AA28" s="205">
        <f>(V28/2000)*8.34*1.4*0.38</f>
        <v>1.2134866799999999</v>
      </c>
      <c r="AB28" s="205">
        <f>(W28/2000)*8.34*1.4*0.38</f>
        <v>1.2134866799999999</v>
      </c>
      <c r="AC28" s="205">
        <f>(X28/2000)*8.34*1.4*0.38</f>
        <v>1.2134866799999999</v>
      </c>
      <c r="AD28" s="205">
        <f>(Y28/2000)*8.34*1.4*0.38</f>
        <v>1.2134866799999999</v>
      </c>
      <c r="AE28" s="206" t="s">
        <v>144</v>
      </c>
      <c r="AF28" s="207">
        <f t="shared" si="10"/>
        <v>547</v>
      </c>
      <c r="AG28" s="207">
        <f t="shared" si="10"/>
        <v>547</v>
      </c>
      <c r="AH28" s="207">
        <f t="shared" si="10"/>
        <v>547</v>
      </c>
      <c r="AI28" s="208">
        <f t="shared" si="10"/>
        <v>547</v>
      </c>
    </row>
    <row r="29" spans="1:35" x14ac:dyDescent="0.25">
      <c r="A29" s="439" t="s">
        <v>155</v>
      </c>
      <c r="B29" s="440"/>
      <c r="C29" s="441">
        <f>I15</f>
        <v>23.269372988020493</v>
      </c>
      <c r="D29" s="442"/>
      <c r="E29" s="443">
        <f>I16</f>
        <v>50793.717036707596</v>
      </c>
      <c r="F29" s="444"/>
      <c r="G29" s="445">
        <f>C29/0.35</f>
        <v>66.483922822915702</v>
      </c>
      <c r="H29" s="445"/>
      <c r="I29" s="202" t="s">
        <v>149</v>
      </c>
      <c r="J29" s="446">
        <f>(G29*2000)/45000</f>
        <v>2.9548410143518091</v>
      </c>
      <c r="K29" s="447"/>
      <c r="L29" s="203" t="s">
        <v>143</v>
      </c>
      <c r="M29" s="448">
        <f t="shared" si="8"/>
        <v>3</v>
      </c>
      <c r="N29" s="449"/>
      <c r="O29" s="420">
        <f>((M29*45000)/2000)*$Y$29</f>
        <v>51570</v>
      </c>
      <c r="P29" s="421"/>
      <c r="Q29" s="196"/>
      <c r="R29" s="422" t="s">
        <v>155</v>
      </c>
      <c r="S29" s="423"/>
      <c r="T29" s="423"/>
      <c r="U29" s="244" t="s">
        <v>149</v>
      </c>
      <c r="V29" s="252">
        <v>764</v>
      </c>
      <c r="W29" s="204">
        <v>764</v>
      </c>
      <c r="X29" s="204">
        <v>764</v>
      </c>
      <c r="Y29" s="253">
        <v>764</v>
      </c>
      <c r="Z29" s="246" t="s">
        <v>142</v>
      </c>
      <c r="AA29" s="205">
        <f>(V29/2000)*8.34*1.135</f>
        <v>3.6159737999999999</v>
      </c>
      <c r="AB29" s="205">
        <f>(W29/2000)*8.34*1.135</f>
        <v>3.6159737999999999</v>
      </c>
      <c r="AC29" s="205">
        <f>(X29/2000)*8.34*1.135</f>
        <v>3.6159737999999999</v>
      </c>
      <c r="AD29" s="205">
        <f>(Y29/2000)*8.34*1.135</f>
        <v>3.6159737999999999</v>
      </c>
      <c r="AE29" s="206" t="s">
        <v>144</v>
      </c>
      <c r="AF29" s="207">
        <f>V29/0.35</f>
        <v>2182.8571428571431</v>
      </c>
      <c r="AG29" s="207">
        <f>W29/0.35</f>
        <v>2182.8571428571431</v>
      </c>
      <c r="AH29" s="207">
        <f>X29/0.35</f>
        <v>2182.8571428571431</v>
      </c>
      <c r="AI29" s="208">
        <f>Y29/0.35</f>
        <v>2182.8571428571431</v>
      </c>
    </row>
    <row r="30" spans="1:35" x14ac:dyDescent="0.25">
      <c r="A30" s="439" t="s">
        <v>156</v>
      </c>
      <c r="B30" s="440"/>
      <c r="C30" s="441">
        <f>C15+Q15+AE15</f>
        <v>14.144537223800764</v>
      </c>
      <c r="D30" s="442"/>
      <c r="E30" s="443">
        <f>C16+Q16+AE16</f>
        <v>88544.803020992782</v>
      </c>
      <c r="F30" s="444"/>
      <c r="G30" s="445">
        <f>C30*2000</f>
        <v>28289.074447601528</v>
      </c>
      <c r="H30" s="445"/>
      <c r="I30" s="202" t="s">
        <v>151</v>
      </c>
      <c r="J30" s="446">
        <f>G30/3300</f>
        <v>8.5724468023034941</v>
      </c>
      <c r="K30" s="447"/>
      <c r="L30" s="203" t="s">
        <v>157</v>
      </c>
      <c r="M30" s="448">
        <f t="shared" si="8"/>
        <v>9</v>
      </c>
      <c r="N30" s="449"/>
      <c r="O30" s="420">
        <f>M30*3300*$Y$30</f>
        <v>92961</v>
      </c>
      <c r="P30" s="421"/>
      <c r="Q30" s="196"/>
      <c r="R30" s="422" t="s">
        <v>156</v>
      </c>
      <c r="S30" s="423"/>
      <c r="T30" s="423"/>
      <c r="U30" s="244" t="s">
        <v>151</v>
      </c>
      <c r="V30" s="252">
        <v>3.13</v>
      </c>
      <c r="W30" s="204">
        <v>3.13</v>
      </c>
      <c r="X30" s="204">
        <v>3.13</v>
      </c>
      <c r="Y30" s="253">
        <v>3.13</v>
      </c>
      <c r="Z30" s="246" t="s">
        <v>142</v>
      </c>
      <c r="AA30" s="205">
        <f>(8.34*1.029*0.03)*V30</f>
        <v>0.80583665399999982</v>
      </c>
      <c r="AB30" s="205">
        <f>(8.34*1.029*0.03)*W30</f>
        <v>0.80583665399999982</v>
      </c>
      <c r="AC30" s="205">
        <f>(8.34*1.029*0.03)*X30</f>
        <v>0.80583665399999982</v>
      </c>
      <c r="AD30" s="205">
        <f>(8.34*1.029*0.03)*Y30</f>
        <v>0.80583665399999982</v>
      </c>
      <c r="AE30" s="206" t="s">
        <v>144</v>
      </c>
      <c r="AF30" s="207">
        <f>V30*2000</f>
        <v>6260</v>
      </c>
      <c r="AG30" s="207">
        <f>W30*2000</f>
        <v>6260</v>
      </c>
      <c r="AH30" s="207">
        <f>X30*2000</f>
        <v>6260</v>
      </c>
      <c r="AI30" s="208">
        <f>Y30*2000</f>
        <v>6260</v>
      </c>
    </row>
    <row r="31" spans="1:35" ht="15.75" thickBot="1" x14ac:dyDescent="0.3">
      <c r="A31" s="424" t="s">
        <v>158</v>
      </c>
      <c r="B31" s="425"/>
      <c r="C31" s="426">
        <f>E15+O15+AB15</f>
        <v>1220.3469253034762</v>
      </c>
      <c r="D31" s="427"/>
      <c r="E31" s="428">
        <f>E16+O16+AB16</f>
        <v>878649.78621850291</v>
      </c>
      <c r="F31" s="429"/>
      <c r="G31" s="430">
        <f>(C31/0.5)*2000</f>
        <v>4881387.7012139047</v>
      </c>
      <c r="H31" s="430"/>
      <c r="I31" s="209" t="s">
        <v>146</v>
      </c>
      <c r="J31" s="431">
        <f>G31/45000</f>
        <v>108.47528224919787</v>
      </c>
      <c r="K31" s="432"/>
      <c r="L31" s="210" t="s">
        <v>143</v>
      </c>
      <c r="M31" s="433">
        <f t="shared" si="8"/>
        <v>109</v>
      </c>
      <c r="N31" s="434"/>
      <c r="O31" s="435">
        <f>M31*45000*$Y$31</f>
        <v>882900</v>
      </c>
      <c r="P31" s="436"/>
      <c r="Q31" s="196"/>
      <c r="R31" s="437" t="s">
        <v>158</v>
      </c>
      <c r="S31" s="438"/>
      <c r="T31" s="438"/>
      <c r="U31" s="245" t="s">
        <v>146</v>
      </c>
      <c r="V31" s="254">
        <v>0.18</v>
      </c>
      <c r="W31" s="255">
        <v>0.18</v>
      </c>
      <c r="X31" s="255">
        <v>0.18</v>
      </c>
      <c r="Y31" s="341">
        <v>0.18</v>
      </c>
      <c r="Z31" s="247" t="s">
        <v>142</v>
      </c>
      <c r="AA31" s="211">
        <f>V31*8.34*1.54</f>
        <v>2.3118479999999999</v>
      </c>
      <c r="AB31" s="211">
        <f>W31*8.34*1.54</f>
        <v>2.3118479999999999</v>
      </c>
      <c r="AC31" s="211">
        <f>X31*8.34*1.54</f>
        <v>2.3118479999999999</v>
      </c>
      <c r="AD31" s="211">
        <f>Y31*8.34*1.54</f>
        <v>2.3118479999999999</v>
      </c>
      <c r="AE31" s="212" t="s">
        <v>144</v>
      </c>
      <c r="AF31" s="213">
        <f>(V31*2000)/0.5</f>
        <v>720</v>
      </c>
      <c r="AG31" s="213">
        <f>(W31*2000)/0.5</f>
        <v>720</v>
      </c>
      <c r="AH31" s="213">
        <f>(X31*2000)/0.5</f>
        <v>720</v>
      </c>
      <c r="AI31" s="214">
        <f>(Y31*2000)/0.5</f>
        <v>720</v>
      </c>
    </row>
    <row r="32" spans="1:35" x14ac:dyDescent="0.25">
      <c r="F32" s="215"/>
    </row>
    <row r="34" spans="7:7" x14ac:dyDescent="0.25">
      <c r="G34" s="196"/>
    </row>
    <row r="35" spans="7:7" x14ac:dyDescent="0.25">
      <c r="G35" s="196"/>
    </row>
    <row r="36" spans="7:7" x14ac:dyDescent="0.25">
      <c r="G36" s="196"/>
    </row>
    <row r="37" spans="7:7" x14ac:dyDescent="0.25">
      <c r="G37" s="196"/>
    </row>
    <row r="38" spans="7:7" x14ac:dyDescent="0.25">
      <c r="G38" s="196"/>
    </row>
    <row r="39" spans="7:7" x14ac:dyDescent="0.25">
      <c r="G39" s="196"/>
    </row>
    <row r="40" spans="7:7" x14ac:dyDescent="0.25">
      <c r="G40" s="196"/>
    </row>
    <row r="41" spans="7:7" x14ac:dyDescent="0.25">
      <c r="G41" s="196"/>
    </row>
    <row r="42" spans="7:7" x14ac:dyDescent="0.25">
      <c r="G42" s="196"/>
    </row>
    <row r="43" spans="7:7" x14ac:dyDescent="0.25">
      <c r="G43" s="196"/>
    </row>
    <row r="44" spans="7:7" x14ac:dyDescent="0.25">
      <c r="G44" s="196"/>
    </row>
    <row r="45" spans="7:7" x14ac:dyDescent="0.25">
      <c r="G45" s="196"/>
    </row>
  </sheetData>
  <sheetProtection password="A25B" sheet="1" objects="1" scenarios="1" selectLockedCells="1" selectUnlockedCells="1"/>
  <mergeCells count="135"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</mergeCells>
  <pageMargins left="0.7" right="0.7" top="0.75" bottom="0.75" header="0.3" footer="0.3"/>
  <pageSetup paperSize="17" scale="60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zoomScale="75" zoomScaleNormal="75" workbookViewId="0">
      <selection activeCell="AH42" sqref="AH42:AQ42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</row>
    <row r="5" spans="1:47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T5" t="s">
        <v>171</v>
      </c>
      <c r="AU5" s="339" t="s">
        <v>209</v>
      </c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42005</v>
      </c>
      <c r="B8" s="49"/>
      <c r="C8" s="50">
        <v>27.860835989316513</v>
      </c>
      <c r="D8" s="50">
        <v>338.14956326484696</v>
      </c>
      <c r="E8" s="50">
        <v>4.9750237415234286</v>
      </c>
      <c r="F8" s="50">
        <v>0</v>
      </c>
      <c r="G8" s="50">
        <v>1267.5001871744796</v>
      </c>
      <c r="H8" s="51">
        <v>19.978855748971313</v>
      </c>
      <c r="I8" s="49">
        <v>247.78681475321406</v>
      </c>
      <c r="J8" s="50">
        <v>550.61055631637521</v>
      </c>
      <c r="K8" s="50">
        <v>30.23682288527489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1561.8040515059679</v>
      </c>
      <c r="V8" s="54">
        <v>297.45814420833409</v>
      </c>
      <c r="W8" s="54">
        <v>25.827221153809454</v>
      </c>
      <c r="X8" s="54">
        <v>4.919002013768969</v>
      </c>
      <c r="Y8" s="54">
        <v>202.83605013120837</v>
      </c>
      <c r="Z8" s="54">
        <v>38.631757288886327</v>
      </c>
      <c r="AA8" s="55">
        <v>0</v>
      </c>
      <c r="AB8" s="56">
        <v>25.847137586275799</v>
      </c>
      <c r="AC8" s="57">
        <v>0</v>
      </c>
      <c r="AD8" s="57">
        <v>12.73339807457393</v>
      </c>
      <c r="AE8" s="58">
        <v>10.500340957411986</v>
      </c>
      <c r="AF8" s="58">
        <v>1.9998743963653998</v>
      </c>
      <c r="AG8" s="58">
        <v>0.84001280459851713</v>
      </c>
      <c r="AH8" s="57">
        <v>361.3134075800578</v>
      </c>
      <c r="AI8" s="57">
        <v>1214.6903105417887</v>
      </c>
      <c r="AJ8" s="57">
        <v>3137.9078278859461</v>
      </c>
      <c r="AK8" s="57">
        <v>723.58028761545813</v>
      </c>
      <c r="AL8" s="57">
        <v>3079.2479899088544</v>
      </c>
      <c r="AM8" s="57">
        <v>3004.2140549977626</v>
      </c>
      <c r="AN8" s="57">
        <v>1211.1579719543458</v>
      </c>
      <c r="AO8" s="57">
        <v>1851.2462768554687</v>
      </c>
      <c r="AP8" s="57">
        <v>328.18182268142704</v>
      </c>
      <c r="AQ8" s="57">
        <v>730.5678910255433</v>
      </c>
    </row>
    <row r="9" spans="1:47" x14ac:dyDescent="0.25">
      <c r="A9" s="11">
        <v>42006</v>
      </c>
      <c r="B9" s="59"/>
      <c r="C9" s="60">
        <v>28.287458916504903</v>
      </c>
      <c r="D9" s="60">
        <v>338.25952828725212</v>
      </c>
      <c r="E9" s="60">
        <v>5.0088096285859764</v>
      </c>
      <c r="F9" s="60">
        <v>0</v>
      </c>
      <c r="G9" s="60">
        <v>1267.2159187316927</v>
      </c>
      <c r="H9" s="61">
        <v>19.979943558573755</v>
      </c>
      <c r="I9" s="59">
        <v>252.25350125630689</v>
      </c>
      <c r="J9" s="60">
        <v>560.20394757588576</v>
      </c>
      <c r="K9" s="60">
        <v>30.723016162713371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1571.5200675170443</v>
      </c>
      <c r="V9" s="62">
        <v>293.65270902306167</v>
      </c>
      <c r="W9" s="62">
        <v>26.416551687395661</v>
      </c>
      <c r="X9" s="62">
        <v>4.9361711163560011</v>
      </c>
      <c r="Y9" s="66">
        <v>207.11564710343231</v>
      </c>
      <c r="Z9" s="66">
        <v>38.701428069627688</v>
      </c>
      <c r="AA9" s="67">
        <v>0</v>
      </c>
      <c r="AB9" s="68">
        <v>25.848738869031472</v>
      </c>
      <c r="AC9" s="69">
        <v>0</v>
      </c>
      <c r="AD9" s="69">
        <v>12.937881329986787</v>
      </c>
      <c r="AE9" s="68">
        <v>10.704165973094895</v>
      </c>
      <c r="AF9" s="68">
        <v>2.0001700269714839</v>
      </c>
      <c r="AG9" s="68">
        <v>0.84256004981598154</v>
      </c>
      <c r="AH9" s="69">
        <v>329.51531123320251</v>
      </c>
      <c r="AI9" s="69">
        <v>1172.930901590983</v>
      </c>
      <c r="AJ9" s="69">
        <v>3107.9970134735104</v>
      </c>
      <c r="AK9" s="69">
        <v>689.66798604329438</v>
      </c>
      <c r="AL9" s="69">
        <v>2990.2759113311768</v>
      </c>
      <c r="AM9" s="69">
        <v>3001.2921265920004</v>
      </c>
      <c r="AN9" s="69">
        <v>1173.4606604894004</v>
      </c>
      <c r="AO9" s="69">
        <v>1872.1671146392823</v>
      </c>
      <c r="AP9" s="69">
        <v>325.52846164703368</v>
      </c>
      <c r="AQ9" s="69">
        <v>755.44214744567876</v>
      </c>
    </row>
    <row r="10" spans="1:47" x14ac:dyDescent="0.25">
      <c r="A10" s="11">
        <v>42007</v>
      </c>
      <c r="B10" s="59"/>
      <c r="C10" s="60">
        <v>28.220389982064486</v>
      </c>
      <c r="D10" s="60">
        <v>338.21488380432157</v>
      </c>
      <c r="E10" s="60">
        <v>5.0224538321296333</v>
      </c>
      <c r="F10" s="60">
        <v>0</v>
      </c>
      <c r="G10" s="60">
        <v>1266.9695058186876</v>
      </c>
      <c r="H10" s="61">
        <v>19.981958890954644</v>
      </c>
      <c r="I10" s="59">
        <v>260.52699429194104</v>
      </c>
      <c r="J10" s="60">
        <v>600.85060555140149</v>
      </c>
      <c r="K10" s="60">
        <v>32.885177409648897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1604.246699996854</v>
      </c>
      <c r="V10" s="62">
        <v>278.98069044079</v>
      </c>
      <c r="W10" s="62">
        <v>27.1773342558871</v>
      </c>
      <c r="X10" s="62">
        <v>4.7261755159367853</v>
      </c>
      <c r="Y10" s="66">
        <v>222.15986301930599</v>
      </c>
      <c r="Z10" s="66">
        <v>38.633903360049835</v>
      </c>
      <c r="AA10" s="67">
        <v>0</v>
      </c>
      <c r="AB10" s="68">
        <v>25.849656453397543</v>
      </c>
      <c r="AC10" s="69">
        <v>0</v>
      </c>
      <c r="AD10" s="69">
        <v>13.746093917555298</v>
      </c>
      <c r="AE10" s="68">
        <v>11.500474384708955</v>
      </c>
      <c r="AF10" s="68">
        <v>1.9999481901686407</v>
      </c>
      <c r="AG10" s="68">
        <v>0.8518603266619027</v>
      </c>
      <c r="AH10" s="69">
        <v>338.13419037659969</v>
      </c>
      <c r="AI10" s="69">
        <v>1189.7149649302166</v>
      </c>
      <c r="AJ10" s="69">
        <v>3110.6073649088544</v>
      </c>
      <c r="AK10" s="69">
        <v>703.40597791671746</v>
      </c>
      <c r="AL10" s="69">
        <v>2998.9036790211994</v>
      </c>
      <c r="AM10" s="69">
        <v>2957.8768726348871</v>
      </c>
      <c r="AN10" s="69">
        <v>1171.9392192204793</v>
      </c>
      <c r="AO10" s="69">
        <v>1927.4890829722087</v>
      </c>
      <c r="AP10" s="69">
        <v>326.59420253435769</v>
      </c>
      <c r="AQ10" s="69">
        <v>761.99041077295931</v>
      </c>
    </row>
    <row r="11" spans="1:47" x14ac:dyDescent="0.25">
      <c r="A11" s="11">
        <v>42008</v>
      </c>
      <c r="B11" s="59"/>
      <c r="C11" s="60">
        <v>27.83632814884206</v>
      </c>
      <c r="D11" s="60">
        <v>339.07558925946535</v>
      </c>
      <c r="E11" s="60">
        <v>4.9952028840780294</v>
      </c>
      <c r="F11" s="60">
        <v>0</v>
      </c>
      <c r="G11" s="60">
        <v>1268.4727737426788</v>
      </c>
      <c r="H11" s="61">
        <v>20.073312595486666</v>
      </c>
      <c r="I11" s="59">
        <v>253.82021810213715</v>
      </c>
      <c r="J11" s="60">
        <v>598.60247313181389</v>
      </c>
      <c r="K11" s="60">
        <v>32.639829935630218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1614.5448176485445</v>
      </c>
      <c r="V11" s="62">
        <v>270.88142140749693</v>
      </c>
      <c r="W11" s="62">
        <v>26.528485073281772</v>
      </c>
      <c r="X11" s="62">
        <v>4.4508357190753456</v>
      </c>
      <c r="Y11" s="66">
        <v>219.88589017155991</v>
      </c>
      <c r="Z11" s="66">
        <v>36.891513834762208</v>
      </c>
      <c r="AA11" s="67">
        <v>0</v>
      </c>
      <c r="AB11" s="68">
        <v>25.848211288452461</v>
      </c>
      <c r="AC11" s="69">
        <v>0</v>
      </c>
      <c r="AD11" s="69">
        <v>13.513298648595791</v>
      </c>
      <c r="AE11" s="68">
        <v>11.361773844587608</v>
      </c>
      <c r="AF11" s="68">
        <v>1.9062298024125626</v>
      </c>
      <c r="AG11" s="68">
        <v>0.85632881531174798</v>
      </c>
      <c r="AH11" s="69">
        <v>359.10856351057686</v>
      </c>
      <c r="AI11" s="69">
        <v>1227.0038206736247</v>
      </c>
      <c r="AJ11" s="69">
        <v>3128.0603827158607</v>
      </c>
      <c r="AK11" s="69">
        <v>720.26296129226694</v>
      </c>
      <c r="AL11" s="69">
        <v>3030.1850351969397</v>
      </c>
      <c r="AM11" s="69">
        <v>3018.8413960774737</v>
      </c>
      <c r="AN11" s="69">
        <v>1219.1087690353393</v>
      </c>
      <c r="AO11" s="69">
        <v>1919.0790678660076</v>
      </c>
      <c r="AP11" s="69">
        <v>330.63283443450928</v>
      </c>
      <c r="AQ11" s="69">
        <v>709.75703531901047</v>
      </c>
    </row>
    <row r="12" spans="1:47" x14ac:dyDescent="0.25">
      <c r="A12" s="11">
        <v>42009</v>
      </c>
      <c r="B12" s="59"/>
      <c r="C12" s="60">
        <v>27.705487559239</v>
      </c>
      <c r="D12" s="60">
        <v>338.79017934799208</v>
      </c>
      <c r="E12" s="60">
        <v>5.031564168632026</v>
      </c>
      <c r="F12" s="60">
        <v>0</v>
      </c>
      <c r="G12" s="60">
        <v>1267.6931922912631</v>
      </c>
      <c r="H12" s="61">
        <v>19.988843823472671</v>
      </c>
      <c r="I12" s="59">
        <v>253.1970591386156</v>
      </c>
      <c r="J12" s="60">
        <v>597.5097812334684</v>
      </c>
      <c r="K12" s="60">
        <v>32.762010502815286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1615.1501587874811</v>
      </c>
      <c r="V12" s="62">
        <v>288.08603711587796</v>
      </c>
      <c r="W12" s="62">
        <v>27.436410065386713</v>
      </c>
      <c r="X12" s="62">
        <v>4.8936915279487936</v>
      </c>
      <c r="Y12" s="66">
        <v>215.96852182409091</v>
      </c>
      <c r="Z12" s="66">
        <v>38.52119585016419</v>
      </c>
      <c r="AA12" s="67">
        <v>0</v>
      </c>
      <c r="AB12" s="68">
        <v>29.49648769961469</v>
      </c>
      <c r="AC12" s="69">
        <v>0</v>
      </c>
      <c r="AD12" s="69">
        <v>13.091092567311392</v>
      </c>
      <c r="AE12" s="68">
        <v>10.969404042601026</v>
      </c>
      <c r="AF12" s="68">
        <v>1.9565562514188668</v>
      </c>
      <c r="AG12" s="68">
        <v>0.84863358644819187</v>
      </c>
      <c r="AH12" s="69">
        <v>302.93507373332972</v>
      </c>
      <c r="AI12" s="69">
        <v>1123.4067499160769</v>
      </c>
      <c r="AJ12" s="69">
        <v>3048.786842091878</v>
      </c>
      <c r="AK12" s="69">
        <v>678.67523279190038</v>
      </c>
      <c r="AL12" s="69">
        <v>2880.9475503285726</v>
      </c>
      <c r="AM12" s="69">
        <v>2975.2020821889237</v>
      </c>
      <c r="AN12" s="69">
        <v>970.08782288233454</v>
      </c>
      <c r="AO12" s="69">
        <v>1909.8740233103435</v>
      </c>
      <c r="AP12" s="69">
        <v>333.6826697190603</v>
      </c>
      <c r="AQ12" s="69">
        <v>735.37284692128515</v>
      </c>
    </row>
    <row r="13" spans="1:47" x14ac:dyDescent="0.25">
      <c r="A13" s="11">
        <v>42010</v>
      </c>
      <c r="B13" s="59"/>
      <c r="C13" s="60">
        <v>27.523598273594867</v>
      </c>
      <c r="D13" s="60">
        <v>338.90703560511349</v>
      </c>
      <c r="E13" s="60">
        <v>5.0748046810428296</v>
      </c>
      <c r="F13" s="60">
        <v>0</v>
      </c>
      <c r="G13" s="60">
        <v>1263.7283178965274</v>
      </c>
      <c r="H13" s="61">
        <v>20.06136248509091</v>
      </c>
      <c r="I13" s="59">
        <v>234.38190865516617</v>
      </c>
      <c r="J13" s="60">
        <v>594.33132120768198</v>
      </c>
      <c r="K13" s="60">
        <v>32.972783927122741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1620.7336480301108</v>
      </c>
      <c r="V13" s="62">
        <v>288.96107949666379</v>
      </c>
      <c r="W13" s="62">
        <v>28.042479808788013</v>
      </c>
      <c r="X13" s="62">
        <v>4.9997019850606801</v>
      </c>
      <c r="Y13" s="66">
        <v>226.09054076837592</v>
      </c>
      <c r="Z13" s="66">
        <v>40.309749108880489</v>
      </c>
      <c r="AA13" s="67">
        <v>0</v>
      </c>
      <c r="AB13" s="68">
        <v>34.856498609649265</v>
      </c>
      <c r="AC13" s="69">
        <v>0</v>
      </c>
      <c r="AD13" s="69">
        <v>13.075448749462774</v>
      </c>
      <c r="AE13" s="68">
        <v>10.970102735541365</v>
      </c>
      <c r="AF13" s="68">
        <v>1.9558628479788589</v>
      </c>
      <c r="AG13" s="68">
        <v>0.84868729261723719</v>
      </c>
      <c r="AH13" s="69">
        <v>267.60539995034537</v>
      </c>
      <c r="AI13" s="69">
        <v>1072.3590429306028</v>
      </c>
      <c r="AJ13" s="69">
        <v>3030.2016318003334</v>
      </c>
      <c r="AK13" s="69">
        <v>647.74288959503167</v>
      </c>
      <c r="AL13" s="69">
        <v>2816.4104214986164</v>
      </c>
      <c r="AM13" s="69">
        <v>2960.4916987101237</v>
      </c>
      <c r="AN13" s="69">
        <v>622.27356119155888</v>
      </c>
      <c r="AO13" s="69">
        <v>1971.6532820383707</v>
      </c>
      <c r="AP13" s="69">
        <v>334.74521611531577</v>
      </c>
      <c r="AQ13" s="69">
        <v>700.65167865753187</v>
      </c>
    </row>
    <row r="14" spans="1:47" x14ac:dyDescent="0.25">
      <c r="A14" s="11">
        <v>42011</v>
      </c>
      <c r="B14" s="59"/>
      <c r="C14" s="60">
        <v>28.108780284722599</v>
      </c>
      <c r="D14" s="60">
        <v>338.83138232231238</v>
      </c>
      <c r="E14" s="60">
        <v>5.0558097983400083</v>
      </c>
      <c r="F14" s="60">
        <v>0</v>
      </c>
      <c r="G14" s="60">
        <v>1224.0467068990092</v>
      </c>
      <c r="H14" s="61">
        <v>20.049715812007562</v>
      </c>
      <c r="I14" s="59">
        <v>231.84591034253407</v>
      </c>
      <c r="J14" s="60">
        <v>592.16451813379854</v>
      </c>
      <c r="K14" s="60">
        <v>32.965640731652591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1632.3726841259165</v>
      </c>
      <c r="V14" s="62">
        <v>283.97460538334911</v>
      </c>
      <c r="W14" s="62">
        <v>30.117501343097913</v>
      </c>
      <c r="X14" s="62">
        <v>5.239370667133139</v>
      </c>
      <c r="Y14" s="66">
        <v>243.33079390254983</v>
      </c>
      <c r="Z14" s="66">
        <v>42.330876305427978</v>
      </c>
      <c r="AA14" s="67">
        <v>0</v>
      </c>
      <c r="AB14" s="68">
        <v>34.82296095159311</v>
      </c>
      <c r="AC14" s="69">
        <v>0</v>
      </c>
      <c r="AD14" s="69">
        <v>13.63180857499442</v>
      </c>
      <c r="AE14" s="68">
        <v>11.497509451427707</v>
      </c>
      <c r="AF14" s="68">
        <v>2.0001564232917888</v>
      </c>
      <c r="AG14" s="68">
        <v>0.8518146439646288</v>
      </c>
      <c r="AH14" s="69">
        <v>316.62771712144223</v>
      </c>
      <c r="AI14" s="69">
        <v>1152.1484807968141</v>
      </c>
      <c r="AJ14" s="69">
        <v>3056.8299532572428</v>
      </c>
      <c r="AK14" s="69">
        <v>665.59765192667624</v>
      </c>
      <c r="AL14" s="69">
        <v>2932.5874382019042</v>
      </c>
      <c r="AM14" s="69">
        <v>2985.2782820383704</v>
      </c>
      <c r="AN14" s="69">
        <v>671.50130043029787</v>
      </c>
      <c r="AO14" s="69">
        <v>1908.6124830881756</v>
      </c>
      <c r="AP14" s="69">
        <v>337.1356908321381</v>
      </c>
      <c r="AQ14" s="69">
        <v>755.36772699356095</v>
      </c>
    </row>
    <row r="15" spans="1:47" x14ac:dyDescent="0.25">
      <c r="A15" s="11">
        <v>42012</v>
      </c>
      <c r="B15" s="59"/>
      <c r="C15" s="60">
        <v>27.443409562110915</v>
      </c>
      <c r="D15" s="60">
        <v>338.96981190045744</v>
      </c>
      <c r="E15" s="60">
        <v>5.0575398703416239</v>
      </c>
      <c r="F15" s="60">
        <v>0</v>
      </c>
      <c r="G15" s="60">
        <v>1330.611227035517</v>
      </c>
      <c r="H15" s="61">
        <v>20.030507519841169</v>
      </c>
      <c r="I15" s="59">
        <v>228.89358696937563</v>
      </c>
      <c r="J15" s="60">
        <v>584.52424303690577</v>
      </c>
      <c r="K15" s="60">
        <v>32.235250423351985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1614.5135532409743</v>
      </c>
      <c r="V15" s="62">
        <v>284.91581202306725</v>
      </c>
      <c r="W15" s="62">
        <v>27.868585734384201</v>
      </c>
      <c r="X15" s="62">
        <v>4.9180142950843511</v>
      </c>
      <c r="Y15" s="66">
        <v>233.4783079217753</v>
      </c>
      <c r="Z15" s="66">
        <v>41.202293754529819</v>
      </c>
      <c r="AA15" s="67">
        <v>0</v>
      </c>
      <c r="AB15" s="68">
        <v>34.824116349220532</v>
      </c>
      <c r="AC15" s="69">
        <v>0</v>
      </c>
      <c r="AD15" s="69">
        <v>13.466075451506518</v>
      </c>
      <c r="AE15" s="68">
        <v>11.335616865135272</v>
      </c>
      <c r="AF15" s="68">
        <v>2.0004146000689174</v>
      </c>
      <c r="AG15" s="68">
        <v>0.84999925912830099</v>
      </c>
      <c r="AH15" s="69">
        <v>276.89079329172773</v>
      </c>
      <c r="AI15" s="69">
        <v>1101.6888992309571</v>
      </c>
      <c r="AJ15" s="69">
        <v>3039.2494401295985</v>
      </c>
      <c r="AK15" s="69">
        <v>648.27867094675707</v>
      </c>
      <c r="AL15" s="69">
        <v>2815.3749464670818</v>
      </c>
      <c r="AM15" s="69">
        <v>2934.1221000671389</v>
      </c>
      <c r="AN15" s="69">
        <v>634.67327849070239</v>
      </c>
      <c r="AO15" s="69">
        <v>1976.0768880208332</v>
      </c>
      <c r="AP15" s="69">
        <v>331.9125401178996</v>
      </c>
      <c r="AQ15" s="69">
        <v>727.29272731145238</v>
      </c>
    </row>
    <row r="16" spans="1:47" x14ac:dyDescent="0.25">
      <c r="A16" s="11">
        <v>42013</v>
      </c>
      <c r="B16" s="59"/>
      <c r="C16" s="60">
        <v>28.640063603718772</v>
      </c>
      <c r="D16" s="60">
        <v>338.53518764177937</v>
      </c>
      <c r="E16" s="60">
        <v>5.0441917727390901</v>
      </c>
      <c r="F16" s="60">
        <v>0</v>
      </c>
      <c r="G16" s="60">
        <v>1337.1388782501172</v>
      </c>
      <c r="H16" s="61">
        <v>19.982797602812443</v>
      </c>
      <c r="I16" s="59">
        <v>226.21808597246769</v>
      </c>
      <c r="J16" s="60">
        <v>577.94177563985215</v>
      </c>
      <c r="K16" s="60">
        <v>31.768614065647117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1602.4793266222694</v>
      </c>
      <c r="V16" s="62">
        <v>284.89075199439117</v>
      </c>
      <c r="W16" s="62">
        <v>26.891114858316321</v>
      </c>
      <c r="X16" s="62">
        <v>4.7807355805964242</v>
      </c>
      <c r="Y16" s="66">
        <v>225.92059475062516</v>
      </c>
      <c r="Z16" s="66">
        <v>40.164442099350111</v>
      </c>
      <c r="AA16" s="67">
        <v>0</v>
      </c>
      <c r="AB16" s="68">
        <v>34.821452474593968</v>
      </c>
      <c r="AC16" s="69">
        <v>0</v>
      </c>
      <c r="AD16" s="69">
        <v>13.386539669831588</v>
      </c>
      <c r="AE16" s="68">
        <v>11.249186420974956</v>
      </c>
      <c r="AF16" s="68">
        <v>1.999894242349918</v>
      </c>
      <c r="AG16" s="68">
        <v>0.84905411226864391</v>
      </c>
      <c r="AH16" s="69">
        <v>311.91613818804427</v>
      </c>
      <c r="AI16" s="69">
        <v>1101.937521711985</v>
      </c>
      <c r="AJ16" s="69">
        <v>3084.0728712717696</v>
      </c>
      <c r="AK16" s="69">
        <v>657.4438677787781</v>
      </c>
      <c r="AL16" s="69">
        <v>2907.2357757568357</v>
      </c>
      <c r="AM16" s="69">
        <v>2997.2617599487307</v>
      </c>
      <c r="AN16" s="69">
        <v>666.22958513895674</v>
      </c>
      <c r="AO16" s="69">
        <v>1924.9118286132812</v>
      </c>
      <c r="AP16" s="69">
        <v>366.76026066144306</v>
      </c>
      <c r="AQ16" s="69">
        <v>690.33090957005822</v>
      </c>
    </row>
    <row r="17" spans="1:43" x14ac:dyDescent="0.25">
      <c r="A17" s="11">
        <v>42014</v>
      </c>
      <c r="B17" s="49"/>
      <c r="C17" s="50">
        <v>28.126294811566375</v>
      </c>
      <c r="D17" s="50">
        <v>339.67710321744329</v>
      </c>
      <c r="E17" s="50">
        <v>5.0598870490988119</v>
      </c>
      <c r="F17" s="50">
        <v>0</v>
      </c>
      <c r="G17" s="50">
        <v>1336.3698558171579</v>
      </c>
      <c r="H17" s="51">
        <v>20.066981290777512</v>
      </c>
      <c r="I17" s="49">
        <v>226.47791558901486</v>
      </c>
      <c r="J17" s="50">
        <v>578.72412875493285</v>
      </c>
      <c r="K17" s="50">
        <v>31.81454392870269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1613.0108240452369</v>
      </c>
      <c r="V17" s="66">
        <v>265.89716053997671</v>
      </c>
      <c r="W17" s="62">
        <v>26.29727239834768</v>
      </c>
      <c r="X17" s="62">
        <v>4.3349802471448573</v>
      </c>
      <c r="Y17" s="66">
        <v>223.08933386271704</v>
      </c>
      <c r="Z17" s="66">
        <v>36.775215352918018</v>
      </c>
      <c r="AA17" s="67">
        <v>0</v>
      </c>
      <c r="AB17" s="68">
        <v>34.823919325404958</v>
      </c>
      <c r="AC17" s="69">
        <v>0</v>
      </c>
      <c r="AD17" s="69">
        <v>13.108439911074109</v>
      </c>
      <c r="AE17" s="68">
        <v>11.142640728638609</v>
      </c>
      <c r="AF17" s="68">
        <v>1.8368113136598592</v>
      </c>
      <c r="AG17" s="68">
        <v>0.85848313875856141</v>
      </c>
      <c r="AH17" s="69">
        <v>272.48684053421022</v>
      </c>
      <c r="AI17" s="69">
        <v>874.33823903401708</v>
      </c>
      <c r="AJ17" s="69">
        <v>3046.0345263163249</v>
      </c>
      <c r="AK17" s="69">
        <v>641.61775356928501</v>
      </c>
      <c r="AL17" s="69">
        <v>2772.6157751719152</v>
      </c>
      <c r="AM17" s="69">
        <v>3027.1650369008375</v>
      </c>
      <c r="AN17" s="69">
        <v>626.20780467987072</v>
      </c>
      <c r="AO17" s="69">
        <v>1932.8203309377034</v>
      </c>
      <c r="AP17" s="69">
        <v>387.90329570770268</v>
      </c>
      <c r="AQ17" s="69">
        <v>700.83390054702772</v>
      </c>
    </row>
    <row r="18" spans="1:43" x14ac:dyDescent="0.25">
      <c r="A18" s="11">
        <v>42015</v>
      </c>
      <c r="B18" s="59"/>
      <c r="C18" s="60">
        <v>27.661317934592351</v>
      </c>
      <c r="D18" s="60">
        <v>339.41567840576243</v>
      </c>
      <c r="E18" s="60">
        <v>5.0716566940148615</v>
      </c>
      <c r="F18" s="60">
        <v>0</v>
      </c>
      <c r="G18" s="60">
        <v>1336.7484745661418</v>
      </c>
      <c r="H18" s="61">
        <v>19.96340995033583</v>
      </c>
      <c r="I18" s="59">
        <v>226.28995571136477</v>
      </c>
      <c r="J18" s="60">
        <v>574.9181371370945</v>
      </c>
      <c r="K18" s="60">
        <v>31.723743118842478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1601.551639445044</v>
      </c>
      <c r="V18" s="62">
        <v>287.16225219891572</v>
      </c>
      <c r="W18" s="62">
        <v>26.894864190013216</v>
      </c>
      <c r="X18" s="62">
        <v>4.8223170475254467</v>
      </c>
      <c r="Y18" s="66">
        <v>220.59855230506051</v>
      </c>
      <c r="Z18" s="66">
        <v>39.553877347153261</v>
      </c>
      <c r="AA18" s="67">
        <v>0</v>
      </c>
      <c r="AB18" s="68">
        <v>34.825940296385234</v>
      </c>
      <c r="AC18" s="69">
        <v>0</v>
      </c>
      <c r="AD18" s="69">
        <v>13.126189471615676</v>
      </c>
      <c r="AE18" s="68">
        <v>11.013182143770376</v>
      </c>
      <c r="AF18" s="68">
        <v>1.9746913620455286</v>
      </c>
      <c r="AG18" s="68">
        <v>0.84795883936186534</v>
      </c>
      <c r="AH18" s="69">
        <v>272.58417098522187</v>
      </c>
      <c r="AI18" s="69">
        <v>873.46154832839954</v>
      </c>
      <c r="AJ18" s="69">
        <v>3062.6333997090665</v>
      </c>
      <c r="AK18" s="69">
        <v>640.69693778355918</v>
      </c>
      <c r="AL18" s="69">
        <v>2768.1841612497969</v>
      </c>
      <c r="AM18" s="69">
        <v>2921.9369688669835</v>
      </c>
      <c r="AN18" s="69">
        <v>632.54775384267168</v>
      </c>
      <c r="AO18" s="69">
        <v>1904.5414652506511</v>
      </c>
      <c r="AP18" s="69">
        <v>380.90907837549844</v>
      </c>
      <c r="AQ18" s="69">
        <v>709.70314019521061</v>
      </c>
    </row>
    <row r="19" spans="1:43" x14ac:dyDescent="0.25">
      <c r="A19" s="11">
        <v>42016</v>
      </c>
      <c r="B19" s="59"/>
      <c r="C19" s="60">
        <v>31.353638122479119</v>
      </c>
      <c r="D19" s="60">
        <v>383.49042261640272</v>
      </c>
      <c r="E19" s="60">
        <v>5.4744937583804099</v>
      </c>
      <c r="F19" s="60">
        <v>0</v>
      </c>
      <c r="G19" s="60">
        <v>1400.1060183842908</v>
      </c>
      <c r="H19" s="61">
        <v>22.785777545968696</v>
      </c>
      <c r="I19" s="59">
        <v>213.64865513642692</v>
      </c>
      <c r="J19" s="60">
        <v>534.20119132995592</v>
      </c>
      <c r="K19" s="60">
        <v>29.237977856397539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1566.3380340455615</v>
      </c>
      <c r="V19" s="62">
        <v>284.52507863720609</v>
      </c>
      <c r="W19" s="62">
        <v>25.918373595899052</v>
      </c>
      <c r="X19" s="62">
        <v>4.7080688365045198</v>
      </c>
      <c r="Y19" s="66">
        <v>206.63813942527031</v>
      </c>
      <c r="Z19" s="66">
        <v>37.535788311012055</v>
      </c>
      <c r="AA19" s="67">
        <v>0</v>
      </c>
      <c r="AB19" s="68">
        <v>33.380165959729105</v>
      </c>
      <c r="AC19" s="69">
        <v>0</v>
      </c>
      <c r="AD19" s="69">
        <v>12.342423149612213</v>
      </c>
      <c r="AE19" s="68">
        <v>10.335517796053626</v>
      </c>
      <c r="AF19" s="68">
        <v>1.8774453213544724</v>
      </c>
      <c r="AG19" s="68">
        <v>0.8462743804836026</v>
      </c>
      <c r="AH19" s="69">
        <v>313.55078945159909</v>
      </c>
      <c r="AI19" s="69">
        <v>951.43276716868093</v>
      </c>
      <c r="AJ19" s="69">
        <v>3018.6688816706333</v>
      </c>
      <c r="AK19" s="69">
        <v>668.91218922932933</v>
      </c>
      <c r="AL19" s="69">
        <v>2660.453451093038</v>
      </c>
      <c r="AM19" s="69">
        <v>2970.9153999328614</v>
      </c>
      <c r="AN19" s="69">
        <v>670.55745045344042</v>
      </c>
      <c r="AO19" s="69">
        <v>1839.6318229675294</v>
      </c>
      <c r="AP19" s="69">
        <v>369.09401122728991</v>
      </c>
      <c r="AQ19" s="69">
        <v>752.17232157389333</v>
      </c>
    </row>
    <row r="20" spans="1:43" x14ac:dyDescent="0.25">
      <c r="A20" s="11">
        <v>42017</v>
      </c>
      <c r="B20" s="59"/>
      <c r="C20" s="60">
        <v>41.941412440935956</v>
      </c>
      <c r="D20" s="60">
        <v>507.50275808970275</v>
      </c>
      <c r="E20" s="60">
        <v>6.7195372978846191</v>
      </c>
      <c r="F20" s="60">
        <v>0</v>
      </c>
      <c r="G20" s="60">
        <v>1964.6789731343561</v>
      </c>
      <c r="H20" s="61">
        <v>29.981150341033977</v>
      </c>
      <c r="I20" s="59">
        <v>203.62703692118347</v>
      </c>
      <c r="J20" s="60">
        <v>493.0688198725382</v>
      </c>
      <c r="K20" s="60">
        <v>27.440455394983275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1416.4954362895558</v>
      </c>
      <c r="V20" s="62">
        <v>447.39348786409943</v>
      </c>
      <c r="W20" s="62">
        <v>22.926535807548468</v>
      </c>
      <c r="X20" s="62">
        <v>7.2412395810102232</v>
      </c>
      <c r="Y20" s="66">
        <v>188.41060578484289</v>
      </c>
      <c r="Z20" s="66">
        <v>59.508612532824046</v>
      </c>
      <c r="AA20" s="67">
        <v>0</v>
      </c>
      <c r="AB20" s="68">
        <v>28.863037337197323</v>
      </c>
      <c r="AC20" s="69">
        <v>0</v>
      </c>
      <c r="AD20" s="69">
        <v>12.631265189912584</v>
      </c>
      <c r="AE20" s="68">
        <v>9.4980526197655131</v>
      </c>
      <c r="AF20" s="68">
        <v>2.9999156937664844</v>
      </c>
      <c r="AG20" s="68">
        <v>0.75996773087363589</v>
      </c>
      <c r="AH20" s="69">
        <v>324.09594879945121</v>
      </c>
      <c r="AI20" s="69">
        <v>1002.1465172449749</v>
      </c>
      <c r="AJ20" s="69">
        <v>3154.0901309967048</v>
      </c>
      <c r="AK20" s="69">
        <v>678.05959409077957</v>
      </c>
      <c r="AL20" s="69">
        <v>3214.7772193908695</v>
      </c>
      <c r="AM20" s="69">
        <v>3050.7961393992105</v>
      </c>
      <c r="AN20" s="69">
        <v>688.42667172749839</v>
      </c>
      <c r="AO20" s="69">
        <v>1829.0536949157715</v>
      </c>
      <c r="AP20" s="69">
        <v>322.33780517578128</v>
      </c>
      <c r="AQ20" s="69">
        <v>773.65282799402883</v>
      </c>
    </row>
    <row r="21" spans="1:43" x14ac:dyDescent="0.25">
      <c r="A21" s="11">
        <v>42018</v>
      </c>
      <c r="B21" s="59"/>
      <c r="C21" s="60">
        <v>41.998201310634542</v>
      </c>
      <c r="D21" s="60">
        <v>507.74980945587282</v>
      </c>
      <c r="E21" s="60">
        <v>6.7153102730711263</v>
      </c>
      <c r="F21" s="60">
        <v>0</v>
      </c>
      <c r="G21" s="60">
        <v>1963.9037425994857</v>
      </c>
      <c r="H21" s="61">
        <v>29.924915454785161</v>
      </c>
      <c r="I21" s="59">
        <v>208.54639245669071</v>
      </c>
      <c r="J21" s="60">
        <v>492.23065048853528</v>
      </c>
      <c r="K21" s="60">
        <v>27.447368524471877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1418.1638178893902</v>
      </c>
      <c r="V21" s="62">
        <v>447.78984110466399</v>
      </c>
      <c r="W21" s="62">
        <v>23.871681619880835</v>
      </c>
      <c r="X21" s="62">
        <v>7.5375611650961574</v>
      </c>
      <c r="Y21" s="66">
        <v>188.20295950943068</v>
      </c>
      <c r="Z21" s="66">
        <v>59.425696997107096</v>
      </c>
      <c r="AA21" s="67">
        <v>0</v>
      </c>
      <c r="AB21" s="68">
        <v>28.864333883921127</v>
      </c>
      <c r="AC21" s="69">
        <v>0</v>
      </c>
      <c r="AD21" s="69">
        <v>12.634678952561494</v>
      </c>
      <c r="AE21" s="68">
        <v>9.5002980931638259</v>
      </c>
      <c r="AF21" s="68">
        <v>2.999750042922456</v>
      </c>
      <c r="AG21" s="68">
        <v>0.76002092069849692</v>
      </c>
      <c r="AH21" s="69">
        <v>300.69960420131684</v>
      </c>
      <c r="AI21" s="69">
        <v>969.96006412506085</v>
      </c>
      <c r="AJ21" s="69">
        <v>3138.8930347442624</v>
      </c>
      <c r="AK21" s="69">
        <v>667.85207246144603</v>
      </c>
      <c r="AL21" s="69">
        <v>3136.3170141855876</v>
      </c>
      <c r="AM21" s="69">
        <v>2972.2479832967124</v>
      </c>
      <c r="AN21" s="69">
        <v>662.32720785141009</v>
      </c>
      <c r="AO21" s="69">
        <v>1821.981970469157</v>
      </c>
      <c r="AP21" s="69">
        <v>326.375891049703</v>
      </c>
      <c r="AQ21" s="69">
        <v>751.71872847874954</v>
      </c>
    </row>
    <row r="22" spans="1:43" x14ac:dyDescent="0.25">
      <c r="A22" s="11">
        <v>42019</v>
      </c>
      <c r="B22" s="59"/>
      <c r="C22" s="60">
        <v>42.301908880472425</v>
      </c>
      <c r="D22" s="60">
        <v>507.70396709442116</v>
      </c>
      <c r="E22" s="60">
        <v>6.7154244557023048</v>
      </c>
      <c r="F22" s="60">
        <v>0</v>
      </c>
      <c r="G22" s="60">
        <v>1963.6300219217919</v>
      </c>
      <c r="H22" s="61">
        <v>29.939754464229058</v>
      </c>
      <c r="I22" s="59">
        <v>217.54269475936849</v>
      </c>
      <c r="J22" s="60">
        <v>505.51740833918319</v>
      </c>
      <c r="K22" s="60">
        <v>27.927602817614765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1406.4337861303923</v>
      </c>
      <c r="V22" s="62">
        <v>447.52886777142618</v>
      </c>
      <c r="W22" s="62">
        <v>22.992200180408108</v>
      </c>
      <c r="X22" s="62">
        <v>7.3161448592774727</v>
      </c>
      <c r="Y22" s="66">
        <v>183.35154286160488</v>
      </c>
      <c r="Z22" s="66">
        <v>58.342674351390137</v>
      </c>
      <c r="AA22" s="67">
        <v>0</v>
      </c>
      <c r="AB22" s="68">
        <v>28.86470170285946</v>
      </c>
      <c r="AC22" s="69">
        <v>0</v>
      </c>
      <c r="AD22" s="69">
        <v>12.31425749825106</v>
      </c>
      <c r="AE22" s="68">
        <v>9.2069796520190668</v>
      </c>
      <c r="AF22" s="68">
        <v>2.929671641776562</v>
      </c>
      <c r="AG22" s="68">
        <v>0.75860955622295601</v>
      </c>
      <c r="AH22" s="69">
        <v>281.0146181424459</v>
      </c>
      <c r="AI22" s="69">
        <v>947.58587322235087</v>
      </c>
      <c r="AJ22" s="69">
        <v>3087.7828357696535</v>
      </c>
      <c r="AK22" s="69">
        <v>652.99408976236975</v>
      </c>
      <c r="AL22" s="69">
        <v>3106.1975865681961</v>
      </c>
      <c r="AM22" s="69">
        <v>2953.7344633738203</v>
      </c>
      <c r="AN22" s="69">
        <v>628.76731850306203</v>
      </c>
      <c r="AO22" s="69">
        <v>1891.6673229217529</v>
      </c>
      <c r="AP22" s="69">
        <v>328.84192226727799</v>
      </c>
      <c r="AQ22" s="69">
        <v>732.6916781107584</v>
      </c>
    </row>
    <row r="23" spans="1:43" x14ac:dyDescent="0.25">
      <c r="A23" s="11">
        <v>42020</v>
      </c>
      <c r="B23" s="59"/>
      <c r="C23" s="60">
        <v>41.6204475363093</v>
      </c>
      <c r="D23" s="60">
        <v>508.52527135213234</v>
      </c>
      <c r="E23" s="60">
        <v>6.7691165382663447</v>
      </c>
      <c r="F23" s="60">
        <v>0</v>
      </c>
      <c r="G23" s="60">
        <v>1963.9931151072169</v>
      </c>
      <c r="H23" s="61">
        <v>30.06624353925395</v>
      </c>
      <c r="I23" s="59">
        <v>228.65370841026251</v>
      </c>
      <c r="J23" s="60">
        <v>523.18486391703311</v>
      </c>
      <c r="K23" s="60">
        <v>28.7117850542067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1420.6942667786448</v>
      </c>
      <c r="V23" s="62">
        <v>437.32260947385294</v>
      </c>
      <c r="W23" s="62">
        <v>24.039944937054436</v>
      </c>
      <c r="X23" s="62">
        <v>7.4000520008563004</v>
      </c>
      <c r="Y23" s="66">
        <v>188.98764244998895</v>
      </c>
      <c r="Z23" s="66">
        <v>58.174774747238395</v>
      </c>
      <c r="AA23" s="67">
        <v>0</v>
      </c>
      <c r="AB23" s="68">
        <v>28.86487996710666</v>
      </c>
      <c r="AC23" s="69">
        <v>0</v>
      </c>
      <c r="AD23" s="69">
        <v>12.580535144607225</v>
      </c>
      <c r="AE23" s="68">
        <v>9.4195036545636803</v>
      </c>
      <c r="AF23" s="68">
        <v>2.8995414527171532</v>
      </c>
      <c r="AG23" s="68">
        <v>0.76462936636188961</v>
      </c>
      <c r="AH23" s="69">
        <v>259.95422879060112</v>
      </c>
      <c r="AI23" s="69">
        <v>918.49282636642454</v>
      </c>
      <c r="AJ23" s="69">
        <v>3099.0541338602702</v>
      </c>
      <c r="AK23" s="69">
        <v>637.50170418421419</v>
      </c>
      <c r="AL23" s="69">
        <v>3007.7939159393309</v>
      </c>
      <c r="AM23" s="69">
        <v>2951.7619406382232</v>
      </c>
      <c r="AN23" s="69">
        <v>620.5200845400492</v>
      </c>
      <c r="AO23" s="69">
        <v>1913.8546548207601</v>
      </c>
      <c r="AP23" s="69">
        <v>342.91639019648238</v>
      </c>
      <c r="AQ23" s="69">
        <v>738.49906276067099</v>
      </c>
    </row>
    <row r="24" spans="1:43" x14ac:dyDescent="0.25">
      <c r="A24" s="11">
        <v>42021</v>
      </c>
      <c r="B24" s="59"/>
      <c r="C24" s="60">
        <v>42.169390867153481</v>
      </c>
      <c r="D24" s="60">
        <v>507.5772175788876</v>
      </c>
      <c r="E24" s="60">
        <v>6.8883702283104293</v>
      </c>
      <c r="F24" s="60">
        <v>0</v>
      </c>
      <c r="G24" s="60">
        <v>1963.5611362457216</v>
      </c>
      <c r="H24" s="61">
        <v>29.977761532863042</v>
      </c>
      <c r="I24" s="59">
        <v>228.48792262077313</v>
      </c>
      <c r="J24" s="60">
        <v>523.08298708597863</v>
      </c>
      <c r="K24" s="60">
        <v>28.752146786451256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1453.6328164446661</v>
      </c>
      <c r="V24" s="62">
        <v>412.72120873910245</v>
      </c>
      <c r="W24" s="62">
        <v>25.027629797814409</v>
      </c>
      <c r="X24" s="62">
        <v>7.1059441594698889</v>
      </c>
      <c r="Y24" s="66">
        <v>198.77473075824213</v>
      </c>
      <c r="Z24" s="66">
        <v>56.436911864705557</v>
      </c>
      <c r="AA24" s="67">
        <v>0</v>
      </c>
      <c r="AB24" s="68">
        <v>28.864501130580756</v>
      </c>
      <c r="AC24" s="69">
        <v>0</v>
      </c>
      <c r="AD24" s="69">
        <v>12.925397868620008</v>
      </c>
      <c r="AE24" s="68">
        <v>9.8786873881244048</v>
      </c>
      <c r="AF24" s="68">
        <v>2.8047961998783282</v>
      </c>
      <c r="AG24" s="68">
        <v>0.77886231488237379</v>
      </c>
      <c r="AH24" s="69">
        <v>269.73743877410885</v>
      </c>
      <c r="AI24" s="69">
        <v>929.64821815490723</v>
      </c>
      <c r="AJ24" s="69">
        <v>3114.606560770671</v>
      </c>
      <c r="AK24" s="69">
        <v>638.59474830627448</v>
      </c>
      <c r="AL24" s="69">
        <v>3046.3060564676921</v>
      </c>
      <c r="AM24" s="69">
        <v>2864.9240571339928</v>
      </c>
      <c r="AN24" s="69">
        <v>611.27765398025497</v>
      </c>
      <c r="AO24" s="69">
        <v>1870.938051478068</v>
      </c>
      <c r="AP24" s="69">
        <v>339.93623073895776</v>
      </c>
      <c r="AQ24" s="69">
        <v>688.00400520960488</v>
      </c>
    </row>
    <row r="25" spans="1:43" x14ac:dyDescent="0.25">
      <c r="A25" s="11">
        <v>42022</v>
      </c>
      <c r="B25" s="59"/>
      <c r="C25" s="60">
        <v>41.913627088069795</v>
      </c>
      <c r="D25" s="60">
        <v>507.55909296671547</v>
      </c>
      <c r="E25" s="60">
        <v>6.9924707909424875</v>
      </c>
      <c r="F25" s="60">
        <v>0</v>
      </c>
      <c r="G25" s="60">
        <v>1964.5051935831684</v>
      </c>
      <c r="H25" s="61">
        <v>29.957108700275509</v>
      </c>
      <c r="I25" s="59">
        <v>231.62691578864985</v>
      </c>
      <c r="J25" s="60">
        <v>523.09030694961632</v>
      </c>
      <c r="K25" s="60">
        <v>28.66152645150807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1440.843303384873</v>
      </c>
      <c r="V25" s="62">
        <v>432.15141804898548</v>
      </c>
      <c r="W25" s="62">
        <v>24.58217166548323</v>
      </c>
      <c r="X25" s="62">
        <v>7.3729185672069777</v>
      </c>
      <c r="Y25" s="66">
        <v>201.24700861556971</v>
      </c>
      <c r="Z25" s="66">
        <v>60.359915576540622</v>
      </c>
      <c r="AA25" s="67">
        <v>0</v>
      </c>
      <c r="AB25" s="68">
        <v>28.866039122475236</v>
      </c>
      <c r="AC25" s="69">
        <v>0</v>
      </c>
      <c r="AD25" s="69">
        <v>13.246287720070953</v>
      </c>
      <c r="AE25" s="68">
        <v>10.000900062534141</v>
      </c>
      <c r="AF25" s="68">
        <v>2.9995650003280505</v>
      </c>
      <c r="AG25" s="68">
        <v>0.76927248480542709</v>
      </c>
      <c r="AH25" s="69">
        <v>257.80421988169348</v>
      </c>
      <c r="AI25" s="69">
        <v>914.14144961039244</v>
      </c>
      <c r="AJ25" s="69">
        <v>3135.5306466420493</v>
      </c>
      <c r="AK25" s="69">
        <v>634.6119020462038</v>
      </c>
      <c r="AL25" s="69">
        <v>2946.5153738657632</v>
      </c>
      <c r="AM25" s="69">
        <v>2941.8899145762134</v>
      </c>
      <c r="AN25" s="69">
        <v>610.3468558311464</v>
      </c>
      <c r="AO25" s="69">
        <v>1886.2514085133871</v>
      </c>
      <c r="AP25" s="69">
        <v>339.49885958035793</v>
      </c>
      <c r="AQ25" s="69">
        <v>716.61263990402233</v>
      </c>
    </row>
    <row r="26" spans="1:43" x14ac:dyDescent="0.25">
      <c r="A26" s="11">
        <v>42023</v>
      </c>
      <c r="B26" s="59"/>
      <c r="C26" s="60">
        <v>41.90142457683875</v>
      </c>
      <c r="D26" s="60">
        <v>507.55594663619962</v>
      </c>
      <c r="E26" s="60">
        <v>7.0156231696406861</v>
      </c>
      <c r="F26" s="60">
        <v>0</v>
      </c>
      <c r="G26" s="60">
        <v>1964.5188334147101</v>
      </c>
      <c r="H26" s="61">
        <v>29.962156039476429</v>
      </c>
      <c r="I26" s="59">
        <v>232.03407999674428</v>
      </c>
      <c r="J26" s="60">
        <v>523.23104942639691</v>
      </c>
      <c r="K26" s="60">
        <v>28.48772091666849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1441.8043686278597</v>
      </c>
      <c r="V26" s="62">
        <v>432.54920165326746</v>
      </c>
      <c r="W26" s="62">
        <v>24.512861565173385</v>
      </c>
      <c r="X26" s="62">
        <v>7.3539926296266671</v>
      </c>
      <c r="Y26" s="66">
        <v>199.49242204753855</v>
      </c>
      <c r="Z26" s="66">
        <v>59.848818445917495</v>
      </c>
      <c r="AA26" s="67">
        <v>0</v>
      </c>
      <c r="AB26" s="68">
        <v>29.013882562848973</v>
      </c>
      <c r="AC26" s="69">
        <v>0</v>
      </c>
      <c r="AD26" s="69">
        <v>13.245876568555831</v>
      </c>
      <c r="AE26" s="68">
        <v>9.9996078646228312</v>
      </c>
      <c r="AF26" s="68">
        <v>2.9999370877234024</v>
      </c>
      <c r="AG26" s="68">
        <v>0.76922753075430106</v>
      </c>
      <c r="AH26" s="69">
        <v>252.85807267824805</v>
      </c>
      <c r="AI26" s="69">
        <v>910.72419395446798</v>
      </c>
      <c r="AJ26" s="69">
        <v>3127.1876522064204</v>
      </c>
      <c r="AK26" s="69">
        <v>639.13867562611904</v>
      </c>
      <c r="AL26" s="69">
        <v>2864.8732358296711</v>
      </c>
      <c r="AM26" s="69">
        <v>2864.6954414367679</v>
      </c>
      <c r="AN26" s="69">
        <v>596.53929068247487</v>
      </c>
      <c r="AO26" s="69">
        <v>1869.2228764851886</v>
      </c>
      <c r="AP26" s="69">
        <v>341.08799848556521</v>
      </c>
      <c r="AQ26" s="69">
        <v>654.27784713109349</v>
      </c>
    </row>
    <row r="27" spans="1:43" x14ac:dyDescent="0.25">
      <c r="A27" s="11">
        <v>42024</v>
      </c>
      <c r="B27" s="59"/>
      <c r="C27" s="60">
        <v>41.617488513390285</v>
      </c>
      <c r="D27" s="60">
        <v>507.41347001393734</v>
      </c>
      <c r="E27" s="60">
        <v>6.9887325217326408</v>
      </c>
      <c r="F27" s="60">
        <v>0</v>
      </c>
      <c r="G27" s="60">
        <v>1924.4014119466128</v>
      </c>
      <c r="H27" s="61">
        <v>29.934047036369698</v>
      </c>
      <c r="I27" s="59">
        <v>234.67974769274346</v>
      </c>
      <c r="J27" s="60">
        <v>523.29435850779305</v>
      </c>
      <c r="K27" s="60">
        <v>28.571294581890015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1445.1250427114576</v>
      </c>
      <c r="V27" s="62">
        <v>433.50358519278052</v>
      </c>
      <c r="W27" s="62">
        <v>26.378349035143387</v>
      </c>
      <c r="X27" s="62">
        <v>7.9128854183757875</v>
      </c>
      <c r="Y27" s="62">
        <v>197.42790472855251</v>
      </c>
      <c r="Z27" s="62">
        <v>59.223736346263543</v>
      </c>
      <c r="AA27" s="72">
        <v>0</v>
      </c>
      <c r="AB27" s="69">
        <v>29.192271123992448</v>
      </c>
      <c r="AC27" s="69">
        <v>0</v>
      </c>
      <c r="AD27" s="69">
        <v>13.242390891578479</v>
      </c>
      <c r="AE27" s="69">
        <v>10.001912918442756</v>
      </c>
      <c r="AF27" s="69">
        <v>3.0003390577161602</v>
      </c>
      <c r="AG27" s="69">
        <v>0.76924466136961367</v>
      </c>
      <c r="AH27" s="69">
        <v>269.36223652362821</v>
      </c>
      <c r="AI27" s="69">
        <v>922.80876611073825</v>
      </c>
      <c r="AJ27" s="69">
        <v>3144.0729228973387</v>
      </c>
      <c r="AK27" s="69">
        <v>647.47510519027708</v>
      </c>
      <c r="AL27" s="69">
        <v>2943.3644550323488</v>
      </c>
      <c r="AM27" s="69">
        <v>2921.0438551584871</v>
      </c>
      <c r="AN27" s="69">
        <v>623.3110138893129</v>
      </c>
      <c r="AO27" s="69">
        <v>1900.4133911132812</v>
      </c>
      <c r="AP27" s="69">
        <v>340.6760481198628</v>
      </c>
      <c r="AQ27" s="69">
        <v>678.15210339228315</v>
      </c>
    </row>
    <row r="28" spans="1:43" x14ac:dyDescent="0.25">
      <c r="A28" s="11">
        <v>42025</v>
      </c>
      <c r="B28" s="59"/>
      <c r="C28" s="60">
        <v>41.939209997654309</v>
      </c>
      <c r="D28" s="60">
        <v>507.05719798406017</v>
      </c>
      <c r="E28" s="60">
        <v>6.9551677604516424</v>
      </c>
      <c r="F28" s="60">
        <v>0</v>
      </c>
      <c r="G28" s="60">
        <v>1848.9501074473019</v>
      </c>
      <c r="H28" s="61">
        <v>29.679437267780358</v>
      </c>
      <c r="I28" s="59">
        <v>238.73820460637342</v>
      </c>
      <c r="J28" s="60">
        <v>523.09364439646515</v>
      </c>
      <c r="K28" s="60">
        <v>28.400836666424969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1439.6943320601254</v>
      </c>
      <c r="V28" s="62">
        <v>431.99631231008914</v>
      </c>
      <c r="W28" s="62">
        <v>26.050701772292648</v>
      </c>
      <c r="X28" s="62">
        <v>7.8168030866779423</v>
      </c>
      <c r="Y28" s="66">
        <v>185.16967103104548</v>
      </c>
      <c r="Z28" s="66">
        <v>55.562221268606962</v>
      </c>
      <c r="AA28" s="67">
        <v>0</v>
      </c>
      <c r="AB28" s="68">
        <v>29.193487170007369</v>
      </c>
      <c r="AC28" s="69">
        <v>0</v>
      </c>
      <c r="AD28" s="69">
        <v>13.244329096873591</v>
      </c>
      <c r="AE28" s="68">
        <v>9.9995042227429991</v>
      </c>
      <c r="AF28" s="68">
        <v>3.0004625655313997</v>
      </c>
      <c r="AG28" s="68">
        <v>0.76919459761714681</v>
      </c>
      <c r="AH28" s="69">
        <v>299.92369918823243</v>
      </c>
      <c r="AI28" s="69">
        <v>953.57072550455734</v>
      </c>
      <c r="AJ28" s="69">
        <v>3135.836157226563</v>
      </c>
      <c r="AK28" s="69">
        <v>675.65242010752354</v>
      </c>
      <c r="AL28" s="69">
        <v>3062.7319740295416</v>
      </c>
      <c r="AM28" s="69">
        <v>2963.0557694753006</v>
      </c>
      <c r="AN28" s="69">
        <v>673.31056537628183</v>
      </c>
      <c r="AO28" s="69">
        <v>1879.0480637868247</v>
      </c>
      <c r="AP28" s="69">
        <v>350.02362764676411</v>
      </c>
      <c r="AQ28" s="69">
        <v>752.95602442423501</v>
      </c>
    </row>
    <row r="29" spans="1:43" x14ac:dyDescent="0.25">
      <c r="A29" s="11">
        <v>42026</v>
      </c>
      <c r="B29" s="59"/>
      <c r="C29" s="60">
        <v>41.820106357335135</v>
      </c>
      <c r="D29" s="60">
        <v>507.1157817522689</v>
      </c>
      <c r="E29" s="60">
        <v>6.9344393288095718</v>
      </c>
      <c r="F29" s="60">
        <v>0</v>
      </c>
      <c r="G29" s="60">
        <v>1848.9575307210246</v>
      </c>
      <c r="H29" s="61">
        <v>29.951739368836108</v>
      </c>
      <c r="I29" s="59">
        <v>238.2693591753638</v>
      </c>
      <c r="J29" s="60">
        <v>522.12697366078726</v>
      </c>
      <c r="K29" s="60">
        <v>28.482625238100621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1437.6715923234242</v>
      </c>
      <c r="V29" s="62">
        <v>431.34960334258631</v>
      </c>
      <c r="W29" s="62">
        <v>25.430248510577059</v>
      </c>
      <c r="X29" s="62">
        <v>7.6299258234721439</v>
      </c>
      <c r="Y29" s="66">
        <v>180.03744139674754</v>
      </c>
      <c r="Z29" s="66">
        <v>54.017259120906871</v>
      </c>
      <c r="AA29" s="67">
        <v>0</v>
      </c>
      <c r="AB29" s="68">
        <v>29.190251968966958</v>
      </c>
      <c r="AC29" s="69">
        <v>0</v>
      </c>
      <c r="AD29" s="69">
        <v>13.242189811335662</v>
      </c>
      <c r="AE29" s="68">
        <v>9.9999200051959338</v>
      </c>
      <c r="AF29" s="68">
        <v>3.0003107460222291</v>
      </c>
      <c r="AG29" s="68">
        <v>0.7692109622176444</v>
      </c>
      <c r="AH29" s="69">
        <v>318.42615626653037</v>
      </c>
      <c r="AI29" s="69">
        <v>985.68153915405287</v>
      </c>
      <c r="AJ29" s="69">
        <v>3136.543315251668</v>
      </c>
      <c r="AK29" s="69">
        <v>698.10694567362464</v>
      </c>
      <c r="AL29" s="69">
        <v>3148.2389006296794</v>
      </c>
      <c r="AM29" s="69">
        <v>2981.5438926696775</v>
      </c>
      <c r="AN29" s="69">
        <v>702.10663064320886</v>
      </c>
      <c r="AO29" s="69">
        <v>1899.3859331766764</v>
      </c>
      <c r="AP29" s="69">
        <v>346.19707261721294</v>
      </c>
      <c r="AQ29" s="69">
        <v>733.59088751475019</v>
      </c>
    </row>
    <row r="30" spans="1:43" x14ac:dyDescent="0.25">
      <c r="A30" s="11">
        <v>42027</v>
      </c>
      <c r="B30" s="59"/>
      <c r="C30" s="60">
        <v>42.131546785433954</v>
      </c>
      <c r="D30" s="60">
        <v>508.40406586329129</v>
      </c>
      <c r="E30" s="60">
        <v>6.9394886195659513</v>
      </c>
      <c r="F30" s="60">
        <v>0</v>
      </c>
      <c r="G30" s="60">
        <v>1848.6199024200389</v>
      </c>
      <c r="H30" s="61">
        <v>30.061446013053295</v>
      </c>
      <c r="I30" s="59">
        <v>238.76863826115903</v>
      </c>
      <c r="J30" s="60">
        <v>522.86643625895204</v>
      </c>
      <c r="K30" s="60">
        <v>28.5484578510125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1448.7352848075941</v>
      </c>
      <c r="V30" s="62">
        <v>405.67357232608168</v>
      </c>
      <c r="W30" s="62">
        <v>24.296563794340578</v>
      </c>
      <c r="X30" s="62">
        <v>6.8035022913159144</v>
      </c>
      <c r="Y30" s="66">
        <v>175.3660166290727</v>
      </c>
      <c r="Z30" s="66">
        <v>49.105836778151797</v>
      </c>
      <c r="AA30" s="67">
        <v>0</v>
      </c>
      <c r="AB30" s="68">
        <v>31.944321772787021</v>
      </c>
      <c r="AC30" s="69">
        <v>0</v>
      </c>
      <c r="AD30" s="69">
        <v>12.764874480830306</v>
      </c>
      <c r="AE30" s="68">
        <v>9.7853032632965444</v>
      </c>
      <c r="AF30" s="68">
        <v>2.7400719598285908</v>
      </c>
      <c r="AG30" s="68">
        <v>0.78123833330200787</v>
      </c>
      <c r="AH30" s="69">
        <v>298.79639955361688</v>
      </c>
      <c r="AI30" s="69">
        <v>955.68689702351901</v>
      </c>
      <c r="AJ30" s="69">
        <v>3138.8368441263829</v>
      </c>
      <c r="AK30" s="69">
        <v>681.48582954406743</v>
      </c>
      <c r="AL30" s="69">
        <v>3100.1473501841228</v>
      </c>
      <c r="AM30" s="69">
        <v>2954.3459093729657</v>
      </c>
      <c r="AN30" s="69">
        <v>684.58883924484235</v>
      </c>
      <c r="AO30" s="69">
        <v>1917.5631731669109</v>
      </c>
      <c r="AP30" s="69">
        <v>350.79435636202493</v>
      </c>
      <c r="AQ30" s="69">
        <v>722.14405215581257</v>
      </c>
    </row>
    <row r="31" spans="1:43" x14ac:dyDescent="0.25">
      <c r="A31" s="11">
        <v>42028</v>
      </c>
      <c r="B31" s="59"/>
      <c r="C31" s="60">
        <v>41.995241343974925</v>
      </c>
      <c r="D31" s="60">
        <v>507.48014189402323</v>
      </c>
      <c r="E31" s="60">
        <v>6.9852973371744023</v>
      </c>
      <c r="F31" s="60">
        <v>0</v>
      </c>
      <c r="G31" s="60">
        <v>1848.5969524383488</v>
      </c>
      <c r="H31" s="61">
        <v>29.415131951371826</v>
      </c>
      <c r="I31" s="59">
        <v>239.1354378541306</v>
      </c>
      <c r="J31" s="60">
        <v>523.51698888142869</v>
      </c>
      <c r="K31" s="60">
        <v>28.55773950020459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1436.8150610246128</v>
      </c>
      <c r="V31" s="62">
        <v>431.04139831749012</v>
      </c>
      <c r="W31" s="62">
        <v>24.268137062884875</v>
      </c>
      <c r="X31" s="62">
        <v>7.2803884215180936</v>
      </c>
      <c r="Y31" s="66">
        <v>176.42407578025438</v>
      </c>
      <c r="Z31" s="66">
        <v>52.926839635827719</v>
      </c>
      <c r="AA31" s="67">
        <v>0</v>
      </c>
      <c r="AB31" s="68">
        <v>33.675084355142332</v>
      </c>
      <c r="AC31" s="69">
        <v>0</v>
      </c>
      <c r="AD31" s="69">
        <v>13.244522854354651</v>
      </c>
      <c r="AE31" s="68">
        <v>10.000703199586471</v>
      </c>
      <c r="AF31" s="68">
        <v>3.0001892437248787</v>
      </c>
      <c r="AG31" s="68">
        <v>0.76923205412191487</v>
      </c>
      <c r="AH31" s="69">
        <v>279.24738103548685</v>
      </c>
      <c r="AI31" s="69">
        <v>931.49568812052405</v>
      </c>
      <c r="AJ31" s="69">
        <v>3112.6096782684322</v>
      </c>
      <c r="AK31" s="69">
        <v>658.89755929311116</v>
      </c>
      <c r="AL31" s="69">
        <v>3057.1349096934</v>
      </c>
      <c r="AM31" s="69">
        <v>2865.9732205708819</v>
      </c>
      <c r="AN31" s="69">
        <v>682.3571356455484</v>
      </c>
      <c r="AO31" s="69">
        <v>1912.4973442077637</v>
      </c>
      <c r="AP31" s="69">
        <v>356.65361391703289</v>
      </c>
      <c r="AQ31" s="69">
        <v>700.94918896357217</v>
      </c>
    </row>
    <row r="32" spans="1:43" x14ac:dyDescent="0.25">
      <c r="A32" s="11">
        <v>42029</v>
      </c>
      <c r="B32" s="59"/>
      <c r="C32" s="60">
        <v>42.356061786413171</v>
      </c>
      <c r="D32" s="60">
        <v>507.08671833674032</v>
      </c>
      <c r="E32" s="60">
        <v>6.9982459942499746</v>
      </c>
      <c r="F32" s="60">
        <v>0</v>
      </c>
      <c r="G32" s="60">
        <v>1848.4647577921462</v>
      </c>
      <c r="H32" s="61">
        <v>29.913179226716444</v>
      </c>
      <c r="I32" s="59">
        <v>238.09663901328989</v>
      </c>
      <c r="J32" s="60">
        <v>521.26320514679014</v>
      </c>
      <c r="K32" s="60">
        <v>28.716242033243105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1415.3765098316101</v>
      </c>
      <c r="V32" s="62">
        <v>436.88138327506505</v>
      </c>
      <c r="W32" s="62">
        <v>22.971216703997641</v>
      </c>
      <c r="X32" s="62">
        <v>7.0904786531660999</v>
      </c>
      <c r="Y32" s="66">
        <v>167.66815494572216</v>
      </c>
      <c r="Z32" s="66">
        <v>51.753787741312635</v>
      </c>
      <c r="AA32" s="67">
        <v>0</v>
      </c>
      <c r="AB32" s="68">
        <v>33.830523239241792</v>
      </c>
      <c r="AC32" s="69">
        <v>0</v>
      </c>
      <c r="AD32" s="69">
        <v>12.632811047633512</v>
      </c>
      <c r="AE32" s="68">
        <v>9.4914840208317202</v>
      </c>
      <c r="AF32" s="68">
        <v>2.9297170325707</v>
      </c>
      <c r="AG32" s="68">
        <v>0.76413576915992432</v>
      </c>
      <c r="AH32" s="69">
        <v>271.77128221193942</v>
      </c>
      <c r="AI32" s="69">
        <v>914.42691570917759</v>
      </c>
      <c r="AJ32" s="69">
        <v>3107.6399478912344</v>
      </c>
      <c r="AK32" s="69">
        <v>645.97431748708084</v>
      </c>
      <c r="AL32" s="69">
        <v>3005.586496353149</v>
      </c>
      <c r="AM32" s="69">
        <v>2872.326122283936</v>
      </c>
      <c r="AN32" s="69">
        <v>661.24695002237945</v>
      </c>
      <c r="AO32" s="69">
        <v>1857.2637744903564</v>
      </c>
      <c r="AP32" s="69">
        <v>383.61282348632812</v>
      </c>
      <c r="AQ32" s="69">
        <v>690.12585093180337</v>
      </c>
    </row>
    <row r="33" spans="1:43" x14ac:dyDescent="0.25">
      <c r="A33" s="11">
        <v>42030</v>
      </c>
      <c r="B33" s="59"/>
      <c r="C33" s="60">
        <v>42.118662943442473</v>
      </c>
      <c r="D33" s="60">
        <v>506.81014925638857</v>
      </c>
      <c r="E33" s="60">
        <v>7.0030633956193826</v>
      </c>
      <c r="F33" s="60">
        <v>0</v>
      </c>
      <c r="G33" s="60">
        <v>1848.812956492098</v>
      </c>
      <c r="H33" s="61">
        <v>29.940004074573533</v>
      </c>
      <c r="I33" s="59">
        <v>236.51951910654648</v>
      </c>
      <c r="J33" s="60">
        <v>488.79372812906848</v>
      </c>
      <c r="K33" s="60">
        <v>28.234056689341809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1434.2535495464176</v>
      </c>
      <c r="V33" s="62">
        <v>430.32195041202107</v>
      </c>
      <c r="W33" s="62">
        <v>24.164018458027353</v>
      </c>
      <c r="X33" s="62">
        <v>7.2499786079935946</v>
      </c>
      <c r="Y33" s="66">
        <v>177.12687194160239</v>
      </c>
      <c r="Z33" s="66">
        <v>53.143728337570224</v>
      </c>
      <c r="AA33" s="67">
        <v>0</v>
      </c>
      <c r="AB33" s="68">
        <v>33.834011880557206</v>
      </c>
      <c r="AC33" s="69">
        <v>0</v>
      </c>
      <c r="AD33" s="69">
        <v>13.014659878942721</v>
      </c>
      <c r="AE33" s="68">
        <v>9.9024929913261541</v>
      </c>
      <c r="AF33" s="68">
        <v>2.9710647042264329</v>
      </c>
      <c r="AG33" s="68">
        <v>0.76921183914429159</v>
      </c>
      <c r="AH33" s="69">
        <v>246.34758710066481</v>
      </c>
      <c r="AI33" s="69">
        <v>886.06357434590666</v>
      </c>
      <c r="AJ33" s="69">
        <v>3125.0246348063147</v>
      </c>
      <c r="AK33" s="69">
        <v>630.02479035059616</v>
      </c>
      <c r="AL33" s="69">
        <v>2922.5269636789963</v>
      </c>
      <c r="AM33" s="69">
        <v>2875.1281711578367</v>
      </c>
      <c r="AN33" s="69">
        <v>644.38948504130042</v>
      </c>
      <c r="AO33" s="69">
        <v>1923.4404224395753</v>
      </c>
      <c r="AP33" s="69">
        <v>366.50128591855372</v>
      </c>
      <c r="AQ33" s="69">
        <v>820.28281160990389</v>
      </c>
    </row>
    <row r="34" spans="1:43" x14ac:dyDescent="0.25">
      <c r="A34" s="11">
        <v>42031</v>
      </c>
      <c r="B34" s="59"/>
      <c r="C34" s="60">
        <v>41.632041931152528</v>
      </c>
      <c r="D34" s="60">
        <v>507.53796561558983</v>
      </c>
      <c r="E34" s="60">
        <v>6.9566624661286669</v>
      </c>
      <c r="F34" s="60">
        <v>0</v>
      </c>
      <c r="G34" s="60">
        <v>1848.2748405456432</v>
      </c>
      <c r="H34" s="61">
        <v>29.956769245862958</v>
      </c>
      <c r="I34" s="59">
        <v>236.33597038586905</v>
      </c>
      <c r="J34" s="60">
        <v>461.95369977951037</v>
      </c>
      <c r="K34" s="60">
        <v>26.061427648862267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1428.4843041078909</v>
      </c>
      <c r="V34" s="62">
        <v>440.75432264770359</v>
      </c>
      <c r="W34" s="62">
        <v>23.06622987567939</v>
      </c>
      <c r="X34" s="62">
        <v>7.1170124135458712</v>
      </c>
      <c r="Y34" s="66">
        <v>171.63346119919871</v>
      </c>
      <c r="Z34" s="66">
        <v>52.956962647046467</v>
      </c>
      <c r="AA34" s="67">
        <v>0</v>
      </c>
      <c r="AB34" s="68">
        <v>36.200452386008678</v>
      </c>
      <c r="AC34" s="69">
        <v>0</v>
      </c>
      <c r="AD34" s="69">
        <v>12.707659515738454</v>
      </c>
      <c r="AE34" s="68">
        <v>9.5990175721310944</v>
      </c>
      <c r="AF34" s="68">
        <v>2.9617465700683678</v>
      </c>
      <c r="AG34" s="68">
        <v>0.76420649758735548</v>
      </c>
      <c r="AH34" s="69">
        <v>231.23547821044926</v>
      </c>
      <c r="AI34" s="69">
        <v>869.60111446380608</v>
      </c>
      <c r="AJ34" s="69">
        <v>3118.507779439291</v>
      </c>
      <c r="AK34" s="69">
        <v>624.63273410797137</v>
      </c>
      <c r="AL34" s="69">
        <v>2858.7388098398842</v>
      </c>
      <c r="AM34" s="69">
        <v>2827.7407292683911</v>
      </c>
      <c r="AN34" s="69">
        <v>615.54186038970954</v>
      </c>
      <c r="AO34" s="69">
        <v>2170.5353016535446</v>
      </c>
      <c r="AP34" s="69">
        <v>339.18916206359859</v>
      </c>
      <c r="AQ34" s="69">
        <v>873.18729200363157</v>
      </c>
    </row>
    <row r="35" spans="1:43" x14ac:dyDescent="0.25">
      <c r="A35" s="11">
        <v>42032</v>
      </c>
      <c r="B35" s="59"/>
      <c r="C35" s="60">
        <v>41.828447282313725</v>
      </c>
      <c r="D35" s="60">
        <v>507.40402812957893</v>
      </c>
      <c r="E35" s="60">
        <v>6.9106433093547679</v>
      </c>
      <c r="F35" s="60">
        <v>0</v>
      </c>
      <c r="G35" s="60">
        <v>1848.1122253417834</v>
      </c>
      <c r="H35" s="61">
        <v>30.019764147202196</v>
      </c>
      <c r="I35" s="59">
        <v>236.18576819101938</v>
      </c>
      <c r="J35" s="60">
        <v>461.92763185501082</v>
      </c>
      <c r="K35" s="60">
        <v>25.022757097085325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1433.7393591873954</v>
      </c>
      <c r="V35" s="62">
        <v>430.0535260843144</v>
      </c>
      <c r="W35" s="62">
        <v>24.277075081213045</v>
      </c>
      <c r="X35" s="62">
        <v>7.2819663314583716</v>
      </c>
      <c r="Y35" s="66">
        <v>178.59040941589689</v>
      </c>
      <c r="Z35" s="66">
        <v>53.56861747708308</v>
      </c>
      <c r="AA35" s="67">
        <v>0</v>
      </c>
      <c r="AB35" s="68">
        <v>41.508708381653179</v>
      </c>
      <c r="AC35" s="69">
        <v>0</v>
      </c>
      <c r="AD35" s="69">
        <v>13.139144623279536</v>
      </c>
      <c r="AE35" s="68">
        <v>10.00062806775032</v>
      </c>
      <c r="AF35" s="68">
        <v>2.999712141564816</v>
      </c>
      <c r="AG35" s="68">
        <v>0.76925895066842698</v>
      </c>
      <c r="AH35" s="69">
        <v>245.75246391296383</v>
      </c>
      <c r="AI35" s="69">
        <v>889.06561991373712</v>
      </c>
      <c r="AJ35" s="69">
        <v>3109.2081827799484</v>
      </c>
      <c r="AK35" s="69">
        <v>632.60892814000431</v>
      </c>
      <c r="AL35" s="69">
        <v>2927.0403897603351</v>
      </c>
      <c r="AM35" s="69">
        <v>2804.3603366851808</v>
      </c>
      <c r="AN35" s="69">
        <v>617.46336587270105</v>
      </c>
      <c r="AO35" s="69">
        <v>1960.2062611897784</v>
      </c>
      <c r="AP35" s="69">
        <v>339.97780753771463</v>
      </c>
      <c r="AQ35" s="69">
        <v>751.04249900182083</v>
      </c>
    </row>
    <row r="36" spans="1:43" x14ac:dyDescent="0.25">
      <c r="A36" s="11">
        <v>42033</v>
      </c>
      <c r="B36" s="59"/>
      <c r="C36" s="60">
        <v>42.477373329798581</v>
      </c>
      <c r="D36" s="60">
        <v>508.68003301620411</v>
      </c>
      <c r="E36" s="60">
        <v>7.2768674865364975</v>
      </c>
      <c r="F36" s="60">
        <v>0</v>
      </c>
      <c r="G36" s="60">
        <v>1848.4740666707226</v>
      </c>
      <c r="H36" s="61">
        <v>29.975710948308343</v>
      </c>
      <c r="I36" s="59">
        <v>236.15922838846819</v>
      </c>
      <c r="J36" s="60">
        <v>462.10505886077829</v>
      </c>
      <c r="K36" s="60">
        <v>25.009890639782029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1442.8121231403657</v>
      </c>
      <c r="V36" s="62">
        <v>403.9944997038815</v>
      </c>
      <c r="W36" s="62">
        <v>23.323420007103923</v>
      </c>
      <c r="X36" s="62">
        <v>6.5306724597272927</v>
      </c>
      <c r="Y36" s="66">
        <v>166.36004534456535</v>
      </c>
      <c r="Z36" s="66">
        <v>46.581631947622782</v>
      </c>
      <c r="AA36" s="67">
        <v>0</v>
      </c>
      <c r="AB36" s="68">
        <v>41.508842073547008</v>
      </c>
      <c r="AC36" s="69">
        <v>0</v>
      </c>
      <c r="AD36" s="69">
        <v>12.66824719475377</v>
      </c>
      <c r="AE36" s="68">
        <v>9.7837456995712699</v>
      </c>
      <c r="AF36" s="68">
        <v>2.739496976588522</v>
      </c>
      <c r="AG36" s="68">
        <v>0.78124699429456568</v>
      </c>
      <c r="AH36" s="69">
        <v>255.77943440278372</v>
      </c>
      <c r="AI36" s="69">
        <v>901.61900920867924</v>
      </c>
      <c r="AJ36" s="69">
        <v>3104.1429364522296</v>
      </c>
      <c r="AK36" s="69">
        <v>634.12076819737752</v>
      </c>
      <c r="AL36" s="69">
        <v>3009.3374248504638</v>
      </c>
      <c r="AM36" s="69">
        <v>2642.8111993153893</v>
      </c>
      <c r="AN36" s="69">
        <v>623.4618944485984</v>
      </c>
      <c r="AO36" s="69">
        <v>1891.1169865926108</v>
      </c>
      <c r="AP36" s="69">
        <v>341.28880133628849</v>
      </c>
      <c r="AQ36" s="69">
        <v>685.42216739654543</v>
      </c>
    </row>
    <row r="37" spans="1:43" x14ac:dyDescent="0.25">
      <c r="A37" s="11">
        <v>42034</v>
      </c>
      <c r="B37" s="59"/>
      <c r="C37" s="60">
        <v>42.349556287130497</v>
      </c>
      <c r="D37" s="60">
        <v>495.18812853495285</v>
      </c>
      <c r="E37" s="60">
        <v>7.2696387767791695</v>
      </c>
      <c r="F37" s="60">
        <v>0</v>
      </c>
      <c r="G37" s="60">
        <v>1848.0147752125954</v>
      </c>
      <c r="H37" s="61">
        <v>29.910022266705923</v>
      </c>
      <c r="I37" s="59">
        <v>236.27719968159937</v>
      </c>
      <c r="J37" s="60">
        <v>461.70003643035813</v>
      </c>
      <c r="K37" s="60">
        <v>25.433411643902478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1437.0445280043059</v>
      </c>
      <c r="V37" s="62">
        <v>431.08174402767236</v>
      </c>
      <c r="W37" s="62">
        <v>24.68253578521627</v>
      </c>
      <c r="X37" s="62">
        <v>7.4042177301861454</v>
      </c>
      <c r="Y37" s="66">
        <v>160.84038916225563</v>
      </c>
      <c r="Z37" s="66">
        <v>48.248578327940947</v>
      </c>
      <c r="AA37" s="67">
        <v>0</v>
      </c>
      <c r="AB37" s="68">
        <v>41.507170671887344</v>
      </c>
      <c r="AC37" s="69">
        <v>0</v>
      </c>
      <c r="AD37" s="69">
        <v>13.138975422912173</v>
      </c>
      <c r="AE37" s="68">
        <v>10.000834313733559</v>
      </c>
      <c r="AF37" s="68">
        <v>3.0000302799824832</v>
      </c>
      <c r="AG37" s="68">
        <v>0.76924378695301965</v>
      </c>
      <c r="AH37" s="69">
        <v>261.4791050672531</v>
      </c>
      <c r="AI37" s="69">
        <v>912.36909255981448</v>
      </c>
      <c r="AJ37" s="69">
        <v>3084.6197792053226</v>
      </c>
      <c r="AK37" s="69">
        <v>643.76136808395404</v>
      </c>
      <c r="AL37" s="69">
        <v>3042.1537623087565</v>
      </c>
      <c r="AM37" s="69">
        <v>2610.2948991139729</v>
      </c>
      <c r="AN37" s="69">
        <v>679.38880392710371</v>
      </c>
      <c r="AO37" s="69">
        <v>1897.7079322814941</v>
      </c>
      <c r="AP37" s="69">
        <v>347.67412867546085</v>
      </c>
      <c r="AQ37" s="69">
        <v>706.28749895095837</v>
      </c>
    </row>
    <row r="38" spans="1:43" ht="15.75" thickBot="1" x14ac:dyDescent="0.3">
      <c r="A38" s="11">
        <v>42035</v>
      </c>
      <c r="B38" s="73"/>
      <c r="C38" s="74">
        <v>41.818774491548815</v>
      </c>
      <c r="D38" s="74">
        <v>487.45898284911976</v>
      </c>
      <c r="E38" s="74">
        <v>7.2641560932000271</v>
      </c>
      <c r="F38" s="74">
        <v>0</v>
      </c>
      <c r="G38" s="74">
        <v>1848.5963442484456</v>
      </c>
      <c r="H38" s="75">
        <v>29.910289923350099</v>
      </c>
      <c r="I38" s="76">
        <v>241.37843516667672</v>
      </c>
      <c r="J38" s="74">
        <v>461.78530441919918</v>
      </c>
      <c r="K38" s="74">
        <v>25.23676241238914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1457.0724295745626</v>
      </c>
      <c r="V38" s="80">
        <v>399.27988721824744</v>
      </c>
      <c r="W38" s="81">
        <v>23.961399112741713</v>
      </c>
      <c r="X38" s="81">
        <v>6.566114725072655</v>
      </c>
      <c r="Y38" s="80">
        <v>158.93721320123811</v>
      </c>
      <c r="Z38" s="80">
        <v>43.553382298436695</v>
      </c>
      <c r="AA38" s="82">
        <v>0</v>
      </c>
      <c r="AB38" s="83">
        <v>41.508652684424106</v>
      </c>
      <c r="AC38" s="84">
        <v>0</v>
      </c>
      <c r="AD38" s="85">
        <v>12.741146838996144</v>
      </c>
      <c r="AE38" s="83">
        <v>9.8876362650944092</v>
      </c>
      <c r="AF38" s="83">
        <v>2.7094976287037906</v>
      </c>
      <c r="AG38" s="83">
        <v>0.78491157976516179</v>
      </c>
      <c r="AH38" s="84">
        <v>273.0930133501688</v>
      </c>
      <c r="AI38" s="84">
        <v>925.37392304738398</v>
      </c>
      <c r="AJ38" s="84">
        <v>3089.8082501729323</v>
      </c>
      <c r="AK38" s="84">
        <v>658.44953107833851</v>
      </c>
      <c r="AL38" s="84">
        <v>3148.5141537984214</v>
      </c>
      <c r="AM38" s="84">
        <v>2587.1732096354172</v>
      </c>
      <c r="AN38" s="84">
        <v>699.21267423629752</v>
      </c>
      <c r="AO38" s="84">
        <v>1909.4015833536782</v>
      </c>
      <c r="AP38" s="84">
        <v>348.12541681925455</v>
      </c>
      <c r="AQ38" s="84">
        <v>691.48313493728631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1136.6985269387546</v>
      </c>
      <c r="D39" s="30">
        <f t="shared" si="0"/>
        <v>13722.127092093237</v>
      </c>
      <c r="E39" s="30">
        <f t="shared" si="0"/>
        <v>193.16969372232751</v>
      </c>
      <c r="F39" s="30">
        <f t="shared" si="0"/>
        <v>0</v>
      </c>
      <c r="G39" s="30">
        <f t="shared" si="0"/>
        <v>51573.667943890774</v>
      </c>
      <c r="H39" s="31">
        <f t="shared" si="0"/>
        <v>811.42009836634099</v>
      </c>
      <c r="I39" s="29">
        <f t="shared" si="0"/>
        <v>7256.4035043954764</v>
      </c>
      <c r="J39" s="30">
        <f t="shared" si="0"/>
        <v>16462.415831454589</v>
      </c>
      <c r="K39" s="30">
        <f t="shared" si="0"/>
        <v>905.66951889594304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46473.157416876158</v>
      </c>
      <c r="V39" s="264">
        <f t="shared" si="0"/>
        <v>11572.774161982459</v>
      </c>
      <c r="W39" s="264">
        <f t="shared" si="0"/>
        <v>786.23911493718788</v>
      </c>
      <c r="X39" s="264">
        <f t="shared" si="0"/>
        <v>195.74086347718887</v>
      </c>
      <c r="Y39" s="264">
        <f t="shared" si="0"/>
        <v>6091.1608019893411</v>
      </c>
      <c r="Z39" s="264">
        <f t="shared" si="0"/>
        <v>1501.9920271252549</v>
      </c>
      <c r="AA39" s="272">
        <f t="shared" si="0"/>
        <v>0</v>
      </c>
      <c r="AB39" s="275">
        <f t="shared" si="0"/>
        <v>1000.5404392785532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8920.0467640479437</v>
      </c>
      <c r="AI39" s="275">
        <f t="shared" si="1"/>
        <v>30695.575254694621</v>
      </c>
      <c r="AJ39" s="275">
        <f t="shared" si="1"/>
        <v>96135.045558738726</v>
      </c>
      <c r="AK39" s="275">
        <f t="shared" si="1"/>
        <v>20465.825490220392</v>
      </c>
      <c r="AL39" s="275">
        <f t="shared" si="1"/>
        <v>92200.718127632135</v>
      </c>
      <c r="AM39" s="275">
        <f t="shared" si="1"/>
        <v>90260.445033518452</v>
      </c>
      <c r="AN39" s="275">
        <f t="shared" si="1"/>
        <v>22594.329479662574</v>
      </c>
      <c r="AO39" s="275">
        <f t="shared" si="1"/>
        <v>59139.653813616438</v>
      </c>
      <c r="AP39" s="275">
        <f t="shared" si="1"/>
        <v>10704.789326047896</v>
      </c>
      <c r="AQ39" s="275">
        <f t="shared" si="1"/>
        <v>22590.563037204745</v>
      </c>
    </row>
    <row r="40" spans="1:43" ht="15.75" thickBot="1" x14ac:dyDescent="0.3">
      <c r="A40" s="47" t="s">
        <v>174</v>
      </c>
      <c r="B40" s="32">
        <f>Projection!$AA$30</f>
        <v>0.80583665399999982</v>
      </c>
      <c r="C40" s="33">
        <f>Projection!$AA$28</f>
        <v>1.2134866799999999</v>
      </c>
      <c r="D40" s="33">
        <f>Projection!$AA$31</f>
        <v>2.3118479999999999</v>
      </c>
      <c r="E40" s="33">
        <f>Projection!$AA$26</f>
        <v>4.3368000000000002</v>
      </c>
      <c r="F40" s="33">
        <f>Projection!$AA$23</f>
        <v>0</v>
      </c>
      <c r="G40" s="33">
        <f>Projection!$AA$24</f>
        <v>5.7325000000000001E-2</v>
      </c>
      <c r="H40" s="34">
        <f>Projection!$AA$29</f>
        <v>3.6159737999999999</v>
      </c>
      <c r="I40" s="32">
        <f>Projection!$AA$30</f>
        <v>0.80583665399999982</v>
      </c>
      <c r="J40" s="33">
        <f>Projection!$AA$28</f>
        <v>1.2134866799999999</v>
      </c>
      <c r="K40" s="33">
        <f>Projection!$AA$26</f>
        <v>4.3368000000000002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1.2134866799999999</v>
      </c>
      <c r="T40" s="38">
        <f>Projection!$AA$28</f>
        <v>1.2134866799999999</v>
      </c>
      <c r="U40" s="26">
        <f>Projection!$AA$27</f>
        <v>0.23649999999999999</v>
      </c>
      <c r="V40" s="27">
        <f>Projection!$AA$27</f>
        <v>0.23649999999999999</v>
      </c>
      <c r="W40" s="27">
        <f>Projection!$AA$22</f>
        <v>1.1599999999999999</v>
      </c>
      <c r="X40" s="27">
        <f>Projection!$AA$22</f>
        <v>1.1599999999999999</v>
      </c>
      <c r="Y40" s="27">
        <f>Projection!$AA$31</f>
        <v>2.3118479999999999</v>
      </c>
      <c r="Z40" s="27">
        <f>Projection!$AA$31</f>
        <v>2.3118479999999999</v>
      </c>
      <c r="AA40" s="28">
        <v>0</v>
      </c>
      <c r="AB40" s="41">
        <f>Projection!$AA$27</f>
        <v>0.23649999999999999</v>
      </c>
      <c r="AC40" s="41">
        <f>Projection!$AA$30</f>
        <v>0.80583665399999982</v>
      </c>
      <c r="AD40" s="279">
        <f>SUM(AD8:AD38)</f>
        <v>403.51794011592864</v>
      </c>
      <c r="AE40" s="279">
        <f>SUM(AE8:AE38)</f>
        <v>318.537127218443</v>
      </c>
      <c r="AF40" s="279">
        <f>SUM(AF8:AF38)</f>
        <v>79.193870803727094</v>
      </c>
      <c r="AG40" s="279">
        <f>IF(SUM(AE40:AF40)&gt;0, AE40/(AE40+AF40), "")</f>
        <v>0.80088584697310239</v>
      </c>
      <c r="AH40" s="315">
        <v>7.2999999999999995E-2</v>
      </c>
      <c r="AI40" s="315">
        <f t="shared" ref="AI40:AQ40" si="2">$AH$40</f>
        <v>7.2999999999999995E-2</v>
      </c>
      <c r="AJ40" s="315">
        <f t="shared" si="2"/>
        <v>7.2999999999999995E-2</v>
      </c>
      <c r="AK40" s="315">
        <f t="shared" si="2"/>
        <v>7.2999999999999995E-2</v>
      </c>
      <c r="AL40" s="315">
        <f t="shared" si="2"/>
        <v>7.2999999999999995E-2</v>
      </c>
      <c r="AM40" s="315">
        <f t="shared" si="2"/>
        <v>7.2999999999999995E-2</v>
      </c>
      <c r="AN40" s="315">
        <f t="shared" si="2"/>
        <v>7.2999999999999995E-2</v>
      </c>
      <c r="AO40" s="315">
        <f t="shared" si="2"/>
        <v>7.2999999999999995E-2</v>
      </c>
      <c r="AP40" s="315">
        <f t="shared" si="2"/>
        <v>7.2999999999999995E-2</v>
      </c>
      <c r="AQ40" s="315">
        <f t="shared" si="2"/>
        <v>7.2999999999999995E-2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1379.3685216157999</v>
      </c>
      <c r="D41" s="36">
        <f t="shared" si="3"/>
        <v>31723.472073601562</v>
      </c>
      <c r="E41" s="36">
        <f t="shared" si="3"/>
        <v>837.73832773498998</v>
      </c>
      <c r="F41" s="36">
        <f t="shared" si="3"/>
        <v>0</v>
      </c>
      <c r="G41" s="36">
        <f t="shared" si="3"/>
        <v>2956.4605148835385</v>
      </c>
      <c r="H41" s="37">
        <f t="shared" si="3"/>
        <v>2934.0738164861118</v>
      </c>
      <c r="I41" s="35">
        <f t="shared" si="3"/>
        <v>5847.4759200559238</v>
      </c>
      <c r="J41" s="36">
        <f t="shared" si="3"/>
        <v>19976.922332091268</v>
      </c>
      <c r="K41" s="36">
        <f t="shared" si="3"/>
        <v>3927.7075695479261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10990.901729091211</v>
      </c>
      <c r="V41" s="270">
        <f t="shared" si="3"/>
        <v>2736.9610893088516</v>
      </c>
      <c r="W41" s="270">
        <f t="shared" si="3"/>
        <v>912.03737332713786</v>
      </c>
      <c r="X41" s="270">
        <f t="shared" si="3"/>
        <v>227.05940163353907</v>
      </c>
      <c r="Y41" s="270">
        <f t="shared" si="3"/>
        <v>14081.837917757453</v>
      </c>
      <c r="Z41" s="270">
        <f t="shared" si="3"/>
        <v>3472.3772639254662</v>
      </c>
      <c r="AA41" s="274">
        <f t="shared" si="3"/>
        <v>0</v>
      </c>
      <c r="AB41" s="277">
        <f t="shared" si="3"/>
        <v>236.62781388937782</v>
      </c>
      <c r="AC41" s="277">
        <f t="shared" si="3"/>
        <v>0</v>
      </c>
      <c r="AH41" s="280">
        <f t="shared" ref="AH41:AQ41" si="4">AH40*AH39</f>
        <v>651.16341377549986</v>
      </c>
      <c r="AI41" s="280">
        <f t="shared" si="4"/>
        <v>2240.7769935927072</v>
      </c>
      <c r="AJ41" s="280">
        <f t="shared" si="4"/>
        <v>7017.8583257879263</v>
      </c>
      <c r="AK41" s="280">
        <f t="shared" si="4"/>
        <v>1494.0052607860885</v>
      </c>
      <c r="AL41" s="280">
        <f t="shared" si="4"/>
        <v>6730.6524233171458</v>
      </c>
      <c r="AM41" s="280">
        <f t="shared" si="4"/>
        <v>6589.0124874468465</v>
      </c>
      <c r="AN41" s="280">
        <f t="shared" si="4"/>
        <v>1649.3860520153678</v>
      </c>
      <c r="AO41" s="280">
        <f t="shared" si="4"/>
        <v>4317.1947283939999</v>
      </c>
      <c r="AP41" s="280">
        <f t="shared" si="4"/>
        <v>781.44962080149639</v>
      </c>
      <c r="AQ41" s="280">
        <f t="shared" si="4"/>
        <v>1649.1111017159462</v>
      </c>
    </row>
    <row r="42" spans="1:43" ht="49.5" customHeight="1" thickTop="1" thickBot="1" x14ac:dyDescent="0.3">
      <c r="A42" s="561" t="s">
        <v>223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1342.81</v>
      </c>
      <c r="AI42" s="280" t="s">
        <v>199</v>
      </c>
      <c r="AJ42" s="280">
        <v>4063.82</v>
      </c>
      <c r="AK42" s="280">
        <v>1215.1300000000001</v>
      </c>
      <c r="AL42" s="280">
        <v>1512.7</v>
      </c>
      <c r="AM42" s="280">
        <v>10275.06</v>
      </c>
      <c r="AN42" s="280">
        <v>3469.34</v>
      </c>
      <c r="AO42" s="280" t="s">
        <v>199</v>
      </c>
      <c r="AP42" s="280">
        <v>310.27999999999997</v>
      </c>
      <c r="AQ42" s="280">
        <v>847.03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102241.02166495017</v>
      </c>
      <c r="C44" s="12"/>
      <c r="D44" s="284" t="s">
        <v>135</v>
      </c>
      <c r="E44" s="285">
        <f>SUM(B41:H41)+P41+R41+T41+V41+X41+Z41</f>
        <v>46267.51100918986</v>
      </c>
      <c r="F44" s="12"/>
      <c r="G44" s="284" t="s">
        <v>135</v>
      </c>
      <c r="H44" s="285">
        <f>SUM(I41:N41)+O41+Q41+S41+U41+W41+Y41</f>
        <v>55736.882841870924</v>
      </c>
      <c r="I44" s="12"/>
      <c r="J44" s="284" t="s">
        <v>200</v>
      </c>
      <c r="K44" s="285">
        <v>113885.12</v>
      </c>
      <c r="L44" s="12"/>
      <c r="M44" s="12"/>
      <c r="N44" s="12"/>
      <c r="O44" s="12"/>
      <c r="P44" s="12"/>
      <c r="Q44" s="12"/>
      <c r="R44" s="303" t="s">
        <v>135</v>
      </c>
      <c r="S44" s="304"/>
      <c r="T44" s="299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33120.610407633023</v>
      </c>
      <c r="C45" s="12"/>
      <c r="D45" s="286" t="s">
        <v>185</v>
      </c>
      <c r="E45" s="287">
        <f>AH41*(1-$AG$40)+AI41+AJ41*0.5+AL41+AM41*(1-$AG$40)+AN41*(1-$AG$40)+AO41*(1-$AG$40)+AP41*0.5+AQ41*0.5</f>
        <v>16325.291111957957</v>
      </c>
      <c r="F45" s="24"/>
      <c r="G45" s="286" t="s">
        <v>185</v>
      </c>
      <c r="H45" s="287">
        <f>AH41*AG40+AJ41*0.5+AK41+AM41*AG40+AN41*AG40+AO41*AG40+AP41*0.5+AQ41*0.5</f>
        <v>16795.319295675068</v>
      </c>
      <c r="I45" s="12"/>
      <c r="J45" s="12"/>
      <c r="K45" s="290"/>
      <c r="L45" s="12"/>
      <c r="M45" s="12"/>
      <c r="N45" s="12"/>
      <c r="O45" s="12"/>
      <c r="P45" s="12"/>
      <c r="Q45" s="12"/>
      <c r="R45" s="301" t="s">
        <v>141</v>
      </c>
      <c r="S45" s="302"/>
      <c r="T45" s="256">
        <f>$W$39+$X$39</f>
        <v>981.97997841437677</v>
      </c>
      <c r="U45" s="258">
        <f>(T45*8.34*0.895)/27000</f>
        <v>0.27147382047697899</v>
      </c>
    </row>
    <row r="46" spans="1:43" ht="32.25" thickBot="1" x14ac:dyDescent="0.3">
      <c r="A46" s="288" t="s">
        <v>186</v>
      </c>
      <c r="B46" s="289">
        <f>SUM(AH42:AQ42)</f>
        <v>23036.17</v>
      </c>
      <c r="C46" s="12"/>
      <c r="D46" s="288" t="s">
        <v>186</v>
      </c>
      <c r="E46" s="289">
        <f>AH42*(1-$AG$40)+AJ42*0.5+AL42+AM42*(1-$AG$40)+AN42*(1-$AG$40)+AP42*0.5+AQ42*0.5</f>
        <v>7127.3420406889409</v>
      </c>
      <c r="F46" s="23"/>
      <c r="G46" s="288" t="s">
        <v>186</v>
      </c>
      <c r="H46" s="289">
        <f>AH42*AG40+AJ42*0.5+AK42+AM42*AG40+AN42*AG40+AP42*0.5+AQ42*0.5</f>
        <v>15908.82795931106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01" t="s">
        <v>145</v>
      </c>
      <c r="S46" s="302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113885.12</v>
      </c>
      <c r="C47" s="12"/>
      <c r="D47" s="288" t="s">
        <v>189</v>
      </c>
      <c r="E47" s="289">
        <f>K44*0.5</f>
        <v>56942.559999999998</v>
      </c>
      <c r="F47" s="24"/>
      <c r="G47" s="288" t="s">
        <v>187</v>
      </c>
      <c r="H47" s="289">
        <f>K44*0.5</f>
        <v>56942.559999999998</v>
      </c>
      <c r="I47" s="12"/>
      <c r="J47" s="284" t="s">
        <v>200</v>
      </c>
      <c r="K47" s="285">
        <v>5999.15</v>
      </c>
      <c r="L47" s="12"/>
      <c r="M47" s="12"/>
      <c r="N47" s="12"/>
      <c r="O47" s="12"/>
      <c r="P47" s="12"/>
      <c r="Q47" s="12"/>
      <c r="R47" s="301" t="s">
        <v>148</v>
      </c>
      <c r="S47" s="302"/>
      <c r="T47" s="256">
        <f>$G$39</f>
        <v>51573.667943890774</v>
      </c>
      <c r="U47" s="258">
        <f>T47/40000</f>
        <v>1.2893416985972694</v>
      </c>
    </row>
    <row r="48" spans="1:43" ht="24" thickBot="1" x14ac:dyDescent="0.3">
      <c r="A48" s="288" t="s">
        <v>188</v>
      </c>
      <c r="B48" s="289">
        <f>K47</f>
        <v>5999.15</v>
      </c>
      <c r="C48" s="12"/>
      <c r="D48" s="288" t="s">
        <v>188</v>
      </c>
      <c r="E48" s="289">
        <f>K47*0.5</f>
        <v>2999.5749999999998</v>
      </c>
      <c r="F48" s="23"/>
      <c r="G48" s="288" t="s">
        <v>188</v>
      </c>
      <c r="H48" s="289">
        <f>K47*0.5</f>
        <v>2999.5749999999998</v>
      </c>
      <c r="I48" s="12"/>
      <c r="J48" s="12"/>
      <c r="K48" s="86"/>
      <c r="L48" s="12"/>
      <c r="M48" s="12"/>
      <c r="N48" s="12"/>
      <c r="O48" s="12"/>
      <c r="P48" s="12"/>
      <c r="Q48" s="12"/>
      <c r="R48" s="301" t="s">
        <v>150</v>
      </c>
      <c r="S48" s="302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403.51794011592864</v>
      </c>
      <c r="C49" s="12"/>
      <c r="D49" s="293" t="s">
        <v>197</v>
      </c>
      <c r="E49" s="294">
        <f>AF40</f>
        <v>79.193870803727094</v>
      </c>
      <c r="F49" s="23"/>
      <c r="G49" s="293" t="s">
        <v>198</v>
      </c>
      <c r="H49" s="294">
        <f>AE40</f>
        <v>318.537127218443</v>
      </c>
      <c r="I49" s="12"/>
      <c r="J49" s="12"/>
      <c r="K49" s="86"/>
      <c r="L49" s="12"/>
      <c r="M49" s="12"/>
      <c r="N49" s="12"/>
      <c r="O49" s="12"/>
      <c r="P49" s="12"/>
      <c r="Q49" s="12"/>
      <c r="R49" s="301" t="s">
        <v>152</v>
      </c>
      <c r="S49" s="302"/>
      <c r="T49" s="256">
        <f>$E$39+$K$39</f>
        <v>1098.8392126182705</v>
      </c>
      <c r="U49" s="258">
        <f>(T49*8.34*1.04)/45000</f>
        <v>0.21179759543479623</v>
      </c>
    </row>
    <row r="50" spans="1:25" ht="48" thickTop="1" thickBot="1" x14ac:dyDescent="0.3">
      <c r="A50" s="293" t="s">
        <v>192</v>
      </c>
      <c r="B50" s="295">
        <f>(SUM(B44:B48)/AD40)</f>
        <v>689.63990050264977</v>
      </c>
      <c r="C50" s="12"/>
      <c r="D50" s="293" t="s">
        <v>190</v>
      </c>
      <c r="E50" s="295">
        <f>SUM(E44:E48)/AF40</f>
        <v>1637.2766963644169</v>
      </c>
      <c r="F50" s="23"/>
      <c r="G50" s="293" t="s">
        <v>191</v>
      </c>
      <c r="H50" s="295">
        <f>SUM(H44:H48)/AE40</f>
        <v>465.82690813024266</v>
      </c>
      <c r="I50" s="12"/>
      <c r="J50" s="12"/>
      <c r="K50" s="86"/>
      <c r="L50" s="12"/>
      <c r="M50" s="12"/>
      <c r="N50" s="12"/>
      <c r="O50" s="12"/>
      <c r="P50" s="12"/>
      <c r="Q50" s="12"/>
      <c r="R50" s="301" t="s">
        <v>153</v>
      </c>
      <c r="S50" s="302"/>
      <c r="T50" s="256">
        <f>$U$39+$V$39+$AB$39</f>
        <v>59046.472018137174</v>
      </c>
      <c r="U50" s="258">
        <f>T50/2000/8</f>
        <v>3.6904045011335733</v>
      </c>
    </row>
    <row r="51" spans="1:25" ht="47.25" customHeight="1" thickTop="1" thickBot="1" x14ac:dyDescent="0.3">
      <c r="A51" s="283" t="s">
        <v>193</v>
      </c>
      <c r="B51" s="296">
        <f>B50/1000</f>
        <v>0.68963990050264978</v>
      </c>
      <c r="C51" s="12"/>
      <c r="D51" s="283" t="s">
        <v>194</v>
      </c>
      <c r="E51" s="296">
        <f>E50/1000</f>
        <v>1.637276696364417</v>
      </c>
      <c r="F51" s="12"/>
      <c r="G51" s="283" t="s">
        <v>195</v>
      </c>
      <c r="H51" s="296">
        <f>H50/1000</f>
        <v>0.46582690813024263</v>
      </c>
      <c r="I51" s="12"/>
      <c r="J51" s="12"/>
      <c r="K51" s="86"/>
      <c r="L51" s="12"/>
      <c r="M51" s="12"/>
      <c r="N51" s="12"/>
      <c r="O51" s="12"/>
      <c r="P51" s="12"/>
      <c r="Q51" s="12"/>
      <c r="R51" s="301" t="s">
        <v>154</v>
      </c>
      <c r="S51" s="302"/>
      <c r="T51" s="256">
        <f>$C$39+$J$39+$S$39+$T$39</f>
        <v>17599.114358393344</v>
      </c>
      <c r="U51" s="258">
        <f>(T51*8.34*1.4)/45000</f>
        <v>4.5663835388577922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1" t="s">
        <v>155</v>
      </c>
      <c r="S52" s="302"/>
      <c r="T52" s="256">
        <f>$H$39</f>
        <v>811.42009836634099</v>
      </c>
      <c r="U52" s="258">
        <f>(T52*8.34*1.135)/45000</f>
        <v>0.17068492242502104</v>
      </c>
    </row>
    <row r="53" spans="1:25" ht="48" customHeight="1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1" t="s">
        <v>156</v>
      </c>
      <c r="S53" s="302"/>
      <c r="T53" s="256">
        <f>$B$39+$I$39+$AC$39</f>
        <v>7256.4035043954764</v>
      </c>
      <c r="U53" s="258">
        <f>(T53*8.34*1.029*0.03)/3300</f>
        <v>0.56612217252937602</v>
      </c>
    </row>
    <row r="54" spans="1:25" ht="57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21315.279921207832</v>
      </c>
      <c r="U54" s="261">
        <f>(T54*1.54*8.34)/45000</f>
        <v>6.0836650932449974</v>
      </c>
    </row>
    <row r="55" spans="1:25" ht="15.75" thickTop="1" x14ac:dyDescent="0.25">
      <c r="A55" s="306"/>
      <c r="B55" s="306"/>
      <c r="C55" s="306"/>
      <c r="D55" s="306"/>
      <c r="E55" s="306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554"/>
      <c r="S55" s="554"/>
      <c r="T55" s="313"/>
      <c r="U55" s="314"/>
    </row>
    <row r="56" spans="1:25" x14ac:dyDescent="0.25">
      <c r="A56" s="317"/>
      <c r="B56" s="31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324"/>
      <c r="B57" s="31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18"/>
      <c r="B58" s="31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24"/>
      <c r="B59" s="31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18"/>
      <c r="B60" s="318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</sheetData>
  <sheetProtection password="A25B" sheet="1" objects="1" scenarios="1" selectLockedCells="1" selectUnlockedCells="1"/>
  <mergeCells count="31">
    <mergeCell ref="R54:S54"/>
    <mergeCell ref="R55:S55"/>
    <mergeCell ref="R43:U43"/>
    <mergeCell ref="A53:E53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4:E54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A25" zoomScale="75" zoomScaleNormal="75" workbookViewId="0">
      <selection activeCell="AH42" sqref="AH42:AQ42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42578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</row>
    <row r="5" spans="1:47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T5" t="s">
        <v>171</v>
      </c>
      <c r="AU5" s="340" t="s">
        <v>209</v>
      </c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8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42036</v>
      </c>
      <c r="B8" s="49"/>
      <c r="C8" s="50">
        <v>41.282957047223874</v>
      </c>
      <c r="D8" s="50">
        <v>487.24939292271898</v>
      </c>
      <c r="E8" s="50">
        <v>7.2408646618326298</v>
      </c>
      <c r="F8" s="50">
        <v>0</v>
      </c>
      <c r="G8" s="50">
        <v>1848.3356241861941</v>
      </c>
      <c r="H8" s="51">
        <v>30.371642085909894</v>
      </c>
      <c r="I8" s="49">
        <v>242.98688735961849</v>
      </c>
      <c r="J8" s="50">
        <v>514.26167421340938</v>
      </c>
      <c r="K8" s="50">
        <v>27.966239925225469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1437.9338597849285</v>
      </c>
      <c r="V8" s="54">
        <v>431.4630154058076</v>
      </c>
      <c r="W8" s="54">
        <v>24.58483934509605</v>
      </c>
      <c r="X8" s="54">
        <v>7.3768684455966813</v>
      </c>
      <c r="Y8" s="54">
        <v>196.20491221473426</v>
      </c>
      <c r="Z8" s="54">
        <v>58.872779499234326</v>
      </c>
      <c r="AA8" s="55">
        <v>0</v>
      </c>
      <c r="AB8" s="56">
        <v>41.462519635094353</v>
      </c>
      <c r="AC8" s="57">
        <v>0</v>
      </c>
      <c r="AD8" s="57">
        <v>13.13228205773566</v>
      </c>
      <c r="AE8" s="58">
        <v>9.9976121340811694</v>
      </c>
      <c r="AF8" s="58">
        <v>2.9998597285090272</v>
      </c>
      <c r="AG8" s="58">
        <v>0.76919667453612006</v>
      </c>
      <c r="AH8" s="57">
        <v>315.92834526697794</v>
      </c>
      <c r="AI8" s="57">
        <v>977.62380135854096</v>
      </c>
      <c r="AJ8" s="57">
        <v>3119.6705780029301</v>
      </c>
      <c r="AK8" s="57">
        <v>697.2080603917442</v>
      </c>
      <c r="AL8" s="57">
        <v>3296.8720015207932</v>
      </c>
      <c r="AM8" s="57">
        <v>2651.8264598846431</v>
      </c>
      <c r="AN8" s="57">
        <v>734.09658053716021</v>
      </c>
      <c r="AO8" s="57">
        <v>1906.1974966684975</v>
      </c>
      <c r="AP8" s="57">
        <v>344.07965710957848</v>
      </c>
      <c r="AQ8" s="57">
        <v>717.91792640686037</v>
      </c>
    </row>
    <row r="9" spans="1:47" x14ac:dyDescent="0.25">
      <c r="A9" s="11">
        <v>42037</v>
      </c>
      <c r="B9" s="59"/>
      <c r="C9" s="60">
        <v>41.749002536137752</v>
      </c>
      <c r="D9" s="60">
        <v>487.45523872375458</v>
      </c>
      <c r="E9" s="60">
        <v>7.2320360640684678</v>
      </c>
      <c r="F9" s="60">
        <v>0</v>
      </c>
      <c r="G9" s="60">
        <v>1848.479650624583</v>
      </c>
      <c r="H9" s="61">
        <v>29.97854680418973</v>
      </c>
      <c r="I9" s="59">
        <v>246.90930646260554</v>
      </c>
      <c r="J9" s="60">
        <v>517.19627663294489</v>
      </c>
      <c r="K9" s="60">
        <v>28.286089986562633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1429.8438272355434</v>
      </c>
      <c r="V9" s="62">
        <v>429.08645084315583</v>
      </c>
      <c r="W9" s="62">
        <v>24.359698095481544</v>
      </c>
      <c r="X9" s="62">
        <v>7.3101804548890037</v>
      </c>
      <c r="Y9" s="66">
        <v>186.98990518451521</v>
      </c>
      <c r="Z9" s="66">
        <v>56.114404406142519</v>
      </c>
      <c r="AA9" s="67">
        <v>0</v>
      </c>
      <c r="AB9" s="68">
        <v>41.224527751074568</v>
      </c>
      <c r="AC9" s="69">
        <v>0</v>
      </c>
      <c r="AD9" s="69">
        <v>13.130629959371344</v>
      </c>
      <c r="AE9" s="68">
        <v>9.9979607915373254</v>
      </c>
      <c r="AF9" s="68">
        <v>3.0003203356859167</v>
      </c>
      <c r="AG9" s="68">
        <v>0.76917560819621544</v>
      </c>
      <c r="AH9" s="69">
        <v>292.45346112251281</v>
      </c>
      <c r="AI9" s="69">
        <v>948.86629619598386</v>
      </c>
      <c r="AJ9" s="69">
        <v>3124.0793108622238</v>
      </c>
      <c r="AK9" s="69">
        <v>667.87479988733912</v>
      </c>
      <c r="AL9" s="69">
        <v>3134.0611768086746</v>
      </c>
      <c r="AM9" s="69">
        <v>2685.4108416239419</v>
      </c>
      <c r="AN9" s="69">
        <v>709.08829415639241</v>
      </c>
      <c r="AO9" s="69">
        <v>1908.2619098663329</v>
      </c>
      <c r="AP9" s="69">
        <v>343.6118334929148</v>
      </c>
      <c r="AQ9" s="69">
        <v>758.1318549791971</v>
      </c>
    </row>
    <row r="10" spans="1:47" x14ac:dyDescent="0.25">
      <c r="A10" s="11">
        <v>42038</v>
      </c>
      <c r="B10" s="59"/>
      <c r="C10" s="60">
        <v>42.295058916012486</v>
      </c>
      <c r="D10" s="60">
        <v>487.23740377426026</v>
      </c>
      <c r="E10" s="60">
        <v>7.2482539316018251</v>
      </c>
      <c r="F10" s="60">
        <v>0</v>
      </c>
      <c r="G10" s="60">
        <v>1848.3176729837903</v>
      </c>
      <c r="H10" s="61">
        <v>29.884625381231324</v>
      </c>
      <c r="I10" s="59">
        <v>253.47580846150692</v>
      </c>
      <c r="J10" s="60">
        <v>517.68639567693117</v>
      </c>
      <c r="K10" s="60">
        <v>28.414463200171703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1432.7800730839047</v>
      </c>
      <c r="V10" s="62">
        <v>429.80010314239598</v>
      </c>
      <c r="W10" s="62">
        <v>24.354321866427789</v>
      </c>
      <c r="X10" s="62">
        <v>7.3057200102061923</v>
      </c>
      <c r="Y10" s="66">
        <v>166.39621325429499</v>
      </c>
      <c r="Z10" s="66">
        <v>49.91492481136148</v>
      </c>
      <c r="AA10" s="67">
        <v>0</v>
      </c>
      <c r="AB10" s="68">
        <v>41.175862937503069</v>
      </c>
      <c r="AC10" s="69">
        <v>0</v>
      </c>
      <c r="AD10" s="69">
        <v>13.131481742196641</v>
      </c>
      <c r="AE10" s="68">
        <v>10.000771216991545</v>
      </c>
      <c r="AF10" s="68">
        <v>2.9999946127913226</v>
      </c>
      <c r="AG10" s="68">
        <v>0.76924477741774488</v>
      </c>
      <c r="AH10" s="69">
        <v>256.17336651484169</v>
      </c>
      <c r="AI10" s="69">
        <v>903.34052066802974</v>
      </c>
      <c r="AJ10" s="69">
        <v>3131.8334294637043</v>
      </c>
      <c r="AK10" s="69">
        <v>649.10113347371407</v>
      </c>
      <c r="AL10" s="69">
        <v>2837.895708084106</v>
      </c>
      <c r="AM10" s="69">
        <v>2674.5747570037838</v>
      </c>
      <c r="AN10" s="69">
        <v>715.0643826166787</v>
      </c>
      <c r="AO10" s="69">
        <v>1908.0236235300699</v>
      </c>
      <c r="AP10" s="69">
        <v>350.76731030146277</v>
      </c>
      <c r="AQ10" s="69">
        <v>731.58393507003791</v>
      </c>
    </row>
    <row r="11" spans="1:47" x14ac:dyDescent="0.25">
      <c r="A11" s="11">
        <v>42039</v>
      </c>
      <c r="B11" s="59"/>
      <c r="C11" s="60">
        <v>42.566156337658633</v>
      </c>
      <c r="D11" s="60">
        <v>488.44824171066256</v>
      </c>
      <c r="E11" s="60">
        <v>7.2417260631918836</v>
      </c>
      <c r="F11" s="60">
        <v>0</v>
      </c>
      <c r="G11" s="60">
        <v>1848.3120825449555</v>
      </c>
      <c r="H11" s="61">
        <v>29.977600942055425</v>
      </c>
      <c r="I11" s="59">
        <v>251.04532356262155</v>
      </c>
      <c r="J11" s="60">
        <v>519.50574976603275</v>
      </c>
      <c r="K11" s="60">
        <v>28.388064722220015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1440.4151259944335</v>
      </c>
      <c r="V11" s="62">
        <v>402.75893146801548</v>
      </c>
      <c r="W11" s="62">
        <v>23.946022575321432</v>
      </c>
      <c r="X11" s="62">
        <v>6.6956214852902809</v>
      </c>
      <c r="Y11" s="66">
        <v>165.41131505405701</v>
      </c>
      <c r="Z11" s="66">
        <v>46.25116975073248</v>
      </c>
      <c r="AA11" s="67">
        <v>0</v>
      </c>
      <c r="AB11" s="68">
        <v>41.209348890516651</v>
      </c>
      <c r="AC11" s="69">
        <v>0</v>
      </c>
      <c r="AD11" s="69">
        <v>12.481113796763939</v>
      </c>
      <c r="AE11" s="68">
        <v>9.5364047059680317</v>
      </c>
      <c r="AF11" s="68">
        <v>2.6665036350340858</v>
      </c>
      <c r="AG11" s="68">
        <v>0.78148621947158625</v>
      </c>
      <c r="AH11" s="69">
        <v>277.78400122324621</v>
      </c>
      <c r="AI11" s="69">
        <v>929.05417957305895</v>
      </c>
      <c r="AJ11" s="69">
        <v>3138.609559758504</v>
      </c>
      <c r="AK11" s="69">
        <v>667.88502489725761</v>
      </c>
      <c r="AL11" s="69">
        <v>2909.073652394613</v>
      </c>
      <c r="AM11" s="69">
        <v>2770.1574279785159</v>
      </c>
      <c r="AN11" s="69">
        <v>716.43014869689944</v>
      </c>
      <c r="AO11" s="69">
        <v>1877.0820513407389</v>
      </c>
      <c r="AP11" s="69">
        <v>352.82037099202472</v>
      </c>
      <c r="AQ11" s="69">
        <v>718.64402510325112</v>
      </c>
    </row>
    <row r="12" spans="1:47" x14ac:dyDescent="0.25">
      <c r="A12" s="11">
        <v>42040</v>
      </c>
      <c r="B12" s="59"/>
      <c r="C12" s="60">
        <v>42.385448463757584</v>
      </c>
      <c r="D12" s="60">
        <v>487.5159201622015</v>
      </c>
      <c r="E12" s="60">
        <v>7.2238549242417003</v>
      </c>
      <c r="F12" s="60">
        <v>0</v>
      </c>
      <c r="G12" s="60">
        <v>1847.8366327921453</v>
      </c>
      <c r="H12" s="61">
        <v>29.900445091724407</v>
      </c>
      <c r="I12" s="59">
        <v>252.96933623949644</v>
      </c>
      <c r="J12" s="60">
        <v>523.99974829355892</v>
      </c>
      <c r="K12" s="60">
        <v>28.502723789214986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1415.9776916236033</v>
      </c>
      <c r="V12" s="62">
        <v>434.18645688721216</v>
      </c>
      <c r="W12" s="62">
        <v>22.301515955909093</v>
      </c>
      <c r="X12" s="62">
        <v>6.8383960096200065</v>
      </c>
      <c r="Y12" s="66">
        <v>167.35275024959887</v>
      </c>
      <c r="Z12" s="66">
        <v>51.315990436181956</v>
      </c>
      <c r="AA12" s="67">
        <v>0</v>
      </c>
      <c r="AB12" s="68">
        <v>41.224977715809821</v>
      </c>
      <c r="AC12" s="69">
        <v>0</v>
      </c>
      <c r="AD12" s="69">
        <v>12.721625843644132</v>
      </c>
      <c r="AE12" s="68">
        <v>9.6662928536671746</v>
      </c>
      <c r="AF12" s="68">
        <v>2.9640109940966322</v>
      </c>
      <c r="AG12" s="68">
        <v>0.76532544032015437</v>
      </c>
      <c r="AH12" s="69">
        <v>272.62971770763397</v>
      </c>
      <c r="AI12" s="69">
        <v>917.47108879089342</v>
      </c>
      <c r="AJ12" s="69">
        <v>3101.8681240081787</v>
      </c>
      <c r="AK12" s="69">
        <v>651.16147324244173</v>
      </c>
      <c r="AL12" s="69">
        <v>2808.5903666178378</v>
      </c>
      <c r="AM12" s="69">
        <v>2791.3491334279379</v>
      </c>
      <c r="AN12" s="69">
        <v>719.68434308369956</v>
      </c>
      <c r="AO12" s="69">
        <v>1871.2192660013836</v>
      </c>
      <c r="AP12" s="69">
        <v>361.33238604863487</v>
      </c>
      <c r="AQ12" s="69">
        <v>724.32126868565877</v>
      </c>
    </row>
    <row r="13" spans="1:47" x14ac:dyDescent="0.25">
      <c r="A13" s="11">
        <v>42041</v>
      </c>
      <c r="B13" s="59"/>
      <c r="C13" s="60">
        <v>41.605615019798392</v>
      </c>
      <c r="D13" s="60">
        <v>487.79908517201744</v>
      </c>
      <c r="E13" s="60">
        <v>7.2461903368433278</v>
      </c>
      <c r="F13" s="60">
        <v>0</v>
      </c>
      <c r="G13" s="60">
        <v>1848.1985050201333</v>
      </c>
      <c r="H13" s="61">
        <v>29.971323446432784</v>
      </c>
      <c r="I13" s="59">
        <v>253.09385534922239</v>
      </c>
      <c r="J13" s="60">
        <v>545.36699291865</v>
      </c>
      <c r="K13" s="60">
        <v>28.345278952518978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1411.4643884374718</v>
      </c>
      <c r="V13" s="62">
        <v>436.09194922638312</v>
      </c>
      <c r="W13" s="62">
        <v>22.594701827576579</v>
      </c>
      <c r="X13" s="62">
        <v>6.98095371225393</v>
      </c>
      <c r="Y13" s="66">
        <v>166.85624967748109</v>
      </c>
      <c r="Z13" s="66">
        <v>51.552605760751213</v>
      </c>
      <c r="AA13" s="67">
        <v>0</v>
      </c>
      <c r="AB13" s="68">
        <v>41.177498677041122</v>
      </c>
      <c r="AC13" s="69">
        <v>0</v>
      </c>
      <c r="AD13" s="69">
        <v>12.638168700204952</v>
      </c>
      <c r="AE13" s="68">
        <v>9.4617398188265742</v>
      </c>
      <c r="AF13" s="68">
        <v>2.9233387639575974</v>
      </c>
      <c r="AG13" s="68">
        <v>0.7639628408962077</v>
      </c>
      <c r="AH13" s="69">
        <v>239.39884267648057</v>
      </c>
      <c r="AI13" s="69">
        <v>878.22639300028493</v>
      </c>
      <c r="AJ13" s="69">
        <v>3056.1805966695156</v>
      </c>
      <c r="AK13" s="69">
        <v>629.83169794082642</v>
      </c>
      <c r="AL13" s="69">
        <v>2413.0417877197265</v>
      </c>
      <c r="AM13" s="69">
        <v>2752.3211425781251</v>
      </c>
      <c r="AN13" s="69">
        <v>741.84039653142281</v>
      </c>
      <c r="AO13" s="69">
        <v>1930.5299250284829</v>
      </c>
      <c r="AP13" s="69">
        <v>355.12204279899595</v>
      </c>
      <c r="AQ13" s="69">
        <v>769.11809364954661</v>
      </c>
    </row>
    <row r="14" spans="1:47" x14ac:dyDescent="0.25">
      <c r="A14" s="11">
        <v>42042</v>
      </c>
      <c r="B14" s="59"/>
      <c r="C14" s="60">
        <v>41.963496953249049</v>
      </c>
      <c r="D14" s="60">
        <v>487.63997023900345</v>
      </c>
      <c r="E14" s="60">
        <v>7.2632143323620069</v>
      </c>
      <c r="F14" s="60">
        <v>0</v>
      </c>
      <c r="G14" s="60">
        <v>1805.4195638020751</v>
      </c>
      <c r="H14" s="61">
        <v>29.924736952781743</v>
      </c>
      <c r="I14" s="59">
        <v>252.69302784601794</v>
      </c>
      <c r="J14" s="60">
        <v>560.54515085220316</v>
      </c>
      <c r="K14" s="60">
        <v>28.258389729261253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1438.4942648408939</v>
      </c>
      <c r="V14" s="62">
        <v>431.50711035745616</v>
      </c>
      <c r="W14" s="62">
        <v>24.843663373992445</v>
      </c>
      <c r="X14" s="62">
        <v>7.4523879971051317</v>
      </c>
      <c r="Y14" s="66">
        <v>183.00603773621054</v>
      </c>
      <c r="Z14" s="66">
        <v>54.89657376580098</v>
      </c>
      <c r="AA14" s="67">
        <v>0</v>
      </c>
      <c r="AB14" s="68">
        <v>41.179019440544458</v>
      </c>
      <c r="AC14" s="69">
        <v>0</v>
      </c>
      <c r="AD14" s="69">
        <v>13.251739392677939</v>
      </c>
      <c r="AE14" s="68">
        <v>9.9990632415943246</v>
      </c>
      <c r="AF14" s="68">
        <v>2.9994328035357549</v>
      </c>
      <c r="AG14" s="68">
        <v>0.76924770426348676</v>
      </c>
      <c r="AH14" s="69">
        <v>232.0176117817561</v>
      </c>
      <c r="AI14" s="69">
        <v>871.0076358159381</v>
      </c>
      <c r="AJ14" s="69">
        <v>3055.0025477091467</v>
      </c>
      <c r="AK14" s="69">
        <v>630.87220195134478</v>
      </c>
      <c r="AL14" s="69">
        <v>2455.5094600677489</v>
      </c>
      <c r="AM14" s="69">
        <v>2628.2639834086112</v>
      </c>
      <c r="AN14" s="69">
        <v>759.18637911478686</v>
      </c>
      <c r="AO14" s="69">
        <v>1941.3050332387286</v>
      </c>
      <c r="AP14" s="69">
        <v>347.21404355367025</v>
      </c>
      <c r="AQ14" s="69">
        <v>648.590600935618</v>
      </c>
    </row>
    <row r="15" spans="1:47" x14ac:dyDescent="0.25">
      <c r="A15" s="11">
        <v>42043</v>
      </c>
      <c r="B15" s="59"/>
      <c r="C15" s="60">
        <v>41.556348552306297</v>
      </c>
      <c r="D15" s="60">
        <v>488.16628058751536</v>
      </c>
      <c r="E15" s="60">
        <v>7.263792249063644</v>
      </c>
      <c r="F15" s="60">
        <v>0</v>
      </c>
      <c r="G15" s="60">
        <v>1635.448482259108</v>
      </c>
      <c r="H15" s="61">
        <v>29.936133678754246</v>
      </c>
      <c r="I15" s="59">
        <v>252.74148112932818</v>
      </c>
      <c r="J15" s="60">
        <v>560.86092602411884</v>
      </c>
      <c r="K15" s="60">
        <v>28.257052061955012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1432.3492723975576</v>
      </c>
      <c r="V15" s="62">
        <v>429.63437022294676</v>
      </c>
      <c r="W15" s="62">
        <v>24.308750058542348</v>
      </c>
      <c r="X15" s="62">
        <v>7.2914300468259663</v>
      </c>
      <c r="Y15" s="66">
        <v>175.5392117700178</v>
      </c>
      <c r="Z15" s="66">
        <v>52.65313436575785</v>
      </c>
      <c r="AA15" s="67">
        <v>0</v>
      </c>
      <c r="AB15" s="68">
        <v>41.178513717650716</v>
      </c>
      <c r="AC15" s="69">
        <v>0</v>
      </c>
      <c r="AD15" s="69">
        <v>13.251907798316772</v>
      </c>
      <c r="AE15" s="68">
        <v>10.001246284824983</v>
      </c>
      <c r="AF15" s="68">
        <v>2.9998822436883565</v>
      </c>
      <c r="AG15" s="68">
        <v>0.7692598579339337</v>
      </c>
      <c r="AH15" s="69">
        <v>239.33515658378599</v>
      </c>
      <c r="AI15" s="69">
        <v>875.69962387084968</v>
      </c>
      <c r="AJ15" s="69">
        <v>3074.0804470062253</v>
      </c>
      <c r="AK15" s="69">
        <v>633.84519055684405</v>
      </c>
      <c r="AL15" s="69">
        <v>2687.0938488006586</v>
      </c>
      <c r="AM15" s="69">
        <v>2673.0708201090492</v>
      </c>
      <c r="AN15" s="69">
        <v>749.18631207148246</v>
      </c>
      <c r="AO15" s="69">
        <v>1946.3497158050538</v>
      </c>
      <c r="AP15" s="69">
        <v>343.94419040679929</v>
      </c>
      <c r="AQ15" s="69">
        <v>678.39905077616368</v>
      </c>
    </row>
    <row r="16" spans="1:47" x14ac:dyDescent="0.25">
      <c r="A16" s="11">
        <v>42044</v>
      </c>
      <c r="B16" s="59"/>
      <c r="C16" s="60">
        <v>41.510510394970417</v>
      </c>
      <c r="D16" s="60">
        <v>487.50408687591658</v>
      </c>
      <c r="E16" s="60">
        <v>7.2389723037679872</v>
      </c>
      <c r="F16" s="60">
        <v>0</v>
      </c>
      <c r="G16" s="60">
        <v>1655.1735834757408</v>
      </c>
      <c r="H16" s="61">
        <v>29.881985459725119</v>
      </c>
      <c r="I16" s="59">
        <v>255.5232696374253</v>
      </c>
      <c r="J16" s="60">
        <v>560.96622610092209</v>
      </c>
      <c r="K16" s="60">
        <v>28.488425352175938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1425.7996667223913</v>
      </c>
      <c r="V16" s="62">
        <v>427.73452752452886</v>
      </c>
      <c r="W16" s="62">
        <v>25.51660762210529</v>
      </c>
      <c r="X16" s="62">
        <v>7.6548861386394629</v>
      </c>
      <c r="Y16" s="66">
        <v>167.43930358263898</v>
      </c>
      <c r="Z16" s="66">
        <v>50.2311601542132</v>
      </c>
      <c r="AA16" s="67">
        <v>0</v>
      </c>
      <c r="AB16" s="68">
        <v>41.17704870435886</v>
      </c>
      <c r="AC16" s="69">
        <v>0</v>
      </c>
      <c r="AD16" s="69">
        <v>13.252175123824015</v>
      </c>
      <c r="AE16" s="68">
        <v>10.000255529183793</v>
      </c>
      <c r="AF16" s="68">
        <v>3.0000389772379048</v>
      </c>
      <c r="AG16" s="68">
        <v>0.76923299885583452</v>
      </c>
      <c r="AH16" s="69">
        <v>234.52327265739441</v>
      </c>
      <c r="AI16" s="69">
        <v>874.56347576777159</v>
      </c>
      <c r="AJ16" s="69">
        <v>3083.2566649119058</v>
      </c>
      <c r="AK16" s="69">
        <v>642.29737167358383</v>
      </c>
      <c r="AL16" s="69">
        <v>2845.7494181315105</v>
      </c>
      <c r="AM16" s="69">
        <v>2667.2428385416674</v>
      </c>
      <c r="AN16" s="69">
        <v>746.25689331690489</v>
      </c>
      <c r="AO16" s="69">
        <v>1943.3047210693362</v>
      </c>
      <c r="AP16" s="69">
        <v>407.18705488840737</v>
      </c>
      <c r="AQ16" s="69">
        <v>755.91116495132462</v>
      </c>
    </row>
    <row r="17" spans="1:43" x14ac:dyDescent="0.25">
      <c r="A17" s="11">
        <v>42046</v>
      </c>
      <c r="B17" s="49"/>
      <c r="C17" s="50">
        <v>42.759102036555412</v>
      </c>
      <c r="D17" s="50">
        <v>488.5321372667949</v>
      </c>
      <c r="E17" s="50">
        <v>7.4236557359496693</v>
      </c>
      <c r="F17" s="50">
        <v>0</v>
      </c>
      <c r="G17" s="50">
        <v>1731.4690052032431</v>
      </c>
      <c r="H17" s="51">
        <v>29.941127743323676</v>
      </c>
      <c r="I17" s="49">
        <v>259.69773041407251</v>
      </c>
      <c r="J17" s="50">
        <v>560.80048449834158</v>
      </c>
      <c r="K17" s="50">
        <v>28.631304134925099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1438.0448335961958</v>
      </c>
      <c r="V17" s="66">
        <v>400.27904939686289</v>
      </c>
      <c r="W17" s="62">
        <v>23.555061208592889</v>
      </c>
      <c r="X17" s="62">
        <v>6.5565393295019057</v>
      </c>
      <c r="Y17" s="66">
        <v>159.39265106360128</v>
      </c>
      <c r="Z17" s="66">
        <v>44.366863506635092</v>
      </c>
      <c r="AA17" s="67">
        <v>0</v>
      </c>
      <c r="AB17" s="68">
        <v>41.17943208217563</v>
      </c>
      <c r="AC17" s="69">
        <v>0</v>
      </c>
      <c r="AD17" s="69">
        <v>12.752107382482933</v>
      </c>
      <c r="AE17" s="68">
        <v>9.7829866919852488</v>
      </c>
      <c r="AF17" s="68">
        <v>2.7230893793048514</v>
      </c>
      <c r="AG17" s="68">
        <v>0.78225869059311226</v>
      </c>
      <c r="AH17" s="69">
        <v>254.90591845512395</v>
      </c>
      <c r="AI17" s="69">
        <v>885.45734786987282</v>
      </c>
      <c r="AJ17" s="69">
        <v>3236.0176424662272</v>
      </c>
      <c r="AK17" s="69">
        <v>656.50052897135402</v>
      </c>
      <c r="AL17" s="69">
        <v>2610.7210909525552</v>
      </c>
      <c r="AM17" s="69">
        <v>2791.6302522023516</v>
      </c>
      <c r="AN17" s="69">
        <v>726.78839117685925</v>
      </c>
      <c r="AO17" s="69">
        <v>2054.9846357981364</v>
      </c>
      <c r="AP17" s="69">
        <v>442.458251953125</v>
      </c>
      <c r="AQ17" s="69">
        <v>707.17614110310865</v>
      </c>
    </row>
    <row r="18" spans="1:43" x14ac:dyDescent="0.25">
      <c r="A18" s="11">
        <v>42047</v>
      </c>
      <c r="B18" s="59"/>
      <c r="C18" s="60">
        <v>41.489320198695026</v>
      </c>
      <c r="D18" s="60">
        <v>487.61090408960962</v>
      </c>
      <c r="E18" s="60">
        <v>7.4007692088683257</v>
      </c>
      <c r="F18" s="60">
        <v>0</v>
      </c>
      <c r="G18" s="60">
        <v>1710.5329477945932</v>
      </c>
      <c r="H18" s="61">
        <v>26.190652860204366</v>
      </c>
      <c r="I18" s="59">
        <v>259.6646841684975</v>
      </c>
      <c r="J18" s="60">
        <v>561.01853450139276</v>
      </c>
      <c r="K18" s="60">
        <v>28.63757685820255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1424.2888199555825</v>
      </c>
      <c r="V18" s="62">
        <v>427.22725284748947</v>
      </c>
      <c r="W18" s="62">
        <v>24.18543057492121</v>
      </c>
      <c r="X18" s="62">
        <v>7.2546206350054048</v>
      </c>
      <c r="Y18" s="66">
        <v>162.89421353152517</v>
      </c>
      <c r="Z18" s="66">
        <v>48.861471336969529</v>
      </c>
      <c r="AA18" s="67">
        <v>0</v>
      </c>
      <c r="AB18" s="68">
        <v>41.178435646162576</v>
      </c>
      <c r="AC18" s="69">
        <v>0</v>
      </c>
      <c r="AD18" s="69">
        <v>13.253475654125213</v>
      </c>
      <c r="AE18" s="68">
        <v>9.9994754616991344</v>
      </c>
      <c r="AF18" s="68">
        <v>2.9994256583091263</v>
      </c>
      <c r="AG18" s="68">
        <v>0.76925544470121943</v>
      </c>
      <c r="AH18" s="69">
        <v>252.6001127640406</v>
      </c>
      <c r="AI18" s="69">
        <v>891.14492715199788</v>
      </c>
      <c r="AJ18" s="69">
        <v>3199.3020262400305</v>
      </c>
      <c r="AK18" s="69">
        <v>651.3886992136637</v>
      </c>
      <c r="AL18" s="69">
        <v>2456.1719122568766</v>
      </c>
      <c r="AM18" s="69">
        <v>2782.2660902659095</v>
      </c>
      <c r="AN18" s="69">
        <v>693.98151810963952</v>
      </c>
      <c r="AO18" s="69">
        <v>1969.6730472564698</v>
      </c>
      <c r="AP18" s="69">
        <v>442.458251953125</v>
      </c>
      <c r="AQ18" s="69">
        <v>737.67969779968269</v>
      </c>
    </row>
    <row r="19" spans="1:43" x14ac:dyDescent="0.25">
      <c r="A19" s="11">
        <v>42048</v>
      </c>
      <c r="B19" s="59"/>
      <c r="C19" s="60">
        <v>41.64748549461374</v>
      </c>
      <c r="D19" s="60">
        <v>487.43336601257215</v>
      </c>
      <c r="E19" s="60">
        <v>7.4089825054009619</v>
      </c>
      <c r="F19" s="60">
        <v>0</v>
      </c>
      <c r="G19" s="60">
        <v>1710.4758524576769</v>
      </c>
      <c r="H19" s="61">
        <v>22.396891687313747</v>
      </c>
      <c r="I19" s="59">
        <v>260.95873099962824</v>
      </c>
      <c r="J19" s="60">
        <v>560.90325994491639</v>
      </c>
      <c r="K19" s="60">
        <v>28.763204669952302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1424.2419666679536</v>
      </c>
      <c r="V19" s="62">
        <v>427.21598879841389</v>
      </c>
      <c r="W19" s="62">
        <v>24.363469577590791</v>
      </c>
      <c r="X19" s="62">
        <v>7.3080726377564629</v>
      </c>
      <c r="Y19" s="66">
        <v>162.83340183545778</v>
      </c>
      <c r="Z19" s="66">
        <v>48.843549342457251</v>
      </c>
      <c r="AA19" s="67">
        <v>0</v>
      </c>
      <c r="AB19" s="68">
        <v>41.17846901946546</v>
      </c>
      <c r="AC19" s="69">
        <v>0</v>
      </c>
      <c r="AD19" s="69">
        <v>13.248017492559194</v>
      </c>
      <c r="AE19" s="68">
        <v>10.000485619190313</v>
      </c>
      <c r="AF19" s="68">
        <v>2.9997482536355857</v>
      </c>
      <c r="AG19" s="68">
        <v>0.76925428550128672</v>
      </c>
      <c r="AH19" s="69">
        <v>240.53944338162739</v>
      </c>
      <c r="AI19" s="69">
        <v>875.14525648752874</v>
      </c>
      <c r="AJ19" s="69">
        <v>3193.7208838144948</v>
      </c>
      <c r="AK19" s="69">
        <v>644.136498260498</v>
      </c>
      <c r="AL19" s="69">
        <v>2384.5888568878177</v>
      </c>
      <c r="AM19" s="69">
        <v>2755.7012276967366</v>
      </c>
      <c r="AN19" s="69">
        <v>680.9049331029255</v>
      </c>
      <c r="AO19" s="69">
        <v>1937.9086405436196</v>
      </c>
      <c r="AP19" s="69">
        <v>442.458251953125</v>
      </c>
      <c r="AQ19" s="69">
        <v>700.92329006195075</v>
      </c>
    </row>
    <row r="20" spans="1:43" x14ac:dyDescent="0.25">
      <c r="A20" s="11">
        <v>42049</v>
      </c>
      <c r="B20" s="59"/>
      <c r="C20" s="60">
        <v>41.505235383908115</v>
      </c>
      <c r="D20" s="60">
        <v>487.4140396436045</v>
      </c>
      <c r="E20" s="60">
        <v>7.4128028079867372</v>
      </c>
      <c r="F20" s="60">
        <v>0</v>
      </c>
      <c r="G20" s="60">
        <v>1697.5216981251976</v>
      </c>
      <c r="H20" s="61">
        <v>22.497288162509555</v>
      </c>
      <c r="I20" s="59">
        <v>263.03247780799836</v>
      </c>
      <c r="J20" s="60">
        <v>561.05860226949028</v>
      </c>
      <c r="K20" s="60">
        <v>28.791013894478407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1424.3403218052251</v>
      </c>
      <c r="V20" s="62">
        <v>427.27903831319691</v>
      </c>
      <c r="W20" s="62">
        <v>24.239751841078757</v>
      </c>
      <c r="X20" s="62">
        <v>7.2715331420793596</v>
      </c>
      <c r="Y20" s="66">
        <v>162.81374311049359</v>
      </c>
      <c r="Z20" s="66">
        <v>48.841487189138689</v>
      </c>
      <c r="AA20" s="67">
        <v>0</v>
      </c>
      <c r="AB20" s="68">
        <v>41.17798569202369</v>
      </c>
      <c r="AC20" s="69">
        <v>0</v>
      </c>
      <c r="AD20" s="69">
        <v>13.251481064160684</v>
      </c>
      <c r="AE20" s="68">
        <v>10.001433562413709</v>
      </c>
      <c r="AF20" s="68">
        <v>3.0002681584449573</v>
      </c>
      <c r="AG20" s="68">
        <v>0.76924034846672273</v>
      </c>
      <c r="AH20" s="69">
        <v>237.12414454619091</v>
      </c>
      <c r="AI20" s="69">
        <v>863.31190230051675</v>
      </c>
      <c r="AJ20" s="69">
        <v>3199.3376097361247</v>
      </c>
      <c r="AK20" s="69">
        <v>647.05199219385781</v>
      </c>
      <c r="AL20" s="69">
        <v>2337.3903174082438</v>
      </c>
      <c r="AM20" s="69">
        <v>2653.2601754506431</v>
      </c>
      <c r="AN20" s="69">
        <v>679.61660346984854</v>
      </c>
      <c r="AO20" s="69">
        <v>1893.3665931701657</v>
      </c>
      <c r="AP20" s="69">
        <v>414.30961478551228</v>
      </c>
      <c r="AQ20" s="69">
        <v>776.7262184778848</v>
      </c>
    </row>
    <row r="21" spans="1:43" x14ac:dyDescent="0.25">
      <c r="A21" s="11">
        <v>42050</v>
      </c>
      <c r="B21" s="59"/>
      <c r="C21" s="60">
        <v>41.513935224215111</v>
      </c>
      <c r="D21" s="60">
        <v>486.94750150044734</v>
      </c>
      <c r="E21" s="60">
        <v>7.4020283917585905</v>
      </c>
      <c r="F21" s="60">
        <v>0</v>
      </c>
      <c r="G21" s="60">
        <v>1663.9114426930705</v>
      </c>
      <c r="H21" s="61">
        <v>22.452930485208849</v>
      </c>
      <c r="I21" s="59">
        <v>253.91987125078802</v>
      </c>
      <c r="J21" s="60">
        <v>541.64469035466425</v>
      </c>
      <c r="K21" s="60">
        <v>27.958620474735884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1387.2567824218052</v>
      </c>
      <c r="V21" s="62">
        <v>444.79606513312564</v>
      </c>
      <c r="W21" s="62">
        <v>21.842984066482867</v>
      </c>
      <c r="X21" s="62">
        <v>7.0035147686039716</v>
      </c>
      <c r="Y21" s="66">
        <v>154.00008275043797</v>
      </c>
      <c r="Z21" s="66">
        <v>49.377037982823182</v>
      </c>
      <c r="AA21" s="67">
        <v>0</v>
      </c>
      <c r="AB21" s="68">
        <v>40.003273224830401</v>
      </c>
      <c r="AC21" s="69">
        <v>0</v>
      </c>
      <c r="AD21" s="69">
        <v>12.275371673040924</v>
      </c>
      <c r="AE21" s="68">
        <v>9.1398960489748831</v>
      </c>
      <c r="AF21" s="68">
        <v>2.9305243627734661</v>
      </c>
      <c r="AG21" s="68">
        <v>0.7572143916444587</v>
      </c>
      <c r="AH21" s="69">
        <v>264.41433390776314</v>
      </c>
      <c r="AI21" s="69">
        <v>897.53066352208464</v>
      </c>
      <c r="AJ21" s="69">
        <v>3245.8144851684565</v>
      </c>
      <c r="AK21" s="69">
        <v>663.50465291341152</v>
      </c>
      <c r="AL21" s="69">
        <v>2523.440248235067</v>
      </c>
      <c r="AM21" s="69">
        <v>2747.5987743377686</v>
      </c>
      <c r="AN21" s="69">
        <v>675.37600421905518</v>
      </c>
      <c r="AO21" s="69">
        <v>1872.9176076253257</v>
      </c>
      <c r="AP21" s="69">
        <v>416.38603016535444</v>
      </c>
      <c r="AQ21" s="69">
        <v>688.94144967397062</v>
      </c>
    </row>
    <row r="22" spans="1:43" x14ac:dyDescent="0.25">
      <c r="A22" s="11">
        <v>42051</v>
      </c>
      <c r="B22" s="59"/>
      <c r="C22" s="60">
        <v>41.82748074531542</v>
      </c>
      <c r="D22" s="60">
        <v>487.17702458699659</v>
      </c>
      <c r="E22" s="60">
        <v>7.3740426277120914</v>
      </c>
      <c r="F22" s="60">
        <v>0</v>
      </c>
      <c r="G22" s="60">
        <v>1674.6771127065019</v>
      </c>
      <c r="H22" s="61">
        <v>22.471426775058074</v>
      </c>
      <c r="I22" s="59">
        <v>248.04197595914184</v>
      </c>
      <c r="J22" s="60">
        <v>528.6615891138714</v>
      </c>
      <c r="K22" s="60">
        <v>26.869029736518879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1404.0724055510418</v>
      </c>
      <c r="V22" s="62">
        <v>443.43469054884281</v>
      </c>
      <c r="W22" s="62">
        <v>23.091739260934094</v>
      </c>
      <c r="X22" s="62">
        <v>7.2928420307414363</v>
      </c>
      <c r="Y22" s="66">
        <v>165.83419400216272</v>
      </c>
      <c r="Z22" s="66">
        <v>52.373819333701405</v>
      </c>
      <c r="AA22" s="67">
        <v>0</v>
      </c>
      <c r="AB22" s="68">
        <v>39.190502913792876</v>
      </c>
      <c r="AC22" s="69">
        <v>0</v>
      </c>
      <c r="AD22" s="69">
        <v>12.644110816717166</v>
      </c>
      <c r="AE22" s="68">
        <v>9.4990975397875843</v>
      </c>
      <c r="AF22" s="68">
        <v>3.0000086615161785</v>
      </c>
      <c r="AG22" s="68">
        <v>0.75998214486702642</v>
      </c>
      <c r="AH22" s="69">
        <v>294.41806973616281</v>
      </c>
      <c r="AI22" s="69">
        <v>940.02530651092525</v>
      </c>
      <c r="AJ22" s="69">
        <v>3264.873681386312</v>
      </c>
      <c r="AK22" s="69">
        <v>680.64362201690676</v>
      </c>
      <c r="AL22" s="69">
        <v>2606.4716784159336</v>
      </c>
      <c r="AM22" s="69">
        <v>2755.9424763997395</v>
      </c>
      <c r="AN22" s="69">
        <v>672.19790128072111</v>
      </c>
      <c r="AO22" s="69">
        <v>1838.5062252044677</v>
      </c>
      <c r="AP22" s="69">
        <v>413.40024744669603</v>
      </c>
      <c r="AQ22" s="69">
        <v>707.91120783487963</v>
      </c>
    </row>
    <row r="23" spans="1:43" x14ac:dyDescent="0.25">
      <c r="A23" s="11">
        <v>42052</v>
      </c>
      <c r="B23" s="59"/>
      <c r="C23" s="60">
        <v>42.54350384076416</v>
      </c>
      <c r="D23" s="60">
        <v>488.99507462183612</v>
      </c>
      <c r="E23" s="60">
        <v>7.3419279704491149</v>
      </c>
      <c r="F23" s="60">
        <v>0</v>
      </c>
      <c r="G23" s="60">
        <v>1688.4313100179022</v>
      </c>
      <c r="H23" s="61">
        <v>22.541449212034561</v>
      </c>
      <c r="I23" s="59">
        <v>235.78665127754147</v>
      </c>
      <c r="J23" s="60">
        <v>528.66056184768661</v>
      </c>
      <c r="K23" s="60">
        <v>26.839283728599565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1393.8608504152407</v>
      </c>
      <c r="V23" s="62">
        <v>423.09127278167881</v>
      </c>
      <c r="W23" s="62">
        <v>22.092328778373716</v>
      </c>
      <c r="X23" s="62">
        <v>6.7058856691246405</v>
      </c>
      <c r="Y23" s="66">
        <v>152.92362443132387</v>
      </c>
      <c r="Z23" s="66">
        <v>46.418299846617742</v>
      </c>
      <c r="AA23" s="67">
        <v>0</v>
      </c>
      <c r="AB23" s="68">
        <v>39.353408389621862</v>
      </c>
      <c r="AC23" s="69">
        <v>0</v>
      </c>
      <c r="AD23" s="69">
        <v>11.542828309204831</v>
      </c>
      <c r="AE23" s="68">
        <v>8.7415667316338475</v>
      </c>
      <c r="AF23" s="68">
        <v>2.6534073279202444</v>
      </c>
      <c r="AG23" s="68">
        <v>0.76714231080714912</v>
      </c>
      <c r="AH23" s="69">
        <v>300.10526335239416</v>
      </c>
      <c r="AI23" s="69">
        <v>953.52825965881345</v>
      </c>
      <c r="AJ23" s="69">
        <v>3277.3306157430015</v>
      </c>
      <c r="AK23" s="69">
        <v>699.15664450327552</v>
      </c>
      <c r="AL23" s="69">
        <v>2534.8477700551352</v>
      </c>
      <c r="AM23" s="69">
        <v>2851.5558925628657</v>
      </c>
      <c r="AN23" s="69">
        <v>684.70860462188739</v>
      </c>
      <c r="AO23" s="69">
        <v>1769.2914057413736</v>
      </c>
      <c r="AP23" s="69">
        <v>410.41079839070636</v>
      </c>
      <c r="AQ23" s="69">
        <v>727.476293595632</v>
      </c>
    </row>
    <row r="24" spans="1:43" x14ac:dyDescent="0.25">
      <c r="A24" s="11">
        <v>42053</v>
      </c>
      <c r="B24" s="59"/>
      <c r="C24" s="60">
        <v>42.388189633687162</v>
      </c>
      <c r="D24" s="60">
        <v>487.26901111602888</v>
      </c>
      <c r="E24" s="60">
        <v>7.3418619756897172</v>
      </c>
      <c r="F24" s="60">
        <v>0</v>
      </c>
      <c r="G24" s="60">
        <v>1687.9707623799616</v>
      </c>
      <c r="H24" s="61">
        <v>22.417241831620501</v>
      </c>
      <c r="I24" s="59">
        <v>234.6354868094121</v>
      </c>
      <c r="J24" s="60">
        <v>528.6919371922811</v>
      </c>
      <c r="K24" s="60">
        <v>26.798665006955492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1404.5348055678912</v>
      </c>
      <c r="V24" s="62">
        <v>443.41519744146837</v>
      </c>
      <c r="W24" s="62">
        <v>24.294734880596391</v>
      </c>
      <c r="X24" s="62">
        <v>7.6699093686838919</v>
      </c>
      <c r="Y24" s="66">
        <v>167.85903088546323</v>
      </c>
      <c r="Z24" s="66">
        <v>52.993521433110132</v>
      </c>
      <c r="AA24" s="67">
        <v>0</v>
      </c>
      <c r="AB24" s="68">
        <v>39.524608087539818</v>
      </c>
      <c r="AC24" s="69">
        <v>0</v>
      </c>
      <c r="AD24" s="69">
        <v>12.635007517205331</v>
      </c>
      <c r="AE24" s="68">
        <v>9.5012665256838726</v>
      </c>
      <c r="AF24" s="68">
        <v>2.9995739199404858</v>
      </c>
      <c r="AG24" s="68">
        <v>0.76005021958420238</v>
      </c>
      <c r="AH24" s="69">
        <v>287.45403713385264</v>
      </c>
      <c r="AI24" s="69">
        <v>936.07965240478495</v>
      </c>
      <c r="AJ24" s="69">
        <v>3253.9775783538812</v>
      </c>
      <c r="AK24" s="69">
        <v>691.12383012771613</v>
      </c>
      <c r="AL24" s="69">
        <v>2468.1592147827155</v>
      </c>
      <c r="AM24" s="69">
        <v>2773.7159896850585</v>
      </c>
      <c r="AN24" s="69">
        <v>684.03243761062618</v>
      </c>
      <c r="AO24" s="69">
        <v>1873.7942220052082</v>
      </c>
      <c r="AP24" s="69">
        <v>406.62522824605304</v>
      </c>
      <c r="AQ24" s="69">
        <v>743.62949673334754</v>
      </c>
    </row>
    <row r="25" spans="1:43" x14ac:dyDescent="0.25">
      <c r="A25" s="11">
        <v>42054</v>
      </c>
      <c r="B25" s="59"/>
      <c r="C25" s="60">
        <v>41.981728573640076</v>
      </c>
      <c r="D25" s="60">
        <v>488.34965661366857</v>
      </c>
      <c r="E25" s="60">
        <v>7.3617842942476193</v>
      </c>
      <c r="F25" s="60">
        <v>0</v>
      </c>
      <c r="G25" s="60">
        <v>1678.3204649607271</v>
      </c>
      <c r="H25" s="61">
        <v>22.502477789918558</v>
      </c>
      <c r="I25" s="59">
        <v>237.99197882016477</v>
      </c>
      <c r="J25" s="60">
        <v>528.67250305811604</v>
      </c>
      <c r="K25" s="60">
        <v>26.873915012677514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1404.3419041951736</v>
      </c>
      <c r="V25" s="62">
        <v>443.58438243861821</v>
      </c>
      <c r="W25" s="62">
        <v>24.055816807309334</v>
      </c>
      <c r="X25" s="62">
        <v>7.5984235823556485</v>
      </c>
      <c r="Y25" s="66">
        <v>165.75199594526356</v>
      </c>
      <c r="Z25" s="66">
        <v>52.355481624316525</v>
      </c>
      <c r="AA25" s="67">
        <v>0</v>
      </c>
      <c r="AB25" s="68">
        <v>39.649368577533885</v>
      </c>
      <c r="AC25" s="69">
        <v>0</v>
      </c>
      <c r="AD25" s="69">
        <v>12.635183326403302</v>
      </c>
      <c r="AE25" s="68">
        <v>9.4988255685143272</v>
      </c>
      <c r="AF25" s="68">
        <v>3.0003595713512188</v>
      </c>
      <c r="AG25" s="68">
        <v>0.75995558608203051</v>
      </c>
      <c r="AH25" s="69">
        <v>254.82349565029142</v>
      </c>
      <c r="AI25" s="69">
        <v>885.63195482889807</v>
      </c>
      <c r="AJ25" s="69">
        <v>3223.2541245778402</v>
      </c>
      <c r="AK25" s="69">
        <v>655.79442958831794</v>
      </c>
      <c r="AL25" s="69">
        <v>2349.6356258392334</v>
      </c>
      <c r="AM25" s="69">
        <v>2729.3715326944985</v>
      </c>
      <c r="AN25" s="69">
        <v>638.76422363917015</v>
      </c>
      <c r="AO25" s="69">
        <v>1866.0003795623777</v>
      </c>
      <c r="AP25" s="69">
        <v>406.81699956258143</v>
      </c>
      <c r="AQ25" s="69">
        <v>709.97726011276256</v>
      </c>
    </row>
    <row r="26" spans="1:43" x14ac:dyDescent="0.25">
      <c r="A26" s="11">
        <v>42055</v>
      </c>
      <c r="B26" s="59"/>
      <c r="C26" s="60">
        <v>41.491497705380212</v>
      </c>
      <c r="D26" s="60">
        <v>488.41048742930002</v>
      </c>
      <c r="E26" s="60">
        <v>7.3842498933275458</v>
      </c>
      <c r="F26" s="60">
        <v>0</v>
      </c>
      <c r="G26" s="60">
        <v>1664.5563390096004</v>
      </c>
      <c r="H26" s="61">
        <v>22.549189552664799</v>
      </c>
      <c r="I26" s="59">
        <v>238.10858074823946</v>
      </c>
      <c r="J26" s="60">
        <v>528.57049980163572</v>
      </c>
      <c r="K26" s="60">
        <v>27.012302684783961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1404.3247818290645</v>
      </c>
      <c r="V26" s="62">
        <v>443.46037130560768</v>
      </c>
      <c r="W26" s="62">
        <v>23.857476398005829</v>
      </c>
      <c r="X26" s="62">
        <v>7.5337596251023244</v>
      </c>
      <c r="Y26" s="66">
        <v>166.1175180624285</v>
      </c>
      <c r="Z26" s="66">
        <v>52.456908254786669</v>
      </c>
      <c r="AA26" s="67">
        <v>0</v>
      </c>
      <c r="AB26" s="68">
        <v>39.859373566839679</v>
      </c>
      <c r="AC26" s="69">
        <v>0</v>
      </c>
      <c r="AD26" s="69">
        <v>12.638875755336562</v>
      </c>
      <c r="AE26" s="68">
        <v>9.5002102652884552</v>
      </c>
      <c r="AF26" s="68">
        <v>2.9999946068308936</v>
      </c>
      <c r="AG26" s="68">
        <v>0.76000436492667989</v>
      </c>
      <c r="AH26" s="69">
        <v>257.6569882949193</v>
      </c>
      <c r="AI26" s="69">
        <v>894.38204743067422</v>
      </c>
      <c r="AJ26" s="69">
        <v>3252.3655129750568</v>
      </c>
      <c r="AK26" s="69">
        <v>662.74098822275789</v>
      </c>
      <c r="AL26" s="69">
        <v>2386.1326665242518</v>
      </c>
      <c r="AM26" s="69">
        <v>2726.1379215240486</v>
      </c>
      <c r="AN26" s="69">
        <v>649.28456471761058</v>
      </c>
      <c r="AO26" s="69">
        <v>1859.0277524312337</v>
      </c>
      <c r="AP26" s="69">
        <v>417.19332253138225</v>
      </c>
      <c r="AQ26" s="69">
        <v>691.91816507975273</v>
      </c>
    </row>
    <row r="27" spans="1:43" x14ac:dyDescent="0.25">
      <c r="A27" s="11">
        <v>42056</v>
      </c>
      <c r="B27" s="59"/>
      <c r="C27" s="60">
        <v>41.752109328906172</v>
      </c>
      <c r="D27" s="60">
        <v>487.66677799224954</v>
      </c>
      <c r="E27" s="60">
        <v>7.3995385145147647</v>
      </c>
      <c r="F27" s="60">
        <v>0</v>
      </c>
      <c r="G27" s="60">
        <v>1664.385642878214</v>
      </c>
      <c r="H27" s="61">
        <v>22.440695489446323</v>
      </c>
      <c r="I27" s="59">
        <v>238.10849541028273</v>
      </c>
      <c r="J27" s="60">
        <v>528.46707983017029</v>
      </c>
      <c r="K27" s="60">
        <v>27.113303716977498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1401.8907577911589</v>
      </c>
      <c r="V27" s="62">
        <v>442.74066880810614</v>
      </c>
      <c r="W27" s="62">
        <v>23.904328622306618</v>
      </c>
      <c r="X27" s="62">
        <v>7.5493888399151636</v>
      </c>
      <c r="Y27" s="62">
        <v>164.45421014221787</v>
      </c>
      <c r="Z27" s="62">
        <v>51.93740423925459</v>
      </c>
      <c r="AA27" s="72">
        <v>0</v>
      </c>
      <c r="AB27" s="69">
        <v>39.854981933699563</v>
      </c>
      <c r="AC27" s="69">
        <v>0</v>
      </c>
      <c r="AD27" s="69">
        <v>12.519348090887069</v>
      </c>
      <c r="AE27" s="69">
        <v>9.4059048816189321</v>
      </c>
      <c r="AF27" s="69">
        <v>2.9705428863764349</v>
      </c>
      <c r="AG27" s="69">
        <v>0.75998421016585616</v>
      </c>
      <c r="AH27" s="69">
        <v>287.30028301080063</v>
      </c>
      <c r="AI27" s="69">
        <v>928.47634963989253</v>
      </c>
      <c r="AJ27" s="69">
        <v>3270.3065002441408</v>
      </c>
      <c r="AK27" s="69">
        <v>699.55100193023668</v>
      </c>
      <c r="AL27" s="69">
        <v>2488.3174421946214</v>
      </c>
      <c r="AM27" s="69">
        <v>2745.9991813659676</v>
      </c>
      <c r="AN27" s="69">
        <v>695.28140160242708</v>
      </c>
      <c r="AO27" s="69">
        <v>1847.7690348307292</v>
      </c>
      <c r="AP27" s="69">
        <v>420.54341513315836</v>
      </c>
      <c r="AQ27" s="69">
        <v>673.98083232243857</v>
      </c>
    </row>
    <row r="28" spans="1:43" x14ac:dyDescent="0.25">
      <c r="A28" s="11">
        <v>42057</v>
      </c>
      <c r="B28" s="59"/>
      <c r="C28" s="60">
        <v>41.500851164261867</v>
      </c>
      <c r="D28" s="60">
        <v>487.09522530237905</v>
      </c>
      <c r="E28" s="60">
        <v>7.3582029094298687</v>
      </c>
      <c r="F28" s="60">
        <v>0</v>
      </c>
      <c r="G28" s="60">
        <v>1697.7284020741727</v>
      </c>
      <c r="H28" s="61">
        <v>22.393627216418587</v>
      </c>
      <c r="I28" s="59">
        <v>238.219275871912</v>
      </c>
      <c r="J28" s="60">
        <v>528.81183395385756</v>
      </c>
      <c r="K28" s="60">
        <v>26.900482839345962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1404.9097796312105</v>
      </c>
      <c r="V28" s="62">
        <v>443.62622562207815</v>
      </c>
      <c r="W28" s="62">
        <v>24.857596843370832</v>
      </c>
      <c r="X28" s="62">
        <v>7.8492455711672857</v>
      </c>
      <c r="Y28" s="66">
        <v>165.8002652584162</v>
      </c>
      <c r="Z28" s="66">
        <v>52.354497740800369</v>
      </c>
      <c r="AA28" s="67">
        <v>0</v>
      </c>
      <c r="AB28" s="68">
        <v>39.848640513419646</v>
      </c>
      <c r="AC28" s="69">
        <v>0</v>
      </c>
      <c r="AD28" s="69">
        <v>12.63299984468358</v>
      </c>
      <c r="AE28" s="68">
        <v>9.4998936646607639</v>
      </c>
      <c r="AF28" s="68">
        <v>2.9997669824540845</v>
      </c>
      <c r="AG28" s="68">
        <v>0.76001212615748215</v>
      </c>
      <c r="AH28" s="69">
        <v>355.98262122472124</v>
      </c>
      <c r="AI28" s="69">
        <v>1036.9032875061037</v>
      </c>
      <c r="AJ28" s="69">
        <v>3359.4817817687986</v>
      </c>
      <c r="AK28" s="69">
        <v>772.35206788380935</v>
      </c>
      <c r="AL28" s="69">
        <v>2627.8384882609057</v>
      </c>
      <c r="AM28" s="69">
        <v>2838.001828765869</v>
      </c>
      <c r="AN28" s="69">
        <v>773.09385334650665</v>
      </c>
      <c r="AO28" s="69">
        <v>1814.6365661621094</v>
      </c>
      <c r="AP28" s="69">
        <v>414.32575696309408</v>
      </c>
      <c r="AQ28" s="69">
        <v>712.07524592081688</v>
      </c>
    </row>
    <row r="29" spans="1:43" x14ac:dyDescent="0.25">
      <c r="A29" s="11">
        <v>42058</v>
      </c>
      <c r="B29" s="59"/>
      <c r="C29" s="60">
        <v>42.047459880510701</v>
      </c>
      <c r="D29" s="60">
        <v>488.56974185307848</v>
      </c>
      <c r="E29" s="60">
        <v>7.3142311796545743</v>
      </c>
      <c r="F29" s="60">
        <v>0</v>
      </c>
      <c r="G29" s="60">
        <v>1730.331923294063</v>
      </c>
      <c r="H29" s="61">
        <v>22.516852939128899</v>
      </c>
      <c r="I29" s="59">
        <v>240.84084300994834</v>
      </c>
      <c r="J29" s="60">
        <v>534.53224846522005</v>
      </c>
      <c r="K29" s="60">
        <v>27.179826498031577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1420.4582717529622</v>
      </c>
      <c r="V29" s="62">
        <v>413.65935990493676</v>
      </c>
      <c r="W29" s="62">
        <v>24.967674694094271</v>
      </c>
      <c r="X29" s="62">
        <v>7.2709720078774183</v>
      </c>
      <c r="Y29" s="66">
        <v>164.03105909798109</v>
      </c>
      <c r="Z29" s="66">
        <v>47.768374657893716</v>
      </c>
      <c r="AA29" s="67">
        <v>0</v>
      </c>
      <c r="AB29" s="68">
        <v>39.84827625751435</v>
      </c>
      <c r="AC29" s="69">
        <v>0</v>
      </c>
      <c r="AD29" s="69">
        <v>12.26437517106535</v>
      </c>
      <c r="AE29" s="68">
        <v>9.3953593739089367</v>
      </c>
      <c r="AF29" s="68">
        <v>2.7360735770800124</v>
      </c>
      <c r="AG29" s="68">
        <v>0.77446410591941095</v>
      </c>
      <c r="AH29" s="69">
        <v>345.17944958209995</v>
      </c>
      <c r="AI29" s="69">
        <v>1027.8641113917033</v>
      </c>
      <c r="AJ29" s="69">
        <v>3309.7627905527756</v>
      </c>
      <c r="AK29" s="69">
        <v>756.6108166058857</v>
      </c>
      <c r="AL29" s="69">
        <v>2655.8189308166507</v>
      </c>
      <c r="AM29" s="69">
        <v>2910.3391719818114</v>
      </c>
      <c r="AN29" s="69">
        <v>814.19404392242438</v>
      </c>
      <c r="AO29" s="69">
        <v>1756.8204358418782</v>
      </c>
      <c r="AP29" s="69">
        <v>426.88024457295734</v>
      </c>
      <c r="AQ29" s="69">
        <v>759.82953093846641</v>
      </c>
    </row>
    <row r="30" spans="1:43" x14ac:dyDescent="0.25">
      <c r="A30" s="11">
        <v>42059</v>
      </c>
      <c r="B30" s="59"/>
      <c r="C30" s="60">
        <v>42.939422180255569</v>
      </c>
      <c r="D30" s="60">
        <v>487.14346745808916</v>
      </c>
      <c r="E30" s="60">
        <v>7.3083150809009796</v>
      </c>
      <c r="F30" s="60">
        <v>0</v>
      </c>
      <c r="G30" s="60">
        <v>1686.5195963541626</v>
      </c>
      <c r="H30" s="61">
        <v>22.458406786123927</v>
      </c>
      <c r="I30" s="59">
        <v>246.7723725159955</v>
      </c>
      <c r="J30" s="60">
        <v>540.97868073781262</v>
      </c>
      <c r="K30" s="60">
        <v>27.733302531639719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1414.4295969578825</v>
      </c>
      <c r="V30" s="62">
        <v>435.27107538251954</v>
      </c>
      <c r="W30" s="62">
        <v>24.868109237151998</v>
      </c>
      <c r="X30" s="62">
        <v>7.6528154343389607</v>
      </c>
      <c r="Y30" s="66">
        <v>170.22898225221394</v>
      </c>
      <c r="Z30" s="66">
        <v>52.38560641374881</v>
      </c>
      <c r="AA30" s="67">
        <v>0</v>
      </c>
      <c r="AB30" s="68">
        <v>41.23834983242913</v>
      </c>
      <c r="AC30" s="69">
        <v>0</v>
      </c>
      <c r="AD30" s="69">
        <v>12.875681451956423</v>
      </c>
      <c r="AE30" s="68">
        <v>9.7479061612064513</v>
      </c>
      <c r="AF30" s="68">
        <v>2.9997828146709535</v>
      </c>
      <c r="AG30" s="68">
        <v>0.76468026319535432</v>
      </c>
      <c r="AH30" s="69">
        <v>297.9763873418172</v>
      </c>
      <c r="AI30" s="69">
        <v>957.103893661499</v>
      </c>
      <c r="AJ30" s="69">
        <v>3129.336950302124</v>
      </c>
      <c r="AK30" s="69">
        <v>708.38666639328005</v>
      </c>
      <c r="AL30" s="69">
        <v>2611.6547260284419</v>
      </c>
      <c r="AM30" s="69">
        <v>2872.765872573852</v>
      </c>
      <c r="AN30" s="69">
        <v>778.24298114776605</v>
      </c>
      <c r="AO30" s="69">
        <v>1829.2625427246094</v>
      </c>
      <c r="AP30" s="69">
        <v>430.21156311035156</v>
      </c>
      <c r="AQ30" s="69">
        <v>725.81241502761827</v>
      </c>
    </row>
    <row r="31" spans="1:43" x14ac:dyDescent="0.25">
      <c r="A31" s="11">
        <v>42060</v>
      </c>
      <c r="B31" s="59"/>
      <c r="C31" s="60">
        <v>42.345788546403419</v>
      </c>
      <c r="D31" s="60">
        <v>487.74873353640345</v>
      </c>
      <c r="E31" s="60">
        <v>7.3435991257429079</v>
      </c>
      <c r="F31" s="60">
        <v>0</v>
      </c>
      <c r="G31" s="60">
        <v>1686.8026280720997</v>
      </c>
      <c r="H31" s="61">
        <v>22.704768933852524</v>
      </c>
      <c r="I31" s="59">
        <v>247.50224637985178</v>
      </c>
      <c r="J31" s="60">
        <v>541.76206000645868</v>
      </c>
      <c r="K31" s="60">
        <v>27.524179069201129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1410.1422586697483</v>
      </c>
      <c r="V31" s="62">
        <v>423.66052495722073</v>
      </c>
      <c r="W31" s="62">
        <v>23.623139348063937</v>
      </c>
      <c r="X31" s="62">
        <v>7.09729217446439</v>
      </c>
      <c r="Y31" s="66">
        <v>161.74515770477586</v>
      </c>
      <c r="Z31" s="66">
        <v>48.594415209665868</v>
      </c>
      <c r="AA31" s="67">
        <v>0</v>
      </c>
      <c r="AB31" s="68">
        <v>41.504648754332415</v>
      </c>
      <c r="AC31" s="69">
        <v>0</v>
      </c>
      <c r="AD31" s="69">
        <v>12.297585361202565</v>
      </c>
      <c r="AE31" s="68">
        <v>9.3477819912987385</v>
      </c>
      <c r="AF31" s="68">
        <v>2.8084302851509446</v>
      </c>
      <c r="AG31" s="68">
        <v>0.76897159894190592</v>
      </c>
      <c r="AH31" s="69">
        <v>288.69297977288562</v>
      </c>
      <c r="AI31" s="69">
        <v>944.62339859008785</v>
      </c>
      <c r="AJ31" s="69">
        <v>3122.6371594746911</v>
      </c>
      <c r="AK31" s="69">
        <v>707.70790227254236</v>
      </c>
      <c r="AL31" s="69">
        <v>2662.2316622416179</v>
      </c>
      <c r="AM31" s="69">
        <v>2871.4284931182851</v>
      </c>
      <c r="AN31" s="69">
        <v>727.91695130666096</v>
      </c>
      <c r="AO31" s="69">
        <v>1842.1282941182453</v>
      </c>
      <c r="AP31" s="69">
        <v>428.59879306157433</v>
      </c>
      <c r="AQ31" s="69">
        <v>712.49753354390464</v>
      </c>
    </row>
    <row r="32" spans="1:43" x14ac:dyDescent="0.25">
      <c r="A32" s="11">
        <v>42061</v>
      </c>
      <c r="B32" s="59"/>
      <c r="C32" s="60">
        <v>42.21104988455771</v>
      </c>
      <c r="D32" s="60">
        <v>487.00548305511484</v>
      </c>
      <c r="E32" s="60">
        <v>7.2518138686815776</v>
      </c>
      <c r="F32" s="60">
        <v>0</v>
      </c>
      <c r="G32" s="60">
        <v>1698.0387123107855</v>
      </c>
      <c r="H32" s="61">
        <v>22.384370538592304</v>
      </c>
      <c r="I32" s="59">
        <v>249.44483202298463</v>
      </c>
      <c r="J32" s="60">
        <v>546.34411020278867</v>
      </c>
      <c r="K32" s="60">
        <v>28.137124095360356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1410.116600931279</v>
      </c>
      <c r="V32" s="62">
        <v>433.84339853469231</v>
      </c>
      <c r="W32" s="62">
        <v>25.05749928979121</v>
      </c>
      <c r="X32" s="62">
        <v>7.7093132890458378</v>
      </c>
      <c r="Y32" s="66">
        <v>166.77587507564343</v>
      </c>
      <c r="Z32" s="66">
        <v>51.31108476322418</v>
      </c>
      <c r="AA32" s="67">
        <v>0</v>
      </c>
      <c r="AB32" s="68">
        <v>41.498760509491689</v>
      </c>
      <c r="AC32" s="69">
        <v>0</v>
      </c>
      <c r="AD32" s="69">
        <v>12.827594291501555</v>
      </c>
      <c r="AE32" s="68">
        <v>9.6236981456611215</v>
      </c>
      <c r="AF32" s="68">
        <v>2.9608742335408555</v>
      </c>
      <c r="AG32" s="68">
        <v>0.76472190358774728</v>
      </c>
      <c r="AH32" s="69">
        <v>349.68411761919663</v>
      </c>
      <c r="AI32" s="69">
        <v>1040.4651391347252</v>
      </c>
      <c r="AJ32" s="69">
        <v>3160.3251392364496</v>
      </c>
      <c r="AK32" s="69">
        <v>778.44788764317821</v>
      </c>
      <c r="AL32" s="69">
        <v>2820.9358178456628</v>
      </c>
      <c r="AM32" s="69">
        <v>2907.3142299652095</v>
      </c>
      <c r="AN32" s="69">
        <v>1061.9020399729411</v>
      </c>
      <c r="AO32" s="69">
        <v>1820.718324915568</v>
      </c>
      <c r="AP32" s="69">
        <v>427.52176399230956</v>
      </c>
      <c r="AQ32" s="69">
        <v>715.78485193252561</v>
      </c>
    </row>
    <row r="33" spans="1:43" x14ac:dyDescent="0.25">
      <c r="A33" s="11">
        <v>42062</v>
      </c>
      <c r="B33" s="59"/>
      <c r="C33" s="60">
        <v>41.605966736872752</v>
      </c>
      <c r="D33" s="60">
        <v>487.1449700673424</v>
      </c>
      <c r="E33" s="60">
        <v>7.1899940595030571</v>
      </c>
      <c r="F33" s="60">
        <v>0</v>
      </c>
      <c r="G33" s="60">
        <v>1871.3136735280291</v>
      </c>
      <c r="H33" s="61">
        <v>22.386511142055213</v>
      </c>
      <c r="I33" s="59">
        <v>249.81668210029596</v>
      </c>
      <c r="J33" s="60">
        <v>547.21845149993874</v>
      </c>
      <c r="K33" s="60">
        <v>28.060459754864269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1387.5694175636206</v>
      </c>
      <c r="V33" s="62">
        <v>440.75469829551167</v>
      </c>
      <c r="W33" s="62">
        <v>23.795213222741697</v>
      </c>
      <c r="X33" s="62">
        <v>7.5584341166023243</v>
      </c>
      <c r="Y33" s="66">
        <v>159.64699841882907</v>
      </c>
      <c r="Z33" s="66">
        <v>50.7110950495194</v>
      </c>
      <c r="AA33" s="67">
        <v>0</v>
      </c>
      <c r="AB33" s="68">
        <v>41.499191469616846</v>
      </c>
      <c r="AC33" s="69">
        <v>0</v>
      </c>
      <c r="AD33" s="69">
        <v>12.380403259065407</v>
      </c>
      <c r="AE33" s="68">
        <v>9.2257754418171203</v>
      </c>
      <c r="AF33" s="68">
        <v>2.9305228408248643</v>
      </c>
      <c r="AG33" s="68">
        <v>0.75892966981491661</v>
      </c>
      <c r="AH33" s="69">
        <v>353.77356170018516</v>
      </c>
      <c r="AI33" s="69">
        <v>1051.5811299641928</v>
      </c>
      <c r="AJ33" s="69">
        <v>3184.8778466542567</v>
      </c>
      <c r="AK33" s="69">
        <v>775.3393658002218</v>
      </c>
      <c r="AL33" s="69">
        <v>2835.6979562123606</v>
      </c>
      <c r="AM33" s="69">
        <v>2921.217081578573</v>
      </c>
      <c r="AN33" s="69">
        <v>980.78669815063461</v>
      </c>
      <c r="AO33" s="69">
        <v>1810.9449417114258</v>
      </c>
      <c r="AP33" s="69">
        <v>430.50030199686688</v>
      </c>
      <c r="AQ33" s="69">
        <v>689.0090657234191</v>
      </c>
    </row>
    <row r="34" spans="1:43" x14ac:dyDescent="0.25">
      <c r="A34" s="11">
        <v>42063</v>
      </c>
      <c r="B34" s="59"/>
      <c r="C34" s="60">
        <v>41.729739556709895</v>
      </c>
      <c r="D34" s="60">
        <v>487.66528724034697</v>
      </c>
      <c r="E34" s="60">
        <v>7.1856386264165168</v>
      </c>
      <c r="F34" s="60">
        <v>0</v>
      </c>
      <c r="G34" s="60">
        <v>1964.8899883270199</v>
      </c>
      <c r="H34" s="61">
        <v>22.386225586136167</v>
      </c>
      <c r="I34" s="59">
        <v>249.79532197316456</v>
      </c>
      <c r="J34" s="60">
        <v>546.60256992975758</v>
      </c>
      <c r="K34" s="60">
        <v>28.037977987527732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1406.8543920213694</v>
      </c>
      <c r="V34" s="62">
        <v>432.95665949567609</v>
      </c>
      <c r="W34" s="62">
        <v>23.566953667964523</v>
      </c>
      <c r="X34" s="62">
        <v>7.2526834279636692</v>
      </c>
      <c r="Y34" s="66">
        <v>168.80064208035023</v>
      </c>
      <c r="Z34" s="66">
        <v>51.948064085599832</v>
      </c>
      <c r="AA34" s="67">
        <v>0</v>
      </c>
      <c r="AB34" s="68">
        <v>41.472738774617994</v>
      </c>
      <c r="AC34" s="69">
        <v>0</v>
      </c>
      <c r="AD34" s="69">
        <v>12.983891372548209</v>
      </c>
      <c r="AE34" s="68">
        <v>9.7484773578023542</v>
      </c>
      <c r="AF34" s="68">
        <v>3.0000746459191725</v>
      </c>
      <c r="AG34" s="68">
        <v>0.76467330210965156</v>
      </c>
      <c r="AH34" s="69">
        <v>344.70010848045348</v>
      </c>
      <c r="AI34" s="69">
        <v>1035.0481838226319</v>
      </c>
      <c r="AJ34" s="69">
        <v>3179.1022252400726</v>
      </c>
      <c r="AK34" s="69">
        <v>747.38162469863903</v>
      </c>
      <c r="AL34" s="69">
        <v>2757.8406098683677</v>
      </c>
      <c r="AM34" s="69">
        <v>2851.9438393910723</v>
      </c>
      <c r="AN34" s="69">
        <v>823.53199723561613</v>
      </c>
      <c r="AO34" s="69">
        <v>1846.1047569274904</v>
      </c>
      <c r="AP34" s="69">
        <v>428.70825214385991</v>
      </c>
      <c r="AQ34" s="69">
        <v>664.49080921808888</v>
      </c>
    </row>
    <row r="35" spans="1:43" x14ac:dyDescent="0.25">
      <c r="A35" s="11"/>
      <c r="B35" s="59"/>
      <c r="C35" s="60"/>
      <c r="D35" s="60"/>
      <c r="E35" s="60"/>
      <c r="F35" s="60"/>
      <c r="G35" s="60"/>
      <c r="H35" s="61"/>
      <c r="I35" s="59"/>
      <c r="J35" s="60"/>
      <c r="K35" s="60"/>
      <c r="L35" s="60"/>
      <c r="M35" s="6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69"/>
      <c r="AE35" s="68"/>
      <c r="AF35" s="68"/>
      <c r="AG35" s="68"/>
      <c r="AH35" s="69"/>
      <c r="AI35" s="69"/>
      <c r="AJ35" s="69"/>
      <c r="AK35" s="69"/>
      <c r="AL35" s="69"/>
      <c r="AM35" s="69"/>
      <c r="AN35" s="69"/>
      <c r="AO35" s="69"/>
      <c r="AP35" s="69"/>
      <c r="AQ35" s="69"/>
    </row>
    <row r="36" spans="1:43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69"/>
      <c r="AE36" s="68"/>
      <c r="AF36" s="68"/>
      <c r="AG36" s="68"/>
      <c r="AH36" s="69"/>
      <c r="AI36" s="69"/>
      <c r="AJ36" s="69"/>
      <c r="AK36" s="69"/>
      <c r="AL36" s="69"/>
      <c r="AM36" s="69"/>
      <c r="AN36" s="69"/>
      <c r="AO36" s="69"/>
      <c r="AP36" s="69"/>
      <c r="AQ36" s="69"/>
    </row>
    <row r="37" spans="1:43" x14ac:dyDescent="0.25">
      <c r="A37" s="11"/>
      <c r="B37" s="59"/>
      <c r="C37" s="60"/>
      <c r="D37" s="60"/>
      <c r="E37" s="60"/>
      <c r="F37" s="60"/>
      <c r="G37" s="60"/>
      <c r="H37" s="61"/>
      <c r="I37" s="59"/>
      <c r="J37" s="60"/>
      <c r="K37" s="60"/>
      <c r="L37" s="60"/>
      <c r="M37" s="60"/>
      <c r="N37" s="61"/>
      <c r="O37" s="59"/>
      <c r="P37" s="60"/>
      <c r="Q37" s="60"/>
      <c r="R37" s="63"/>
      <c r="S37" s="60"/>
      <c r="T37" s="64"/>
      <c r="U37" s="65"/>
      <c r="V37" s="62"/>
      <c r="W37" s="62"/>
      <c r="X37" s="62"/>
      <c r="Y37" s="66"/>
      <c r="Z37" s="66"/>
      <c r="AA37" s="67"/>
      <c r="AB37" s="68"/>
      <c r="AC37" s="69"/>
      <c r="AD37" s="69"/>
      <c r="AE37" s="68"/>
      <c r="AF37" s="68"/>
      <c r="AG37" s="68"/>
      <c r="AH37" s="69"/>
      <c r="AI37" s="69"/>
      <c r="AJ37" s="69"/>
      <c r="AK37" s="69"/>
      <c r="AL37" s="69"/>
      <c r="AM37" s="69"/>
      <c r="AN37" s="69"/>
      <c r="AO37" s="69"/>
      <c r="AP37" s="69"/>
      <c r="AQ37" s="69"/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1132.194460336367</v>
      </c>
      <c r="D39" s="30">
        <f t="shared" si="0"/>
        <v>13167.194509553914</v>
      </c>
      <c r="E39" s="30">
        <f t="shared" si="0"/>
        <v>197.40234364320807</v>
      </c>
      <c r="F39" s="30">
        <f t="shared" si="0"/>
        <v>0</v>
      </c>
      <c r="G39" s="30">
        <f t="shared" si="0"/>
        <v>47093.399299875753</v>
      </c>
      <c r="H39" s="31">
        <f t="shared" si="0"/>
        <v>685.45917457441521</v>
      </c>
      <c r="I39" s="29">
        <f t="shared" si="0"/>
        <v>6713.7765335877621</v>
      </c>
      <c r="J39" s="30">
        <f t="shared" si="0"/>
        <v>14563.788837687172</v>
      </c>
      <c r="K39" s="30">
        <f t="shared" si="0"/>
        <v>752.76830041408402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38230.736717445143</v>
      </c>
      <c r="V39" s="264">
        <f t="shared" si="0"/>
        <v>11642.558835083948</v>
      </c>
      <c r="W39" s="264">
        <f t="shared" si="0"/>
        <v>647.02942903982341</v>
      </c>
      <c r="X39" s="264">
        <f t="shared" si="0"/>
        <v>197.04168995075673</v>
      </c>
      <c r="Y39" s="264">
        <f t="shared" si="0"/>
        <v>4517.0995443721349</v>
      </c>
      <c r="Z39" s="264">
        <f t="shared" si="0"/>
        <v>1375.7017249604387</v>
      </c>
      <c r="AA39" s="272">
        <f t="shared" si="0"/>
        <v>0</v>
      </c>
      <c r="AB39" s="275">
        <f t="shared" si="0"/>
        <v>1100.0697627147013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7627.575091489156</v>
      </c>
      <c r="AI39" s="275">
        <f t="shared" si="1"/>
        <v>25220.155826918282</v>
      </c>
      <c r="AJ39" s="275">
        <f t="shared" si="1"/>
        <v>85946.405812327066</v>
      </c>
      <c r="AK39" s="275">
        <f t="shared" si="1"/>
        <v>18467.896173254645</v>
      </c>
      <c r="AL39" s="275">
        <f t="shared" si="1"/>
        <v>71505.78243497212</v>
      </c>
      <c r="AM39" s="275">
        <f t="shared" si="1"/>
        <v>74780.40743611654</v>
      </c>
      <c r="AN39" s="275">
        <f t="shared" si="1"/>
        <v>20031.438878758749</v>
      </c>
      <c r="AO39" s="275">
        <f t="shared" si="1"/>
        <v>50736.129149119057</v>
      </c>
      <c r="AP39" s="275">
        <f t="shared" si="1"/>
        <v>10825.885977554322</v>
      </c>
      <c r="AQ39" s="275">
        <f t="shared" si="1"/>
        <v>19348.457425657904</v>
      </c>
    </row>
    <row r="40" spans="1:43" ht="15.75" thickBot="1" x14ac:dyDescent="0.3">
      <c r="A40" s="47" t="s">
        <v>174</v>
      </c>
      <c r="B40" s="32">
        <f>Projection!$AA$30</f>
        <v>0.80583665399999982</v>
      </c>
      <c r="C40" s="33">
        <f>Projection!$AA$28</f>
        <v>1.2134866799999999</v>
      </c>
      <c r="D40" s="33">
        <f>Projection!$AA$31</f>
        <v>2.3118479999999999</v>
      </c>
      <c r="E40" s="33">
        <f>Projection!$AA$26</f>
        <v>4.3368000000000002</v>
      </c>
      <c r="F40" s="33">
        <f>Projection!$AA$23</f>
        <v>0</v>
      </c>
      <c r="G40" s="33">
        <f>Projection!$AA$24</f>
        <v>5.7325000000000001E-2</v>
      </c>
      <c r="H40" s="34">
        <f>Projection!$AA$29</f>
        <v>3.6159737999999999</v>
      </c>
      <c r="I40" s="32">
        <f>Projection!$AA$30</f>
        <v>0.80583665399999982</v>
      </c>
      <c r="J40" s="33">
        <f>Projection!$AA$28</f>
        <v>1.2134866799999999</v>
      </c>
      <c r="K40" s="33">
        <f>Projection!$AA$26</f>
        <v>4.3368000000000002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1.2134866799999999</v>
      </c>
      <c r="T40" s="38">
        <f>Projection!$AA$28</f>
        <v>1.2134866799999999</v>
      </c>
      <c r="U40" s="26">
        <f>Projection!$AA$27</f>
        <v>0.23649999999999999</v>
      </c>
      <c r="V40" s="27">
        <f>Projection!$AA$27</f>
        <v>0.23649999999999999</v>
      </c>
      <c r="W40" s="27">
        <f>Projection!$AA$22</f>
        <v>1.1599999999999999</v>
      </c>
      <c r="X40" s="27">
        <f>Projection!$AA$22</f>
        <v>1.1599999999999999</v>
      </c>
      <c r="Y40" s="27">
        <f>Projection!$AA$31</f>
        <v>2.3118479999999999</v>
      </c>
      <c r="Z40" s="27">
        <f>Projection!$AA$31</f>
        <v>2.3118479999999999</v>
      </c>
      <c r="AA40" s="28">
        <v>0</v>
      </c>
      <c r="AB40" s="41">
        <f>Projection!$AA$27</f>
        <v>0.23649999999999999</v>
      </c>
      <c r="AC40" s="41">
        <f>Projection!$AA$30</f>
        <v>0.80583665399999982</v>
      </c>
      <c r="AD40" s="279">
        <f>SUM(AD8:AD38)</f>
        <v>344.64946224888178</v>
      </c>
      <c r="AE40" s="279">
        <f>SUM(AE8:AE38)</f>
        <v>260.3213876098207</v>
      </c>
      <c r="AF40" s="279">
        <f>SUM(AF8:AF38)</f>
        <v>79.265850260580933</v>
      </c>
      <c r="AG40" s="279">
        <v>0.5</v>
      </c>
      <c r="AH40" s="315">
        <v>0.08</v>
      </c>
      <c r="AI40" s="315">
        <f t="shared" ref="AI40:AQ40" si="2">$AH$40</f>
        <v>0.08</v>
      </c>
      <c r="AJ40" s="315">
        <f t="shared" si="2"/>
        <v>0.08</v>
      </c>
      <c r="AK40" s="315">
        <f t="shared" si="2"/>
        <v>0.08</v>
      </c>
      <c r="AL40" s="315">
        <f t="shared" si="2"/>
        <v>0.08</v>
      </c>
      <c r="AM40" s="315">
        <f t="shared" si="2"/>
        <v>0.08</v>
      </c>
      <c r="AN40" s="315">
        <f t="shared" si="2"/>
        <v>0.08</v>
      </c>
      <c r="AO40" s="315">
        <f t="shared" si="2"/>
        <v>0.08</v>
      </c>
      <c r="AP40" s="315">
        <f t="shared" si="2"/>
        <v>0.08</v>
      </c>
      <c r="AQ40" s="315">
        <f t="shared" si="2"/>
        <v>0.08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1373.9028967879697</v>
      </c>
      <c r="D41" s="36">
        <f t="shared" si="3"/>
        <v>30440.552292523196</v>
      </c>
      <c r="E41" s="36">
        <f t="shared" si="3"/>
        <v>856.09448391186481</v>
      </c>
      <c r="F41" s="36">
        <f t="shared" si="3"/>
        <v>0</v>
      </c>
      <c r="G41" s="36">
        <f t="shared" si="3"/>
        <v>2699.6291148653777</v>
      </c>
      <c r="H41" s="37">
        <f t="shared" si="3"/>
        <v>2478.6024162307117</v>
      </c>
      <c r="I41" s="35">
        <f t="shared" si="3"/>
        <v>5410.20721753008</v>
      </c>
      <c r="J41" s="36">
        <f t="shared" si="3"/>
        <v>17672.963764866065</v>
      </c>
      <c r="K41" s="36">
        <f t="shared" si="3"/>
        <v>3264.6055652357995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9041.5692336757766</v>
      </c>
      <c r="V41" s="270">
        <f t="shared" si="3"/>
        <v>2753.4651644973537</v>
      </c>
      <c r="W41" s="270">
        <f t="shared" si="3"/>
        <v>750.55413768619508</v>
      </c>
      <c r="X41" s="270">
        <f t="shared" si="3"/>
        <v>228.56836034287778</v>
      </c>
      <c r="Y41" s="270">
        <f t="shared" si="3"/>
        <v>10442.847547457632</v>
      </c>
      <c r="Z41" s="270">
        <f t="shared" si="3"/>
        <v>3180.4132814463401</v>
      </c>
      <c r="AA41" s="274">
        <f t="shared" si="3"/>
        <v>0</v>
      </c>
      <c r="AB41" s="277">
        <f t="shared" si="3"/>
        <v>260.16649888202681</v>
      </c>
      <c r="AC41" s="277">
        <f t="shared" si="3"/>
        <v>0</v>
      </c>
      <c r="AH41" s="280">
        <f t="shared" ref="AH41:AQ41" si="4">AH40*AH39</f>
        <v>610.20600731913248</v>
      </c>
      <c r="AI41" s="280">
        <f t="shared" si="4"/>
        <v>2017.6124661534627</v>
      </c>
      <c r="AJ41" s="280">
        <f t="shared" si="4"/>
        <v>6875.7124649861653</v>
      </c>
      <c r="AK41" s="280">
        <f t="shared" si="4"/>
        <v>1477.4316938603715</v>
      </c>
      <c r="AL41" s="280">
        <f t="shared" si="4"/>
        <v>5720.4625947977693</v>
      </c>
      <c r="AM41" s="280">
        <f t="shared" si="4"/>
        <v>5982.4325948893229</v>
      </c>
      <c r="AN41" s="280">
        <f t="shared" si="4"/>
        <v>1602.5151103006999</v>
      </c>
      <c r="AO41" s="280">
        <f t="shared" si="4"/>
        <v>4058.8903319295246</v>
      </c>
      <c r="AP41" s="280">
        <f t="shared" si="4"/>
        <v>866.07087820434583</v>
      </c>
      <c r="AQ41" s="280">
        <f t="shared" si="4"/>
        <v>1547.8765940526323</v>
      </c>
    </row>
    <row r="42" spans="1:43" ht="49.5" customHeight="1" thickTop="1" thickBot="1" x14ac:dyDescent="0.3">
      <c r="A42" s="561" t="s">
        <v>224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1075.3699999999999</v>
      </c>
      <c r="AI42" s="280" t="s">
        <v>199</v>
      </c>
      <c r="AJ42" s="280">
        <v>3446.95</v>
      </c>
      <c r="AK42" s="280">
        <v>1172.07</v>
      </c>
      <c r="AL42" s="280">
        <v>1706.28</v>
      </c>
      <c r="AM42" s="280">
        <v>8298.6200000000008</v>
      </c>
      <c r="AN42" s="280">
        <v>2101.1799999999998</v>
      </c>
      <c r="AO42" s="280" t="s">
        <v>199</v>
      </c>
      <c r="AP42" s="280">
        <v>212.92</v>
      </c>
      <c r="AQ42" s="280">
        <v>690.25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90854.141975939245</v>
      </c>
      <c r="C44" s="12"/>
      <c r="D44" s="284" t="s">
        <v>135</v>
      </c>
      <c r="E44" s="285">
        <f>SUM(B41:H41)+P41+R41+T41+V41+X41+Z41</f>
        <v>44011.228010605693</v>
      </c>
      <c r="F44" s="12"/>
      <c r="G44" s="284" t="s">
        <v>135</v>
      </c>
      <c r="H44" s="285">
        <f>SUM(I41:N41)+O41+Q41+S41+U41+W41+Y41</f>
        <v>46582.747466451547</v>
      </c>
      <c r="I44" s="12"/>
      <c r="J44" s="284" t="s">
        <v>200</v>
      </c>
      <c r="K44" s="285">
        <v>115981.28</v>
      </c>
      <c r="L44" s="12"/>
      <c r="M44" s="12"/>
      <c r="N44" s="12"/>
      <c r="O44" s="12"/>
      <c r="P44" s="12"/>
      <c r="Q44" s="12"/>
      <c r="R44" s="309" t="s">
        <v>135</v>
      </c>
      <c r="S44" s="310"/>
      <c r="T44" s="307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30759.210736493431</v>
      </c>
      <c r="C45" s="12"/>
      <c r="D45" s="286" t="s">
        <v>185</v>
      </c>
      <c r="E45" s="287">
        <f>AH41*(1-$AG$40)+AI41+AJ41*0.5+AL41+AM41*(1-$AG$40)+AN41*(1-$AG$40)+AO41*(1-$AG$40)+AP41*0.5+AQ41*0.5</f>
        <v>18509.927051792147</v>
      </c>
      <c r="F45" s="24"/>
      <c r="G45" s="286" t="s">
        <v>185</v>
      </c>
      <c r="H45" s="287">
        <f>AH41*AG40+AJ41*0.5+AK41+AM41*AG40+AN41*AG40+AO41*AG40+AP41*0.5+AQ41*0.5</f>
        <v>12249.283684701284</v>
      </c>
      <c r="I45" s="12"/>
      <c r="J45" s="12"/>
      <c r="K45" s="290"/>
      <c r="L45" s="12"/>
      <c r="M45" s="12"/>
      <c r="N45" s="12"/>
      <c r="O45" s="12"/>
      <c r="P45" s="12"/>
      <c r="Q45" s="12"/>
      <c r="R45" s="311" t="s">
        <v>141</v>
      </c>
      <c r="S45" s="312"/>
      <c r="T45" s="256">
        <f>$W$39+$X$39</f>
        <v>844.07111899058009</v>
      </c>
      <c r="U45" s="258">
        <f>(T45*8.34*0.895)/27000</f>
        <v>0.23334815012894025</v>
      </c>
    </row>
    <row r="46" spans="1:43" ht="32.25" thickBot="1" x14ac:dyDescent="0.3">
      <c r="A46" s="288" t="s">
        <v>186</v>
      </c>
      <c r="B46" s="289">
        <f>SUM(AH42:AQ42)</f>
        <v>18703.64</v>
      </c>
      <c r="C46" s="12"/>
      <c r="D46" s="288" t="s">
        <v>186</v>
      </c>
      <c r="E46" s="289">
        <f>AH42*(1-$AG$40)+AJ42*0.5+AL42+AM42*(1-$AG$40)+AN42*(1-$AG$40)+AP42*0.5+AQ42*0.5</f>
        <v>9618.9249999999993</v>
      </c>
      <c r="F46" s="23"/>
      <c r="G46" s="288" t="s">
        <v>186</v>
      </c>
      <c r="H46" s="289">
        <f>AH42*AG40+AJ42*0.5+AK42+AM42*AG40+AN42*AG40+AP42*0.5+AQ42*0.5</f>
        <v>9084.7149999999983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11" t="s">
        <v>145</v>
      </c>
      <c r="S46" s="312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115981.28</v>
      </c>
      <c r="C47" s="12"/>
      <c r="D47" s="288" t="s">
        <v>189</v>
      </c>
      <c r="E47" s="289">
        <f>K44*0.5</f>
        <v>57990.64</v>
      </c>
      <c r="F47" s="24"/>
      <c r="G47" s="288" t="s">
        <v>187</v>
      </c>
      <c r="H47" s="289">
        <f>K44*0.5</f>
        <v>57990.64</v>
      </c>
      <c r="I47" s="12"/>
      <c r="J47" s="284" t="s">
        <v>200</v>
      </c>
      <c r="K47" s="285">
        <v>30883.85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56">
        <f>$G$39</f>
        <v>47093.399299875753</v>
      </c>
      <c r="U47" s="258">
        <f>T47/40000</f>
        <v>1.1773349824968937</v>
      </c>
    </row>
    <row r="48" spans="1:43" ht="24" thickBot="1" x14ac:dyDescent="0.3">
      <c r="A48" s="288" t="s">
        <v>188</v>
      </c>
      <c r="B48" s="289">
        <f>K47</f>
        <v>30883.85</v>
      </c>
      <c r="C48" s="12"/>
      <c r="D48" s="288" t="s">
        <v>188</v>
      </c>
      <c r="E48" s="289">
        <f>K47*0.5</f>
        <v>15441.924999999999</v>
      </c>
      <c r="F48" s="23"/>
      <c r="G48" s="288" t="s">
        <v>188</v>
      </c>
      <c r="H48" s="289">
        <f>K47*0.5</f>
        <v>15441.924999999999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344.64946224888178</v>
      </c>
      <c r="C49" s="12"/>
      <c r="D49" s="293" t="s">
        <v>197</v>
      </c>
      <c r="E49" s="294">
        <f>AF40</f>
        <v>79.265850260580933</v>
      </c>
      <c r="F49" s="23"/>
      <c r="G49" s="293" t="s">
        <v>198</v>
      </c>
      <c r="H49" s="294">
        <f>AE40</f>
        <v>260.3213876098207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56">
        <f>$E$39+$K$39</f>
        <v>950.17064405729207</v>
      </c>
      <c r="U49" s="258">
        <f>(T49*8.34*1.04)/45000</f>
        <v>0.18314222440656289</v>
      </c>
    </row>
    <row r="50" spans="1:25" ht="48" thickTop="1" thickBot="1" x14ac:dyDescent="0.3">
      <c r="A50" s="293" t="s">
        <v>192</v>
      </c>
      <c r="B50" s="295">
        <f>(SUM(B44:B48)/AD40)</f>
        <v>833.25858348518136</v>
      </c>
      <c r="C50" s="12"/>
      <c r="D50" s="293" t="s">
        <v>190</v>
      </c>
      <c r="E50" s="295">
        <f>SUM(E44:E48)/AF40</f>
        <v>1836.5114937118312</v>
      </c>
      <c r="F50" s="23"/>
      <c r="G50" s="293" t="s">
        <v>191</v>
      </c>
      <c r="H50" s="295">
        <f>SUM(H44:H48)/AE40</f>
        <v>542.98001577577782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56">
        <f>$U$39+$V$39+$AB$39</f>
        <v>50973.365315243791</v>
      </c>
      <c r="U50" s="258">
        <f>T50/2000/8</f>
        <v>3.1858353322027368</v>
      </c>
    </row>
    <row r="51" spans="1:25" ht="47.25" customHeight="1" thickTop="1" thickBot="1" x14ac:dyDescent="0.3">
      <c r="A51" s="283" t="s">
        <v>193</v>
      </c>
      <c r="B51" s="296">
        <f>B50/1000</f>
        <v>0.83325858348518134</v>
      </c>
      <c r="C51" s="12"/>
      <c r="D51" s="283" t="s">
        <v>194</v>
      </c>
      <c r="E51" s="296">
        <f>E50/1000</f>
        <v>1.8365114937118312</v>
      </c>
      <c r="F51" s="12"/>
      <c r="G51" s="283" t="s">
        <v>195</v>
      </c>
      <c r="H51" s="296">
        <f>H50/1000</f>
        <v>0.54298001577577781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56">
        <f>$C$39+$J$39+$S$39+$T$39</f>
        <v>15695.983298023539</v>
      </c>
      <c r="U51" s="258">
        <f>(T51*8.34*1.4)/45000</f>
        <v>4.07258446639384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56">
        <f>$H$39</f>
        <v>685.45917457441521</v>
      </c>
      <c r="U52" s="258">
        <f>(T52*8.34*1.135)/45000</f>
        <v>0.14418862223564349</v>
      </c>
    </row>
    <row r="53" spans="1:25" ht="48" customHeight="1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56">
        <f>$B$39+$I$39+$AC$39</f>
        <v>6713.7765335877621</v>
      </c>
      <c r="U53" s="258">
        <f>(T53*8.34*1.029*0.03)/3300</f>
        <v>0.52378809347759514</v>
      </c>
    </row>
    <row r="54" spans="1:25" ht="42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19059.995778886489</v>
      </c>
      <c r="U54" s="261">
        <f>(T54*1.54*8.34)/45000</f>
        <v>5.4399769285712551</v>
      </c>
    </row>
    <row r="55" spans="1:25" ht="24" thickTop="1" x14ac:dyDescent="0.25">
      <c r="A55" s="588"/>
      <c r="B55" s="58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0"/>
      <c r="B56" s="59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6"/>
      <c r="B57" s="58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7"/>
      <c r="B58" s="58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6"/>
      <c r="B59" s="58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7"/>
      <c r="B60" s="587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password="A25B" sheet="1" objects="1" scenarios="1" selectLockedCells="1" selectUnlockedCells="1"/>
  <mergeCells count="34">
    <mergeCell ref="A57:B58"/>
    <mergeCell ref="A59:B60"/>
    <mergeCell ref="A55:B55"/>
    <mergeCell ref="A56:B56"/>
    <mergeCell ref="AB4:AB5"/>
    <mergeCell ref="A53:E53"/>
    <mergeCell ref="A54:E54"/>
    <mergeCell ref="R54:S54"/>
    <mergeCell ref="U4:AA5"/>
    <mergeCell ref="AC4:AC5"/>
    <mergeCell ref="J43:K43"/>
    <mergeCell ref="J46:K46"/>
    <mergeCell ref="A42:K42"/>
    <mergeCell ref="AN4:AN5"/>
    <mergeCell ref="R43:U43"/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zoomScale="75" zoomScaleNormal="75" workbookViewId="0">
      <selection activeCell="AH42" sqref="AH42:AQ42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47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42064</v>
      </c>
      <c r="B8" s="49"/>
      <c r="C8" s="50">
        <v>41.722179849942599</v>
      </c>
      <c r="D8" s="50">
        <v>487.34272378285698</v>
      </c>
      <c r="E8" s="50">
        <v>7.1988012989361909</v>
      </c>
      <c r="F8" s="50">
        <v>0</v>
      </c>
      <c r="G8" s="50">
        <v>1964.844072850537</v>
      </c>
      <c r="H8" s="51">
        <v>22.389900386333426</v>
      </c>
      <c r="I8" s="49">
        <v>249.67341106732661</v>
      </c>
      <c r="J8" s="50">
        <v>546.84596122105791</v>
      </c>
      <c r="K8" s="50">
        <v>28.088288497924694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1407.1124124298594</v>
      </c>
      <c r="V8" s="54">
        <v>432.92610069017678</v>
      </c>
      <c r="W8" s="54">
        <v>23.627774341411055</v>
      </c>
      <c r="X8" s="54">
        <v>7.2695543890132432</v>
      </c>
      <c r="Y8" s="54">
        <v>168.78013436051393</v>
      </c>
      <c r="Z8" s="54">
        <v>51.928562918780813</v>
      </c>
      <c r="AA8" s="55">
        <v>0</v>
      </c>
      <c r="AB8" s="56">
        <v>41.501164354218915</v>
      </c>
      <c r="AC8" s="57">
        <v>0</v>
      </c>
      <c r="AD8" s="57">
        <v>12.980832467476541</v>
      </c>
      <c r="AE8" s="58">
        <v>9.7495383309081998</v>
      </c>
      <c r="AF8" s="58">
        <v>2.9996392440606798</v>
      </c>
      <c r="AG8" s="58">
        <v>0.76471900038869756</v>
      </c>
      <c r="AH8" s="57">
        <v>329.6363198836645</v>
      </c>
      <c r="AI8" s="57">
        <v>999.2296022415162</v>
      </c>
      <c r="AJ8" s="57">
        <v>3155.4555957794187</v>
      </c>
      <c r="AK8" s="57">
        <v>732.86664368311563</v>
      </c>
      <c r="AL8" s="57">
        <v>2869.9625830332443</v>
      </c>
      <c r="AM8" s="57">
        <v>2839.4405953725181</v>
      </c>
      <c r="AN8" s="57">
        <v>755.47242018381758</v>
      </c>
      <c r="AO8" s="57">
        <v>1845.2486679077149</v>
      </c>
      <c r="AP8" s="57">
        <v>420.31867818832393</v>
      </c>
      <c r="AQ8" s="57">
        <v>706.9589755694069</v>
      </c>
    </row>
    <row r="9" spans="1:47" x14ac:dyDescent="0.25">
      <c r="A9" s="11">
        <v>42065</v>
      </c>
      <c r="B9" s="59"/>
      <c r="C9" s="60">
        <v>42.100370079278832</v>
      </c>
      <c r="D9" s="60">
        <v>488.21032457351652</v>
      </c>
      <c r="E9" s="60">
        <v>7.2143645957112126</v>
      </c>
      <c r="F9" s="60">
        <v>0</v>
      </c>
      <c r="G9" s="60">
        <v>1964.3239351908312</v>
      </c>
      <c r="H9" s="61">
        <v>22.445012232661249</v>
      </c>
      <c r="I9" s="59">
        <v>249.75889361699407</v>
      </c>
      <c r="J9" s="60">
        <v>546.79129908879588</v>
      </c>
      <c r="K9" s="60">
        <v>28.131502234935681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1424.9865168285003</v>
      </c>
      <c r="V9" s="62">
        <v>405.00037176030628</v>
      </c>
      <c r="W9" s="62">
        <v>22.693153954538008</v>
      </c>
      <c r="X9" s="62">
        <v>6.4497001757300696</v>
      </c>
      <c r="Y9" s="66">
        <v>165.24937315188006</v>
      </c>
      <c r="Z9" s="66">
        <v>46.966098815181759</v>
      </c>
      <c r="AA9" s="67">
        <v>0</v>
      </c>
      <c r="AB9" s="68">
        <v>41.502278762393757</v>
      </c>
      <c r="AC9" s="69">
        <v>0</v>
      </c>
      <c r="AD9" s="69">
        <v>12.471653274695109</v>
      </c>
      <c r="AE9" s="68">
        <v>9.5328403177667411</v>
      </c>
      <c r="AF9" s="68">
        <v>2.7093616866073282</v>
      </c>
      <c r="AG9" s="68">
        <v>0.77868673579807879</v>
      </c>
      <c r="AH9" s="69">
        <v>298.0937632878622</v>
      </c>
      <c r="AI9" s="69">
        <v>951.53513202667227</v>
      </c>
      <c r="AJ9" s="69">
        <v>3115.8149073282875</v>
      </c>
      <c r="AK9" s="69">
        <v>712.41460059483848</v>
      </c>
      <c r="AL9" s="69">
        <v>2916.6639364878329</v>
      </c>
      <c r="AM9" s="69">
        <v>2904.0831073760992</v>
      </c>
      <c r="AN9" s="69">
        <v>727.6185149828591</v>
      </c>
      <c r="AO9" s="69">
        <v>1916.9139208475749</v>
      </c>
      <c r="AP9" s="69">
        <v>433.90625925064086</v>
      </c>
      <c r="AQ9" s="69">
        <v>686.75341253280635</v>
      </c>
    </row>
    <row r="10" spans="1:47" x14ac:dyDescent="0.25">
      <c r="A10" s="11">
        <v>42066</v>
      </c>
      <c r="B10" s="59"/>
      <c r="C10" s="60">
        <v>41.787639458974255</v>
      </c>
      <c r="D10" s="60">
        <v>487.25882994333892</v>
      </c>
      <c r="E10" s="60">
        <v>7.1577421128749767</v>
      </c>
      <c r="F10" s="60">
        <v>0</v>
      </c>
      <c r="G10" s="60">
        <v>1940.7270500183095</v>
      </c>
      <c r="H10" s="61">
        <v>21.574476857980088</v>
      </c>
      <c r="I10" s="59">
        <v>249.90789995193467</v>
      </c>
      <c r="J10" s="60">
        <v>547.00155935287353</v>
      </c>
      <c r="K10" s="60">
        <v>28.319904611507944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1410.1825262497152</v>
      </c>
      <c r="V10" s="62">
        <v>433.86779511732811</v>
      </c>
      <c r="W10" s="62">
        <v>23.146858396944548</v>
      </c>
      <c r="X10" s="62">
        <v>7.1215436510074772</v>
      </c>
      <c r="Y10" s="66">
        <v>169.32982908078213</v>
      </c>
      <c r="Z10" s="66">
        <v>52.097340750812471</v>
      </c>
      <c r="AA10" s="67">
        <v>0</v>
      </c>
      <c r="AB10" s="68">
        <v>41.504511311319433</v>
      </c>
      <c r="AC10" s="69">
        <v>0</v>
      </c>
      <c r="AD10" s="69">
        <v>12.981187241607277</v>
      </c>
      <c r="AE10" s="68">
        <v>9.7494727698610575</v>
      </c>
      <c r="AF10" s="68">
        <v>2.9995991125102068</v>
      </c>
      <c r="AG10" s="68">
        <v>0.76472019765941612</v>
      </c>
      <c r="AH10" s="69">
        <v>311.25614990393325</v>
      </c>
      <c r="AI10" s="69">
        <v>988.2321385701498</v>
      </c>
      <c r="AJ10" s="69">
        <v>3175.5043847401939</v>
      </c>
      <c r="AK10" s="69">
        <v>736.09984436035154</v>
      </c>
      <c r="AL10" s="69">
        <v>3123.0310569763192</v>
      </c>
      <c r="AM10" s="69">
        <v>2887.493103408814</v>
      </c>
      <c r="AN10" s="69">
        <v>720.09216486612934</v>
      </c>
      <c r="AO10" s="69">
        <v>1860.3216560363769</v>
      </c>
      <c r="AP10" s="69">
        <v>439.76529579162604</v>
      </c>
      <c r="AQ10" s="69">
        <v>724.37343533833825</v>
      </c>
    </row>
    <row r="11" spans="1:47" x14ac:dyDescent="0.25">
      <c r="A11" s="11">
        <v>42067</v>
      </c>
      <c r="B11" s="59"/>
      <c r="C11" s="60">
        <v>41.305189232031708</v>
      </c>
      <c r="D11" s="60">
        <v>487.20115089416578</v>
      </c>
      <c r="E11" s="60">
        <v>7.1223760445912552</v>
      </c>
      <c r="F11" s="60">
        <v>0</v>
      </c>
      <c r="G11" s="60">
        <v>1871.6215482075968</v>
      </c>
      <c r="H11" s="61">
        <v>20.581072742740346</v>
      </c>
      <c r="I11" s="59">
        <v>249.75059143702151</v>
      </c>
      <c r="J11" s="60">
        <v>547.05896104176691</v>
      </c>
      <c r="K11" s="60">
        <v>28.00816416740409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408.65288318570282</v>
      </c>
      <c r="V11" s="62">
        <v>125.73951361402221</v>
      </c>
      <c r="W11" s="62">
        <v>24.455884490442958</v>
      </c>
      <c r="X11" s="62">
        <v>7.5248974064661436</v>
      </c>
      <c r="Y11" s="66">
        <v>168.85260465671422</v>
      </c>
      <c r="Z11" s="66">
        <v>51.954715739391695</v>
      </c>
      <c r="AA11" s="67">
        <v>0</v>
      </c>
      <c r="AB11" s="68">
        <v>41.500696320004252</v>
      </c>
      <c r="AC11" s="69">
        <v>0</v>
      </c>
      <c r="AD11" s="69">
        <v>12.980342829889715</v>
      </c>
      <c r="AE11" s="68">
        <v>9.7497820229387262</v>
      </c>
      <c r="AF11" s="68">
        <v>2.9999368653663856</v>
      </c>
      <c r="AG11" s="68">
        <v>0.76470564632463178</v>
      </c>
      <c r="AH11" s="69">
        <v>336.43683465321863</v>
      </c>
      <c r="AI11" s="69">
        <v>1066.4629507700602</v>
      </c>
      <c r="AJ11" s="69">
        <v>3203.4848171234134</v>
      </c>
      <c r="AK11" s="69">
        <v>765.20595750808707</v>
      </c>
      <c r="AL11" s="69">
        <v>3243.3723595937095</v>
      </c>
      <c r="AM11" s="69">
        <v>2913.5458374023437</v>
      </c>
      <c r="AN11" s="69">
        <v>746.18301283518474</v>
      </c>
      <c r="AO11" s="69">
        <v>1856.1307318369547</v>
      </c>
      <c r="AP11" s="69">
        <v>438.91454245249423</v>
      </c>
      <c r="AQ11" s="69">
        <v>709.1413649876913</v>
      </c>
    </row>
    <row r="12" spans="1:47" x14ac:dyDescent="0.25">
      <c r="A12" s="11">
        <v>42068</v>
      </c>
      <c r="B12" s="59"/>
      <c r="C12" s="60">
        <v>41.631184418996028</v>
      </c>
      <c r="D12" s="60">
        <v>487.21463031768906</v>
      </c>
      <c r="E12" s="60">
        <v>7.1127786735693528</v>
      </c>
      <c r="F12" s="60">
        <v>0</v>
      </c>
      <c r="G12" s="60">
        <v>1849.1586392720531</v>
      </c>
      <c r="H12" s="61">
        <v>20.533969203631077</v>
      </c>
      <c r="I12" s="59">
        <v>249.64023801485675</v>
      </c>
      <c r="J12" s="60">
        <v>529.39796829223667</v>
      </c>
      <c r="K12" s="60">
        <v>27.921148097515065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266.34819188845455</v>
      </c>
      <c r="V12" s="62">
        <v>81.965437706980964</v>
      </c>
      <c r="W12" s="62">
        <v>24.339389251964246</v>
      </c>
      <c r="X12" s="62">
        <v>7.4901529438327472</v>
      </c>
      <c r="Y12" s="66">
        <v>168.92936319781288</v>
      </c>
      <c r="Z12" s="66">
        <v>51.985970311632869</v>
      </c>
      <c r="AA12" s="67">
        <v>0</v>
      </c>
      <c r="AB12" s="68">
        <v>41.501505854395297</v>
      </c>
      <c r="AC12" s="69">
        <v>0</v>
      </c>
      <c r="AD12" s="69">
        <v>12.977928837802684</v>
      </c>
      <c r="AE12" s="68">
        <v>9.7498943696900966</v>
      </c>
      <c r="AF12" s="68">
        <v>3.0004121820476275</v>
      </c>
      <c r="AG12" s="68">
        <v>0.76467921223127733</v>
      </c>
      <c r="AH12" s="69">
        <v>303.75987616380053</v>
      </c>
      <c r="AI12" s="69">
        <v>1029.7094746907551</v>
      </c>
      <c r="AJ12" s="69">
        <v>3197.816785558065</v>
      </c>
      <c r="AK12" s="69">
        <v>724.08651475906379</v>
      </c>
      <c r="AL12" s="69">
        <v>3171.6250553131099</v>
      </c>
      <c r="AM12" s="69">
        <v>2880.3710993448899</v>
      </c>
      <c r="AN12" s="69">
        <v>713.77050561904923</v>
      </c>
      <c r="AO12" s="69">
        <v>1852.286271286011</v>
      </c>
      <c r="AP12" s="69">
        <v>437.05145146052041</v>
      </c>
      <c r="AQ12" s="69">
        <v>706.15993941624959</v>
      </c>
    </row>
    <row r="13" spans="1:47" x14ac:dyDescent="0.25">
      <c r="A13" s="11">
        <v>42069</v>
      </c>
      <c r="B13" s="59"/>
      <c r="C13" s="60">
        <v>41.530448446671365</v>
      </c>
      <c r="D13" s="60">
        <v>487.25059181849099</v>
      </c>
      <c r="E13" s="60">
        <v>7.1520757650335591</v>
      </c>
      <c r="F13" s="60">
        <v>0</v>
      </c>
      <c r="G13" s="60">
        <v>1848.6528054555201</v>
      </c>
      <c r="H13" s="61">
        <v>20.522340262929596</v>
      </c>
      <c r="I13" s="59">
        <v>238.85202320416747</v>
      </c>
      <c r="J13" s="60">
        <v>507.80633681615228</v>
      </c>
      <c r="K13" s="60">
        <v>28.027629814545207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250.07318116950418</v>
      </c>
      <c r="V13" s="62">
        <v>79.724934825691847</v>
      </c>
      <c r="W13" s="62">
        <v>22.561121010448382</v>
      </c>
      <c r="X13" s="62">
        <v>7.1926301482659314</v>
      </c>
      <c r="Y13" s="66">
        <v>158.6356508770065</v>
      </c>
      <c r="Z13" s="66">
        <v>50.574063432367957</v>
      </c>
      <c r="AA13" s="67">
        <v>0</v>
      </c>
      <c r="AB13" s="68">
        <v>41.356560789213887</v>
      </c>
      <c r="AC13" s="69">
        <v>0</v>
      </c>
      <c r="AD13" s="69">
        <v>12.293789839413451</v>
      </c>
      <c r="AE13" s="68">
        <v>9.1821028067342461</v>
      </c>
      <c r="AF13" s="68">
        <v>2.9273132944771785</v>
      </c>
      <c r="AG13" s="68">
        <v>0.75826140005344012</v>
      </c>
      <c r="AH13" s="69">
        <v>270.95335546334582</v>
      </c>
      <c r="AI13" s="69">
        <v>977.94262256622324</v>
      </c>
      <c r="AJ13" s="69">
        <v>3155.7969250996907</v>
      </c>
      <c r="AK13" s="69">
        <v>678.48855145772302</v>
      </c>
      <c r="AL13" s="69">
        <v>3038.563896687825</v>
      </c>
      <c r="AM13" s="69">
        <v>2887.7295056660969</v>
      </c>
      <c r="AN13" s="69">
        <v>669.82053327560413</v>
      </c>
      <c r="AO13" s="69">
        <v>1847.2517005920411</v>
      </c>
      <c r="AP13" s="69">
        <v>427.81763216654463</v>
      </c>
      <c r="AQ13" s="69">
        <v>668.45433104832944</v>
      </c>
    </row>
    <row r="14" spans="1:47" x14ac:dyDescent="0.25">
      <c r="A14" s="11">
        <v>42070</v>
      </c>
      <c r="B14" s="59"/>
      <c r="C14" s="60">
        <v>41.499270896116776</v>
      </c>
      <c r="D14" s="60">
        <v>487.1268330891927</v>
      </c>
      <c r="E14" s="60">
        <v>7.1663209944963366</v>
      </c>
      <c r="F14" s="60">
        <v>0</v>
      </c>
      <c r="G14" s="60">
        <v>1848.1364203135045</v>
      </c>
      <c r="H14" s="61">
        <v>20.48627689480783</v>
      </c>
      <c r="I14" s="59">
        <v>234.3897419293717</v>
      </c>
      <c r="J14" s="60">
        <v>505.90663798650127</v>
      </c>
      <c r="K14" s="60">
        <v>27.797096536556758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265.39027658755947</v>
      </c>
      <c r="V14" s="62">
        <v>81.680461124029733</v>
      </c>
      <c r="W14" s="62">
        <v>23.915990726526744</v>
      </c>
      <c r="X14" s="62">
        <v>7.3607412294783927</v>
      </c>
      <c r="Y14" s="66">
        <v>167.99994791350787</v>
      </c>
      <c r="Z14" s="66">
        <v>51.70616418518609</v>
      </c>
      <c r="AA14" s="67">
        <v>0</v>
      </c>
      <c r="AB14" s="68">
        <v>41.473528395759374</v>
      </c>
      <c r="AC14" s="69">
        <v>0</v>
      </c>
      <c r="AD14" s="69">
        <v>12.890381903118556</v>
      </c>
      <c r="AE14" s="68">
        <v>9.7493731330565545</v>
      </c>
      <c r="AF14" s="68">
        <v>3.0006121679275397</v>
      </c>
      <c r="AG14" s="68">
        <v>0.76465759786437248</v>
      </c>
      <c r="AH14" s="69">
        <v>255.59552106062571</v>
      </c>
      <c r="AI14" s="69">
        <v>941.06219844818122</v>
      </c>
      <c r="AJ14" s="69">
        <v>3174.1445649464931</v>
      </c>
      <c r="AK14" s="69">
        <v>669.13263276418036</v>
      </c>
      <c r="AL14" s="69">
        <v>2982.3066771189374</v>
      </c>
      <c r="AM14" s="69">
        <v>2812.9209555308021</v>
      </c>
      <c r="AN14" s="69">
        <v>665.88510974248243</v>
      </c>
      <c r="AO14" s="69">
        <v>1874.3446650187175</v>
      </c>
      <c r="AP14" s="69">
        <v>421.70259033838909</v>
      </c>
      <c r="AQ14" s="69">
        <v>618.43794075647997</v>
      </c>
    </row>
    <row r="15" spans="1:47" x14ac:dyDescent="0.25">
      <c r="A15" s="11">
        <v>42071</v>
      </c>
      <c r="B15" s="59"/>
      <c r="C15" s="60">
        <v>42.115348329146663</v>
      </c>
      <c r="D15" s="60">
        <v>488.36778424580882</v>
      </c>
      <c r="E15" s="60">
        <v>7.1672412231564318</v>
      </c>
      <c r="F15" s="60">
        <v>0</v>
      </c>
      <c r="G15" s="60">
        <v>1850.9443851470878</v>
      </c>
      <c r="H15" s="61">
        <v>20.598176345229156</v>
      </c>
      <c r="I15" s="59">
        <v>237.07680306434577</v>
      </c>
      <c r="J15" s="60">
        <v>511.35626471837486</v>
      </c>
      <c r="K15" s="60">
        <v>28.037318084637175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262.91574972887929</v>
      </c>
      <c r="V15" s="62">
        <v>74.681625992519372</v>
      </c>
      <c r="W15" s="62">
        <v>24.01531240042199</v>
      </c>
      <c r="X15" s="62">
        <v>6.8215866893911876</v>
      </c>
      <c r="Y15" s="66">
        <v>165.8859088869512</v>
      </c>
      <c r="Z15" s="66">
        <v>47.12014939272251</v>
      </c>
      <c r="AA15" s="67">
        <v>0</v>
      </c>
      <c r="AB15" s="68">
        <v>41.601995767487296</v>
      </c>
      <c r="AC15" s="69">
        <v>0</v>
      </c>
      <c r="AD15" s="69">
        <v>12.514995965692734</v>
      </c>
      <c r="AE15" s="68">
        <v>9.6309396240976373</v>
      </c>
      <c r="AF15" s="68">
        <v>2.7356833194857875</v>
      </c>
      <c r="AG15" s="68">
        <v>0.77878493328647735</v>
      </c>
      <c r="AH15" s="69">
        <v>258.139547753334</v>
      </c>
      <c r="AI15" s="69">
        <v>940.40950234731031</v>
      </c>
      <c r="AJ15" s="69">
        <v>3153.0121891021736</v>
      </c>
      <c r="AK15" s="69">
        <v>674.90608956019094</v>
      </c>
      <c r="AL15" s="69">
        <v>3001.6576867421468</v>
      </c>
      <c r="AM15" s="69">
        <v>2827.9363540649406</v>
      </c>
      <c r="AN15" s="69">
        <v>673.36319735844938</v>
      </c>
      <c r="AO15" s="69">
        <v>1909.2327883402506</v>
      </c>
      <c r="AP15" s="69">
        <v>417.70182971954353</v>
      </c>
      <c r="AQ15" s="69">
        <v>642.46178576151522</v>
      </c>
    </row>
    <row r="16" spans="1:47" x14ac:dyDescent="0.25">
      <c r="A16" s="11">
        <v>42072</v>
      </c>
      <c r="B16" s="59"/>
      <c r="C16" s="60">
        <v>41.901109218597597</v>
      </c>
      <c r="D16" s="60">
        <v>487.47876542409216</v>
      </c>
      <c r="E16" s="60">
        <v>7.1667900780836575</v>
      </c>
      <c r="F16" s="60">
        <v>0</v>
      </c>
      <c r="G16" s="60">
        <v>1848.3654282887655</v>
      </c>
      <c r="H16" s="61">
        <v>20.629460488756465</v>
      </c>
      <c r="I16" s="59">
        <v>244.65415592193546</v>
      </c>
      <c r="J16" s="60">
        <v>528.18469333648682</v>
      </c>
      <c r="K16" s="60">
        <v>28.895927947759468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275.00137391392826</v>
      </c>
      <c r="V16" s="62">
        <v>80.879357986601718</v>
      </c>
      <c r="W16" s="62">
        <v>25.449069973862002</v>
      </c>
      <c r="X16" s="62">
        <v>7.4847060272734609</v>
      </c>
      <c r="Y16" s="66">
        <v>173.75227176892486</v>
      </c>
      <c r="Z16" s="66">
        <v>51.10146174681504</v>
      </c>
      <c r="AA16" s="67">
        <v>0</v>
      </c>
      <c r="AB16" s="68">
        <v>42.494666202861893</v>
      </c>
      <c r="AC16" s="69">
        <v>0</v>
      </c>
      <c r="AD16" s="69">
        <v>13.217865367730461</v>
      </c>
      <c r="AE16" s="68">
        <v>10.104285124184276</v>
      </c>
      <c r="AF16" s="68">
        <v>2.9717236758728904</v>
      </c>
      <c r="AG16" s="68">
        <v>0.77273465311067246</v>
      </c>
      <c r="AH16" s="69">
        <v>246.12365870475767</v>
      </c>
      <c r="AI16" s="69">
        <v>930.53196417490642</v>
      </c>
      <c r="AJ16" s="69">
        <v>3161.367939758301</v>
      </c>
      <c r="AK16" s="69">
        <v>668.05478903452547</v>
      </c>
      <c r="AL16" s="69">
        <v>2965.7651125590005</v>
      </c>
      <c r="AM16" s="69">
        <v>2859.4961399078361</v>
      </c>
      <c r="AN16" s="69">
        <v>669.00714391072597</v>
      </c>
      <c r="AO16" s="69">
        <v>1931.5162581125896</v>
      </c>
      <c r="AP16" s="69">
        <v>411.59459517796836</v>
      </c>
      <c r="AQ16" s="69">
        <v>662.6888289451598</v>
      </c>
    </row>
    <row r="17" spans="1:43" x14ac:dyDescent="0.25">
      <c r="A17" s="11">
        <v>42073</v>
      </c>
      <c r="B17" s="49"/>
      <c r="C17" s="50">
        <v>41.949262817700685</v>
      </c>
      <c r="D17" s="50">
        <v>487.6285820325225</v>
      </c>
      <c r="E17" s="50">
        <v>7.1755384281277488</v>
      </c>
      <c r="F17" s="50">
        <v>0</v>
      </c>
      <c r="G17" s="50">
        <v>1847.791958109525</v>
      </c>
      <c r="H17" s="51">
        <v>20.584639928738287</v>
      </c>
      <c r="I17" s="49">
        <v>244.47920920054088</v>
      </c>
      <c r="J17" s="50">
        <v>528.16598990758303</v>
      </c>
      <c r="K17" s="50">
        <v>28.979742413759148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266.42351279493488</v>
      </c>
      <c r="V17" s="66">
        <v>80.843267327183483</v>
      </c>
      <c r="W17" s="62">
        <v>24.24077536639366</v>
      </c>
      <c r="X17" s="62">
        <v>7.3555950922092332</v>
      </c>
      <c r="Y17" s="66">
        <v>168.04041310086959</v>
      </c>
      <c r="Z17" s="66">
        <v>50.990004206348772</v>
      </c>
      <c r="AA17" s="67">
        <v>0</v>
      </c>
      <c r="AB17" s="68">
        <v>42.196035059293443</v>
      </c>
      <c r="AC17" s="69">
        <v>0</v>
      </c>
      <c r="AD17" s="69">
        <v>12.871527106563271</v>
      </c>
      <c r="AE17" s="68">
        <v>9.7580522692522909</v>
      </c>
      <c r="AF17" s="68">
        <v>2.9609730009189712</v>
      </c>
      <c r="AG17" s="68">
        <v>0.76720126440325076</v>
      </c>
      <c r="AH17" s="69">
        <v>242.68100576400752</v>
      </c>
      <c r="AI17" s="69">
        <v>926.15969371795654</v>
      </c>
      <c r="AJ17" s="69">
        <v>3144.4376953125006</v>
      </c>
      <c r="AK17" s="69">
        <v>653.61562633514404</v>
      </c>
      <c r="AL17" s="69">
        <v>2891.6654054005944</v>
      </c>
      <c r="AM17" s="69">
        <v>2853.9250628153482</v>
      </c>
      <c r="AN17" s="69">
        <v>674.84800898234062</v>
      </c>
      <c r="AO17" s="69">
        <v>1944.7061557769773</v>
      </c>
      <c r="AP17" s="69">
        <v>411.22044073740631</v>
      </c>
      <c r="AQ17" s="69">
        <v>676.59721632003777</v>
      </c>
    </row>
    <row r="18" spans="1:43" x14ac:dyDescent="0.25">
      <c r="A18" s="11">
        <v>42074</v>
      </c>
      <c r="B18" s="59"/>
      <c r="C18" s="60">
        <v>41.951762686173062</v>
      </c>
      <c r="D18" s="60">
        <v>488.42187261581455</v>
      </c>
      <c r="E18" s="60">
        <v>7.1707263365387712</v>
      </c>
      <c r="F18" s="60">
        <v>0</v>
      </c>
      <c r="G18" s="60">
        <v>1847.860840606678</v>
      </c>
      <c r="H18" s="61">
        <v>20.567446524898209</v>
      </c>
      <c r="I18" s="59">
        <v>239.95130712191209</v>
      </c>
      <c r="J18" s="60">
        <v>527.69157619476312</v>
      </c>
      <c r="K18" s="60">
        <v>29.036560994386619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278.49256579291671</v>
      </c>
      <c r="V18" s="62">
        <v>81.905721916637262</v>
      </c>
      <c r="W18" s="62">
        <v>24.801554118778029</v>
      </c>
      <c r="X18" s="62">
        <v>7.2942313162627688</v>
      </c>
      <c r="Y18" s="66">
        <v>175.56609241869063</v>
      </c>
      <c r="Z18" s="66">
        <v>51.634654959976871</v>
      </c>
      <c r="AA18" s="67">
        <v>0</v>
      </c>
      <c r="AB18" s="68">
        <v>42.262605627378008</v>
      </c>
      <c r="AC18" s="69">
        <v>0</v>
      </c>
      <c r="AD18" s="69">
        <v>13.340899144278632</v>
      </c>
      <c r="AE18" s="68">
        <v>10.201493588709869</v>
      </c>
      <c r="AF18" s="68">
        <v>3.000298031770587</v>
      </c>
      <c r="AG18" s="68">
        <v>0.77273554090066787</v>
      </c>
      <c r="AH18" s="69">
        <v>233.33927609920502</v>
      </c>
      <c r="AI18" s="69">
        <v>914.70979379018149</v>
      </c>
      <c r="AJ18" s="69">
        <v>3149.0767105102536</v>
      </c>
      <c r="AK18" s="69">
        <v>644.25607935587561</v>
      </c>
      <c r="AL18" s="69">
        <v>2948.9359474182133</v>
      </c>
      <c r="AM18" s="69">
        <v>2726.6504038492844</v>
      </c>
      <c r="AN18" s="69">
        <v>666.92058839797983</v>
      </c>
      <c r="AO18" s="69">
        <v>1978.3851173400881</v>
      </c>
      <c r="AP18" s="69">
        <v>406.37677625020353</v>
      </c>
      <c r="AQ18" s="69">
        <v>749.21059217453023</v>
      </c>
    </row>
    <row r="19" spans="1:43" x14ac:dyDescent="0.25">
      <c r="A19" s="11">
        <v>42075</v>
      </c>
      <c r="B19" s="59"/>
      <c r="C19" s="60">
        <v>41.979489276806525</v>
      </c>
      <c r="D19" s="60">
        <v>487.11979643503776</v>
      </c>
      <c r="E19" s="60">
        <v>6.9793440277377901</v>
      </c>
      <c r="F19" s="60">
        <v>0</v>
      </c>
      <c r="G19" s="60">
        <v>1785.4573541005357</v>
      </c>
      <c r="H19" s="61">
        <v>20.491894756754245</v>
      </c>
      <c r="I19" s="59">
        <v>235.14692529042514</v>
      </c>
      <c r="J19" s="60">
        <v>527.64051084518462</v>
      </c>
      <c r="K19" s="60">
        <v>29.157956580320842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278.80423617781361</v>
      </c>
      <c r="V19" s="62">
        <v>81.997000271533238</v>
      </c>
      <c r="W19" s="62">
        <v>25.003702171013479</v>
      </c>
      <c r="X19" s="62">
        <v>7.3536492910328288</v>
      </c>
      <c r="Y19" s="66">
        <v>175.24426347102289</v>
      </c>
      <c r="Z19" s="66">
        <v>51.539761792764274</v>
      </c>
      <c r="AA19" s="67">
        <v>0</v>
      </c>
      <c r="AB19" s="68">
        <v>42.168761814965542</v>
      </c>
      <c r="AC19" s="69">
        <v>0</v>
      </c>
      <c r="AD19" s="69">
        <v>13.345486726363502</v>
      </c>
      <c r="AE19" s="68">
        <v>10.20100177274071</v>
      </c>
      <c r="AF19" s="68">
        <v>3.0001392970079017</v>
      </c>
      <c r="AG19" s="68">
        <v>0.77273636565531878</v>
      </c>
      <c r="AH19" s="69">
        <v>233.87494899431866</v>
      </c>
      <c r="AI19" s="69">
        <v>932.72093041737901</v>
      </c>
      <c r="AJ19" s="69">
        <v>3141.365205891927</v>
      </c>
      <c r="AK19" s="69">
        <v>643.03296902974444</v>
      </c>
      <c r="AL19" s="69">
        <v>2941.3565040588378</v>
      </c>
      <c r="AM19" s="69">
        <v>2582.8939615885415</v>
      </c>
      <c r="AN19" s="69">
        <v>678.00898291269925</v>
      </c>
      <c r="AO19" s="69">
        <v>1948.950731913249</v>
      </c>
      <c r="AP19" s="69">
        <v>408.71390377680461</v>
      </c>
      <c r="AQ19" s="69">
        <v>719.17311827341723</v>
      </c>
    </row>
    <row r="20" spans="1:43" x14ac:dyDescent="0.25">
      <c r="A20" s="11">
        <v>42076</v>
      </c>
      <c r="B20" s="59"/>
      <c r="C20" s="60">
        <v>42.294268707434171</v>
      </c>
      <c r="D20" s="60">
        <v>486.99874515533492</v>
      </c>
      <c r="E20" s="60">
        <v>6.7020891830325153</v>
      </c>
      <c r="F20" s="60">
        <v>0</v>
      </c>
      <c r="G20" s="60">
        <v>1733.4713190714456</v>
      </c>
      <c r="H20" s="61">
        <v>20.531133338809049</v>
      </c>
      <c r="I20" s="59">
        <v>240.81494647661779</v>
      </c>
      <c r="J20" s="60">
        <v>527.67685025533126</v>
      </c>
      <c r="K20" s="60">
        <v>28.982364006837031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279.1575769605538</v>
      </c>
      <c r="V20" s="62">
        <v>82.101123071149559</v>
      </c>
      <c r="W20" s="62">
        <v>24.652994829045607</v>
      </c>
      <c r="X20" s="62">
        <v>7.2505234662424831</v>
      </c>
      <c r="Y20" s="66">
        <v>175.61372381237342</v>
      </c>
      <c r="Z20" s="66">
        <v>51.648549570767614</v>
      </c>
      <c r="AA20" s="67">
        <v>0</v>
      </c>
      <c r="AB20" s="68">
        <v>42.169568067127194</v>
      </c>
      <c r="AC20" s="69">
        <v>0</v>
      </c>
      <c r="AD20" s="69">
        <v>13.345225961340804</v>
      </c>
      <c r="AE20" s="68">
        <v>10.200595105435291</v>
      </c>
      <c r="AF20" s="68">
        <v>3.0000271648318848</v>
      </c>
      <c r="AG20" s="68">
        <v>0.77273592839717209</v>
      </c>
      <c r="AH20" s="69">
        <v>236.77574215730036</v>
      </c>
      <c r="AI20" s="69">
        <v>923.17622311909986</v>
      </c>
      <c r="AJ20" s="69">
        <v>3150.103073501587</v>
      </c>
      <c r="AK20" s="69">
        <v>652.56459639867137</v>
      </c>
      <c r="AL20" s="69">
        <v>3032.1665030161553</v>
      </c>
      <c r="AM20" s="69">
        <v>2595.2183945973707</v>
      </c>
      <c r="AN20" s="69">
        <v>668.75546836853027</v>
      </c>
      <c r="AO20" s="69">
        <v>1911.3284591674803</v>
      </c>
      <c r="AP20" s="69">
        <v>413.99523636500044</v>
      </c>
      <c r="AQ20" s="69">
        <v>671.42323067982977</v>
      </c>
    </row>
    <row r="21" spans="1:43" x14ac:dyDescent="0.25">
      <c r="A21" s="11">
        <v>42077</v>
      </c>
      <c r="B21" s="59"/>
      <c r="C21" s="60">
        <v>42.149534126123015</v>
      </c>
      <c r="D21" s="60">
        <v>488.39984308878621</v>
      </c>
      <c r="E21" s="60">
        <v>6.6895504121979066</v>
      </c>
      <c r="F21" s="60">
        <v>0</v>
      </c>
      <c r="G21" s="60">
        <v>1719.846844609574</v>
      </c>
      <c r="H21" s="61">
        <v>20.561524853110303</v>
      </c>
      <c r="I21" s="59">
        <v>240.97384052276547</v>
      </c>
      <c r="J21" s="60">
        <v>527.82979577382389</v>
      </c>
      <c r="K21" s="60">
        <v>28.785393911600035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276.97491338633989</v>
      </c>
      <c r="V21" s="62">
        <v>78.580642084445842</v>
      </c>
      <c r="W21" s="62">
        <v>24.520721242744539</v>
      </c>
      <c r="X21" s="62">
        <v>6.9567817390771927</v>
      </c>
      <c r="Y21" s="66">
        <v>169.78576648665231</v>
      </c>
      <c r="Z21" s="66">
        <v>48.169974616838097</v>
      </c>
      <c r="AA21" s="67">
        <v>0</v>
      </c>
      <c r="AB21" s="68">
        <v>42.27295015917894</v>
      </c>
      <c r="AC21" s="69">
        <v>0</v>
      </c>
      <c r="AD21" s="69">
        <v>13.074812775850274</v>
      </c>
      <c r="AE21" s="68">
        <v>10.068784878781923</v>
      </c>
      <c r="AF21" s="68">
        <v>2.8566182081668074</v>
      </c>
      <c r="AG21" s="68">
        <v>0.77899194408480443</v>
      </c>
      <c r="AH21" s="69">
        <v>234.59191757837928</v>
      </c>
      <c r="AI21" s="69">
        <v>925.72367839813228</v>
      </c>
      <c r="AJ21" s="69">
        <v>3156.0133776346847</v>
      </c>
      <c r="AK21" s="69">
        <v>645.76895100275681</v>
      </c>
      <c r="AL21" s="69">
        <v>2974.6899954477944</v>
      </c>
      <c r="AM21" s="69">
        <v>2587.322212855021</v>
      </c>
      <c r="AN21" s="69">
        <v>674.88001508712784</v>
      </c>
      <c r="AO21" s="69">
        <v>1964.8775098164876</v>
      </c>
      <c r="AP21" s="69">
        <v>413.72927856445312</v>
      </c>
      <c r="AQ21" s="69">
        <v>728.18653717041013</v>
      </c>
    </row>
    <row r="22" spans="1:43" x14ac:dyDescent="0.25">
      <c r="A22" s="11">
        <v>42078</v>
      </c>
      <c r="B22" s="59"/>
      <c r="C22" s="60">
        <v>41.922904700040903</v>
      </c>
      <c r="D22" s="60">
        <v>488.56314439773558</v>
      </c>
      <c r="E22" s="60">
        <v>6.6910236179828644</v>
      </c>
      <c r="F22" s="60">
        <v>0</v>
      </c>
      <c r="G22" s="60">
        <v>1685.474394989011</v>
      </c>
      <c r="H22" s="61">
        <v>20.590436011552789</v>
      </c>
      <c r="I22" s="59">
        <v>241.05923687616942</v>
      </c>
      <c r="J22" s="60">
        <v>527.59500738779832</v>
      </c>
      <c r="K22" s="60">
        <v>28.820802736282307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281.92591781600788</v>
      </c>
      <c r="V22" s="62">
        <v>82.930118031129297</v>
      </c>
      <c r="W22" s="62">
        <v>25.304908562757138</v>
      </c>
      <c r="X22" s="62">
        <v>7.4435833006525653</v>
      </c>
      <c r="Y22" s="66">
        <v>166.44359096688322</v>
      </c>
      <c r="Z22" s="66">
        <v>48.960332385676395</v>
      </c>
      <c r="AA22" s="67">
        <v>0</v>
      </c>
      <c r="AB22" s="68">
        <v>42.168442304929336</v>
      </c>
      <c r="AC22" s="69">
        <v>0</v>
      </c>
      <c r="AD22" s="69">
        <v>13.348392815060082</v>
      </c>
      <c r="AE22" s="68">
        <v>10.199296251383451</v>
      </c>
      <c r="AF22" s="68">
        <v>3.0001812125470968</v>
      </c>
      <c r="AG22" s="68">
        <v>0.7727045467712248</v>
      </c>
      <c r="AH22" s="69">
        <v>216.44370048840835</v>
      </c>
      <c r="AI22" s="69">
        <v>925.42192840576172</v>
      </c>
      <c r="AJ22" s="69">
        <v>3185.5578206380214</v>
      </c>
      <c r="AK22" s="69">
        <v>656.53212512334198</v>
      </c>
      <c r="AL22" s="69">
        <v>2901.7720781962075</v>
      </c>
      <c r="AM22" s="69">
        <v>2547.5567377726234</v>
      </c>
      <c r="AN22" s="69">
        <v>678.38938522338856</v>
      </c>
      <c r="AO22" s="69">
        <v>1950.2437594095866</v>
      </c>
      <c r="AP22" s="69">
        <v>413.72927856445312</v>
      </c>
      <c r="AQ22" s="69">
        <v>803.58163598378496</v>
      </c>
    </row>
    <row r="23" spans="1:43" x14ac:dyDescent="0.25">
      <c r="A23" s="11">
        <v>42079</v>
      </c>
      <c r="B23" s="59"/>
      <c r="C23" s="60">
        <v>41.680544316768895</v>
      </c>
      <c r="D23" s="60">
        <v>498.49566736221362</v>
      </c>
      <c r="E23" s="60">
        <v>6.7027558585007991</v>
      </c>
      <c r="F23" s="60">
        <v>0</v>
      </c>
      <c r="G23" s="60">
        <v>1694.7963400522781</v>
      </c>
      <c r="H23" s="61">
        <v>20.704905192057289</v>
      </c>
      <c r="I23" s="59">
        <v>241.58488543828278</v>
      </c>
      <c r="J23" s="60">
        <v>528.66115957895931</v>
      </c>
      <c r="K23" s="60">
        <v>28.778689618905343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265.65665363902986</v>
      </c>
      <c r="V23" s="62">
        <v>80.736095681108537</v>
      </c>
      <c r="W23" s="62">
        <v>23.407327175448685</v>
      </c>
      <c r="X23" s="62">
        <v>7.1137544668611623</v>
      </c>
      <c r="Y23" s="66">
        <v>154.02181511312844</v>
      </c>
      <c r="Z23" s="66">
        <v>46.808991348841552</v>
      </c>
      <c r="AA23" s="67">
        <v>0</v>
      </c>
      <c r="AB23" s="68">
        <v>42.172023534774702</v>
      </c>
      <c r="AC23" s="69">
        <v>0</v>
      </c>
      <c r="AD23" s="69">
        <v>12.76197081605595</v>
      </c>
      <c r="AE23" s="68">
        <v>9.6519623519024549</v>
      </c>
      <c r="AF23" s="68">
        <v>2.933341760046797</v>
      </c>
      <c r="AG23" s="68">
        <v>0.7669232515993234</v>
      </c>
      <c r="AH23" s="69">
        <v>204.88445167541499</v>
      </c>
      <c r="AI23" s="69">
        <v>926.07303301493334</v>
      </c>
      <c r="AJ23" s="69">
        <v>3210.4750208536784</v>
      </c>
      <c r="AK23" s="69">
        <v>665.37382497787485</v>
      </c>
      <c r="AL23" s="69">
        <v>2969.1797454833982</v>
      </c>
      <c r="AM23" s="69">
        <v>2598.6595010121664</v>
      </c>
      <c r="AN23" s="69">
        <v>680.06274509429932</v>
      </c>
      <c r="AO23" s="69">
        <v>1888.4833475748696</v>
      </c>
      <c r="AP23" s="69">
        <v>401.32044607798258</v>
      </c>
      <c r="AQ23" s="69">
        <v>814.9869848251343</v>
      </c>
    </row>
    <row r="24" spans="1:43" x14ac:dyDescent="0.25">
      <c r="A24" s="11">
        <v>42080</v>
      </c>
      <c r="B24" s="59"/>
      <c r="C24" s="60">
        <v>41.586170494556384</v>
      </c>
      <c r="D24" s="60">
        <v>508.09709110259922</v>
      </c>
      <c r="E24" s="60">
        <v>6.6691555132468698</v>
      </c>
      <c r="F24" s="60">
        <v>0</v>
      </c>
      <c r="G24" s="60">
        <v>1712.4334940592425</v>
      </c>
      <c r="H24" s="61">
        <v>20.578664789597159</v>
      </c>
      <c r="I24" s="59">
        <v>238.66072618166575</v>
      </c>
      <c r="J24" s="60">
        <v>533.08461659749332</v>
      </c>
      <c r="K24" s="60">
        <v>29.168281588951615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283.01169262393728</v>
      </c>
      <c r="V24" s="62">
        <v>83.228311491699671</v>
      </c>
      <c r="W24" s="62">
        <v>25.013147455269323</v>
      </c>
      <c r="X24" s="62">
        <v>7.3558869900165034</v>
      </c>
      <c r="Y24" s="66">
        <v>162.74498048542029</v>
      </c>
      <c r="Z24" s="66">
        <v>47.860177803853389</v>
      </c>
      <c r="AA24" s="67">
        <v>0</v>
      </c>
      <c r="AB24" s="68">
        <v>42.171752452850519</v>
      </c>
      <c r="AC24" s="69">
        <v>0</v>
      </c>
      <c r="AD24" s="69">
        <v>13.428209814098157</v>
      </c>
      <c r="AE24" s="68">
        <v>10.20117855865454</v>
      </c>
      <c r="AF24" s="68">
        <v>2.999970986323611</v>
      </c>
      <c r="AG24" s="68">
        <v>0.77274926125923404</v>
      </c>
      <c r="AH24" s="69">
        <v>226.88243220647178</v>
      </c>
      <c r="AI24" s="69">
        <v>943.41219329833984</v>
      </c>
      <c r="AJ24" s="69">
        <v>3130.2868090311686</v>
      </c>
      <c r="AK24" s="69">
        <v>651.7482128779094</v>
      </c>
      <c r="AL24" s="69">
        <v>2938.4519883473718</v>
      </c>
      <c r="AM24" s="69">
        <v>2605.5084870656337</v>
      </c>
      <c r="AN24" s="69">
        <v>642.42391131718944</v>
      </c>
      <c r="AO24" s="69">
        <v>1955.7808511098224</v>
      </c>
      <c r="AP24" s="69">
        <v>393.67016973495487</v>
      </c>
      <c r="AQ24" s="69">
        <v>679.2449343681335</v>
      </c>
    </row>
    <row r="25" spans="1:43" x14ac:dyDescent="0.25">
      <c r="A25" s="11">
        <v>42081</v>
      </c>
      <c r="B25" s="59"/>
      <c r="C25" s="60">
        <v>41.528097589810599</v>
      </c>
      <c r="D25" s="60">
        <v>508.0394141832989</v>
      </c>
      <c r="E25" s="60">
        <v>6.627577245235436</v>
      </c>
      <c r="F25" s="60">
        <v>0</v>
      </c>
      <c r="G25" s="60">
        <v>1765.5540992736796</v>
      </c>
      <c r="H25" s="61">
        <v>21.973243991533948</v>
      </c>
      <c r="I25" s="59">
        <v>236.42765914599033</v>
      </c>
      <c r="J25" s="60">
        <v>532.94977995554586</v>
      </c>
      <c r="K25" s="60">
        <v>29.134708110491342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286.82405045982574</v>
      </c>
      <c r="V25" s="62">
        <v>84.345846132207441</v>
      </c>
      <c r="W25" s="62">
        <v>24.564679745071004</v>
      </c>
      <c r="X25" s="62">
        <v>7.223692346381247</v>
      </c>
      <c r="Y25" s="66">
        <v>163.15567644758656</v>
      </c>
      <c r="Z25" s="66">
        <v>47.978903997703199</v>
      </c>
      <c r="AA25" s="67">
        <v>0</v>
      </c>
      <c r="AB25" s="68">
        <v>42.171867574585903</v>
      </c>
      <c r="AC25" s="69">
        <v>0</v>
      </c>
      <c r="AD25" s="69">
        <v>13.450890296035373</v>
      </c>
      <c r="AE25" s="68">
        <v>10.201034757740009</v>
      </c>
      <c r="AF25" s="68">
        <v>2.9998004235915841</v>
      </c>
      <c r="AG25" s="68">
        <v>0.77275677012967692</v>
      </c>
      <c r="AH25" s="69">
        <v>235.75137203534445</v>
      </c>
      <c r="AI25" s="69">
        <v>963.71334056854243</v>
      </c>
      <c r="AJ25" s="69">
        <v>3174.1163852691648</v>
      </c>
      <c r="AK25" s="69">
        <v>648.30781180063889</v>
      </c>
      <c r="AL25" s="69">
        <v>2963.3529861450197</v>
      </c>
      <c r="AM25" s="69">
        <v>2669.260406748454</v>
      </c>
      <c r="AN25" s="69">
        <v>644.9266148090361</v>
      </c>
      <c r="AO25" s="69">
        <v>1894.2938608805339</v>
      </c>
      <c r="AP25" s="69">
        <v>432.27175671259567</v>
      </c>
      <c r="AQ25" s="69">
        <v>722.00236994425461</v>
      </c>
    </row>
    <row r="26" spans="1:43" x14ac:dyDescent="0.25">
      <c r="A26" s="11">
        <v>42082</v>
      </c>
      <c r="B26" s="59"/>
      <c r="C26" s="60">
        <v>41.956039418776811</v>
      </c>
      <c r="D26" s="60">
        <v>507.6813431739821</v>
      </c>
      <c r="E26" s="60">
        <v>6.6222854455312046</v>
      </c>
      <c r="F26" s="60">
        <v>0</v>
      </c>
      <c r="G26" s="60">
        <v>1778.6777139027906</v>
      </c>
      <c r="H26" s="61">
        <v>24.331780670086559</v>
      </c>
      <c r="I26" s="59">
        <v>238.10224680900529</v>
      </c>
      <c r="J26" s="60">
        <v>548.86213051478194</v>
      </c>
      <c r="K26" s="60">
        <v>28.575009711583331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287.95805279437519</v>
      </c>
      <c r="V26" s="62">
        <v>84.713788424361113</v>
      </c>
      <c r="W26" s="62">
        <v>24.844085691511303</v>
      </c>
      <c r="X26" s="62">
        <v>7.3088305690491069</v>
      </c>
      <c r="Y26" s="66">
        <v>163.19747050265954</v>
      </c>
      <c r="Z26" s="66">
        <v>48.010728831485096</v>
      </c>
      <c r="AA26" s="67">
        <v>0</v>
      </c>
      <c r="AB26" s="68">
        <v>42.17129548655636</v>
      </c>
      <c r="AC26" s="69">
        <v>0</v>
      </c>
      <c r="AD26" s="69">
        <v>13.452042897542318</v>
      </c>
      <c r="AE26" s="68">
        <v>10.199938992963405</v>
      </c>
      <c r="AF26" s="68">
        <v>3.0006991136598318</v>
      </c>
      <c r="AG26" s="68">
        <v>0.77268529828461296</v>
      </c>
      <c r="AH26" s="69">
        <v>251.27807224591572</v>
      </c>
      <c r="AI26" s="69">
        <v>985.85292161305756</v>
      </c>
      <c r="AJ26" s="69">
        <v>3077.5425888061523</v>
      </c>
      <c r="AK26" s="69">
        <v>657.82028710047405</v>
      </c>
      <c r="AL26" s="69">
        <v>3003.344466781617</v>
      </c>
      <c r="AM26" s="69">
        <v>2713.0843930562346</v>
      </c>
      <c r="AN26" s="69">
        <v>637.82333429654432</v>
      </c>
      <c r="AO26" s="69">
        <v>1912.6232259114583</v>
      </c>
      <c r="AP26" s="69">
        <v>418.81931451161711</v>
      </c>
      <c r="AQ26" s="69">
        <v>656.77018229166652</v>
      </c>
    </row>
    <row r="27" spans="1:43" x14ac:dyDescent="0.25">
      <c r="A27" s="11">
        <v>42083</v>
      </c>
      <c r="B27" s="59"/>
      <c r="C27" s="60">
        <v>41.558238665262948</v>
      </c>
      <c r="D27" s="60">
        <v>508.31882419586105</v>
      </c>
      <c r="E27" s="60">
        <v>6.6142862091461847</v>
      </c>
      <c r="F27" s="60">
        <v>0</v>
      </c>
      <c r="G27" s="60">
        <v>1778.8049255371059</v>
      </c>
      <c r="H27" s="61">
        <v>24.257370461026866</v>
      </c>
      <c r="I27" s="59">
        <v>243.55414355595855</v>
      </c>
      <c r="J27" s="60">
        <v>571.49953463872339</v>
      </c>
      <c r="K27" s="60">
        <v>28.513172197341863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266.06659930014564</v>
      </c>
      <c r="V27" s="62">
        <v>80.702855496964105</v>
      </c>
      <c r="W27" s="62">
        <v>23.123638877099854</v>
      </c>
      <c r="X27" s="62">
        <v>7.0138216964144489</v>
      </c>
      <c r="Y27" s="62">
        <v>155.18242257044167</v>
      </c>
      <c r="Z27" s="62">
        <v>47.069660969520726</v>
      </c>
      <c r="AA27" s="72">
        <v>0</v>
      </c>
      <c r="AB27" s="69">
        <v>42.170526565446053</v>
      </c>
      <c r="AC27" s="69">
        <v>0</v>
      </c>
      <c r="AD27" s="69">
        <v>12.856801313492987</v>
      </c>
      <c r="AE27" s="69">
        <v>9.6690313422638177</v>
      </c>
      <c r="AF27" s="69">
        <v>2.9327936736999773</v>
      </c>
      <c r="AG27" s="69">
        <v>0.76727230619495512</v>
      </c>
      <c r="AH27" s="69">
        <v>249.1392621835073</v>
      </c>
      <c r="AI27" s="69">
        <v>989.68442560831716</v>
      </c>
      <c r="AJ27" s="69">
        <v>3133.9195915222167</v>
      </c>
      <c r="AK27" s="69">
        <v>646.1204396565754</v>
      </c>
      <c r="AL27" s="69">
        <v>2937.8742703755693</v>
      </c>
      <c r="AM27" s="69">
        <v>2656.6696126302077</v>
      </c>
      <c r="AN27" s="69">
        <v>643.54821699460354</v>
      </c>
      <c r="AO27" s="69">
        <v>1849.3703431447348</v>
      </c>
      <c r="AP27" s="69">
        <v>404.4558044433594</v>
      </c>
      <c r="AQ27" s="69">
        <v>684.24719826380419</v>
      </c>
    </row>
    <row r="28" spans="1:43" x14ac:dyDescent="0.25">
      <c r="A28" s="11">
        <v>42084</v>
      </c>
      <c r="B28" s="59"/>
      <c r="C28" s="60">
        <v>42.576779921849649</v>
      </c>
      <c r="D28" s="60">
        <v>516.24166339238536</v>
      </c>
      <c r="E28" s="60">
        <v>6.9194754362106323</v>
      </c>
      <c r="F28" s="60">
        <v>0</v>
      </c>
      <c r="G28" s="60">
        <v>1778.8396972656226</v>
      </c>
      <c r="H28" s="61">
        <v>24.719114529093101</v>
      </c>
      <c r="I28" s="59">
        <v>244.94184897740627</v>
      </c>
      <c r="J28" s="60">
        <v>571.50381348927817</v>
      </c>
      <c r="K28" s="60">
        <v>29.166981321573136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280.57656781661603</v>
      </c>
      <c r="V28" s="62">
        <v>76.745454759180859</v>
      </c>
      <c r="W28" s="62">
        <v>24.235412570991322</v>
      </c>
      <c r="X28" s="62">
        <v>6.6290559240597746</v>
      </c>
      <c r="Y28" s="66">
        <v>159.66341061379975</v>
      </c>
      <c r="Z28" s="66">
        <v>43.672360636924957</v>
      </c>
      <c r="AA28" s="67">
        <v>0</v>
      </c>
      <c r="AB28" s="68">
        <v>42.169764974382538</v>
      </c>
      <c r="AC28" s="69">
        <v>0</v>
      </c>
      <c r="AD28" s="69">
        <v>12.95826065440974</v>
      </c>
      <c r="AE28" s="68">
        <v>9.9755619534368005</v>
      </c>
      <c r="AF28" s="68">
        <v>2.7285922147827746</v>
      </c>
      <c r="AG28" s="68">
        <v>0.78522047366139813</v>
      </c>
      <c r="AH28" s="69">
        <v>225.49920126597084</v>
      </c>
      <c r="AI28" s="69">
        <v>964.45985959370921</v>
      </c>
      <c r="AJ28" s="69">
        <v>3150.3897108713786</v>
      </c>
      <c r="AK28" s="69">
        <v>645.53780107498176</v>
      </c>
      <c r="AL28" s="69">
        <v>2838.0289707183842</v>
      </c>
      <c r="AM28" s="69">
        <v>2481.0469764709474</v>
      </c>
      <c r="AN28" s="69">
        <v>627.38835256894436</v>
      </c>
      <c r="AO28" s="69">
        <v>1913.911343002319</v>
      </c>
      <c r="AP28" s="69">
        <v>396.48767687479659</v>
      </c>
      <c r="AQ28" s="69">
        <v>702.72395108540843</v>
      </c>
    </row>
    <row r="29" spans="1:43" x14ac:dyDescent="0.25">
      <c r="A29" s="11">
        <v>42085</v>
      </c>
      <c r="B29" s="59"/>
      <c r="C29" s="60">
        <v>43.045110801855316</v>
      </c>
      <c r="D29" s="60">
        <v>525.61954800287822</v>
      </c>
      <c r="E29" s="60">
        <v>7.5046254222591644</v>
      </c>
      <c r="F29" s="60">
        <v>0</v>
      </c>
      <c r="G29" s="60">
        <v>1778.9911471048965</v>
      </c>
      <c r="H29" s="61">
        <v>25.201619948943474</v>
      </c>
      <c r="I29" s="59">
        <v>246.82416984240172</v>
      </c>
      <c r="J29" s="60">
        <v>570.88720448812091</v>
      </c>
      <c r="K29" s="60">
        <v>29.214448845386428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286.43005345718024</v>
      </c>
      <c r="V29" s="62">
        <v>84.244364017349952</v>
      </c>
      <c r="W29" s="62">
        <v>24.924409373632802</v>
      </c>
      <c r="X29" s="62">
        <v>7.3307287096661851</v>
      </c>
      <c r="Y29" s="66">
        <v>163.6454769910807</v>
      </c>
      <c r="Z29" s="66">
        <v>48.131154419836164</v>
      </c>
      <c r="AA29" s="67">
        <v>0</v>
      </c>
      <c r="AB29" s="68">
        <v>42.170738167232926</v>
      </c>
      <c r="AC29" s="69">
        <v>0</v>
      </c>
      <c r="AD29" s="69">
        <v>13.463030432992516</v>
      </c>
      <c r="AE29" s="68">
        <v>10.199930991091046</v>
      </c>
      <c r="AF29" s="68">
        <v>2.9999879167490442</v>
      </c>
      <c r="AG29" s="68">
        <v>0.77272679190724414</v>
      </c>
      <c r="AH29" s="69">
        <v>221.27094219525654</v>
      </c>
      <c r="AI29" s="69">
        <v>961.6698373158772</v>
      </c>
      <c r="AJ29" s="69">
        <v>3146.8688429514573</v>
      </c>
      <c r="AK29" s="69">
        <v>646.56151192983009</v>
      </c>
      <c r="AL29" s="69">
        <v>2601.1999459584549</v>
      </c>
      <c r="AM29" s="69">
        <v>2428.3202744801838</v>
      </c>
      <c r="AN29" s="69">
        <v>619.02712383270273</v>
      </c>
      <c r="AO29" s="69">
        <v>1893.3891894022624</v>
      </c>
      <c r="AP29" s="69">
        <v>395.79659283955891</v>
      </c>
      <c r="AQ29" s="69">
        <v>722.20810778935743</v>
      </c>
    </row>
    <row r="30" spans="1:43" x14ac:dyDescent="0.25">
      <c r="A30" s="11">
        <v>42086</v>
      </c>
      <c r="B30" s="59"/>
      <c r="C30" s="60">
        <v>43.336580097675309</v>
      </c>
      <c r="D30" s="60">
        <v>527.32523390452025</v>
      </c>
      <c r="E30" s="60">
        <v>7.5493641073505238</v>
      </c>
      <c r="F30" s="60">
        <v>0</v>
      </c>
      <c r="G30" s="60">
        <v>1674.1290481567398</v>
      </c>
      <c r="H30" s="61">
        <v>25.301480545600224</v>
      </c>
      <c r="I30" s="59">
        <v>246.73153874079355</v>
      </c>
      <c r="J30" s="60">
        <v>570.65318746566788</v>
      </c>
      <c r="K30" s="60">
        <v>29.111486178636447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287.5635000840536</v>
      </c>
      <c r="V30" s="62">
        <v>84.558286648091524</v>
      </c>
      <c r="W30" s="62">
        <v>24.977453254470532</v>
      </c>
      <c r="X30" s="62">
        <v>7.344640927702863</v>
      </c>
      <c r="Y30" s="66">
        <v>167.00267782062465</v>
      </c>
      <c r="Z30" s="66">
        <v>49.107276472944633</v>
      </c>
      <c r="AA30" s="67">
        <v>0</v>
      </c>
      <c r="AB30" s="68">
        <v>42.172064431508439</v>
      </c>
      <c r="AC30" s="69">
        <v>0</v>
      </c>
      <c r="AD30" s="69">
        <v>13.461406907108117</v>
      </c>
      <c r="AE30" s="68">
        <v>10.201413779925847</v>
      </c>
      <c r="AF30" s="68">
        <v>2.9997342165004333</v>
      </c>
      <c r="AG30" s="68">
        <v>0.77276717014970975</v>
      </c>
      <c r="AH30" s="69">
        <v>228.13915502230327</v>
      </c>
      <c r="AI30" s="69">
        <v>979.77596448262534</v>
      </c>
      <c r="AJ30" s="69">
        <v>3129.8458714803064</v>
      </c>
      <c r="AK30" s="69">
        <v>642.95761566162105</v>
      </c>
      <c r="AL30" s="69">
        <v>2690.7998368581129</v>
      </c>
      <c r="AM30" s="69">
        <v>2499.8496069590251</v>
      </c>
      <c r="AN30" s="69">
        <v>609.92553911209086</v>
      </c>
      <c r="AO30" s="69">
        <v>1924.3417372385663</v>
      </c>
      <c r="AP30" s="69">
        <v>372.05202139218648</v>
      </c>
      <c r="AQ30" s="69">
        <v>719.67748104731254</v>
      </c>
    </row>
    <row r="31" spans="1:43" x14ac:dyDescent="0.25">
      <c r="A31" s="11">
        <v>42087</v>
      </c>
      <c r="B31" s="59"/>
      <c r="C31" s="60">
        <v>39.547993191083215</v>
      </c>
      <c r="D31" s="60">
        <v>477.99389995733929</v>
      </c>
      <c r="E31" s="60">
        <v>6.7605518226822063</v>
      </c>
      <c r="F31" s="60">
        <v>0</v>
      </c>
      <c r="G31" s="60">
        <v>1582.863605117793</v>
      </c>
      <c r="H31" s="61">
        <v>22.455013731121998</v>
      </c>
      <c r="I31" s="59">
        <v>246.90002080599422</v>
      </c>
      <c r="J31" s="60">
        <v>571.0563267389939</v>
      </c>
      <c r="K31" s="60">
        <v>29.077600502967776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286.98867822410966</v>
      </c>
      <c r="V31" s="62">
        <v>68.113039724803755</v>
      </c>
      <c r="W31" s="62">
        <v>24.619753047894822</v>
      </c>
      <c r="X31" s="62">
        <v>5.8431789983596696</v>
      </c>
      <c r="Y31" s="66">
        <v>164.72395037606981</v>
      </c>
      <c r="Z31" s="66">
        <v>39.095092688047643</v>
      </c>
      <c r="AA31" s="67">
        <v>0</v>
      </c>
      <c r="AB31" s="68">
        <v>42.171284410688699</v>
      </c>
      <c r="AC31" s="69">
        <v>0</v>
      </c>
      <c r="AD31" s="69">
        <v>12.877699788411457</v>
      </c>
      <c r="AE31" s="68">
        <v>10.199523003220083</v>
      </c>
      <c r="AF31" s="68">
        <v>2.4207244682658584</v>
      </c>
      <c r="AG31" s="68">
        <v>0.80818724246610707</v>
      </c>
      <c r="AH31" s="69">
        <v>231.52583339214326</v>
      </c>
      <c r="AI31" s="69">
        <v>923.21254844665543</v>
      </c>
      <c r="AJ31" s="69">
        <v>2963.8537652333575</v>
      </c>
      <c r="AK31" s="69">
        <v>647.16938282648721</v>
      </c>
      <c r="AL31" s="69">
        <v>2629.4650510152178</v>
      </c>
      <c r="AM31" s="69">
        <v>2538.6516798655189</v>
      </c>
      <c r="AN31" s="69">
        <v>621.25099194844563</v>
      </c>
      <c r="AO31" s="69">
        <v>1879.4356622060138</v>
      </c>
      <c r="AP31" s="69">
        <v>354.52164459228516</v>
      </c>
      <c r="AQ31" s="69">
        <v>699.86169509887691</v>
      </c>
    </row>
    <row r="32" spans="1:43" x14ac:dyDescent="0.25">
      <c r="A32" s="11">
        <v>42088</v>
      </c>
      <c r="B32" s="59"/>
      <c r="C32" s="60">
        <v>42.465643088022716</v>
      </c>
      <c r="D32" s="60">
        <v>508.83479638099766</v>
      </c>
      <c r="E32" s="60">
        <v>7.0423354431986684</v>
      </c>
      <c r="F32" s="60">
        <v>0</v>
      </c>
      <c r="G32" s="60">
        <v>1733.1044904073003</v>
      </c>
      <c r="H32" s="61">
        <v>24.564320031801863</v>
      </c>
      <c r="I32" s="59">
        <v>246.77575626373226</v>
      </c>
      <c r="J32" s="60">
        <v>570.75673322677767</v>
      </c>
      <c r="K32" s="60">
        <v>29.029571257034782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278.98830664176489</v>
      </c>
      <c r="V32" s="62">
        <v>74.419523427030626</v>
      </c>
      <c r="W32" s="62">
        <v>24.119514529639869</v>
      </c>
      <c r="X32" s="62">
        <v>6.4338279915507801</v>
      </c>
      <c r="Y32" s="66">
        <v>156.74376312803611</v>
      </c>
      <c r="Z32" s="66">
        <v>41.811057576423842</v>
      </c>
      <c r="AA32" s="67">
        <v>0</v>
      </c>
      <c r="AB32" s="68">
        <v>42.17321592966713</v>
      </c>
      <c r="AC32" s="69">
        <v>0</v>
      </c>
      <c r="AD32" s="69">
        <v>12.896449041035424</v>
      </c>
      <c r="AE32" s="68">
        <v>9.9787793654400687</v>
      </c>
      <c r="AF32" s="68">
        <v>2.661817671495077</v>
      </c>
      <c r="AG32" s="68">
        <v>0.78942310527600967</v>
      </c>
      <c r="AH32" s="69">
        <v>248.54010132153829</v>
      </c>
      <c r="AI32" s="69">
        <v>941.08209451039625</v>
      </c>
      <c r="AJ32" s="69">
        <v>3122.4006711324059</v>
      </c>
      <c r="AK32" s="69">
        <v>654.78880462646487</v>
      </c>
      <c r="AL32" s="69">
        <v>2992.7159564971921</v>
      </c>
      <c r="AM32" s="69">
        <v>2694.9972906748458</v>
      </c>
      <c r="AN32" s="69">
        <v>607.93938837051383</v>
      </c>
      <c r="AO32" s="69">
        <v>1935.2591439565026</v>
      </c>
      <c r="AP32" s="69">
        <v>348.27828822135928</v>
      </c>
      <c r="AQ32" s="69">
        <v>677.29957240422561</v>
      </c>
    </row>
    <row r="33" spans="1:43" x14ac:dyDescent="0.25">
      <c r="A33" s="11">
        <v>42089</v>
      </c>
      <c r="B33" s="59"/>
      <c r="C33" s="60">
        <v>42.761424034834015</v>
      </c>
      <c r="D33" s="60">
        <v>507.98652426401765</v>
      </c>
      <c r="E33" s="60">
        <v>7.0230106115340991</v>
      </c>
      <c r="F33" s="60">
        <v>0</v>
      </c>
      <c r="G33" s="60">
        <v>1733.1026376088346</v>
      </c>
      <c r="H33" s="61">
        <v>24.505872834722194</v>
      </c>
      <c r="I33" s="59">
        <v>249.76270780563311</v>
      </c>
      <c r="J33" s="60">
        <v>570.76161301930915</v>
      </c>
      <c r="K33" s="60">
        <v>28.951212749878497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283.31076543517213</v>
      </c>
      <c r="V33" s="62">
        <v>83.326506318774435</v>
      </c>
      <c r="W33" s="62">
        <v>25.55393177922981</v>
      </c>
      <c r="X33" s="62">
        <v>7.5158452048260047</v>
      </c>
      <c r="Y33" s="66">
        <v>159.93340716197912</v>
      </c>
      <c r="Z33" s="66">
        <v>47.039130482725071</v>
      </c>
      <c r="AA33" s="67">
        <v>0</v>
      </c>
      <c r="AB33" s="68">
        <v>42.169753784603756</v>
      </c>
      <c r="AC33" s="69">
        <v>0</v>
      </c>
      <c r="AD33" s="69">
        <v>13.45708992812367</v>
      </c>
      <c r="AE33" s="68">
        <v>10.200383118568093</v>
      </c>
      <c r="AF33" s="68">
        <v>3.0001058628242436</v>
      </c>
      <c r="AG33" s="68">
        <v>0.77272767190266578</v>
      </c>
      <c r="AH33" s="69">
        <v>255.06936563650768</v>
      </c>
      <c r="AI33" s="69">
        <v>952.00560557047527</v>
      </c>
      <c r="AJ33" s="69">
        <v>3155.6072166442868</v>
      </c>
      <c r="AK33" s="69">
        <v>651.2730382283529</v>
      </c>
      <c r="AL33" s="69">
        <v>2985.3842029571533</v>
      </c>
      <c r="AM33" s="69">
        <v>2681.5080748240152</v>
      </c>
      <c r="AN33" s="69">
        <v>600.52134135564165</v>
      </c>
      <c r="AO33" s="69">
        <v>1975.8186299641927</v>
      </c>
      <c r="AP33" s="69">
        <v>343.78161288897195</v>
      </c>
      <c r="AQ33" s="69">
        <v>703.43912172317494</v>
      </c>
    </row>
    <row r="34" spans="1:43" x14ac:dyDescent="0.25">
      <c r="A34" s="11">
        <v>42090</v>
      </c>
      <c r="B34" s="59"/>
      <c r="C34" s="60">
        <v>42.263094335794321</v>
      </c>
      <c r="D34" s="60">
        <v>510.04143861134992</v>
      </c>
      <c r="E34" s="60">
        <v>7.0490701347589377</v>
      </c>
      <c r="F34" s="60">
        <v>0</v>
      </c>
      <c r="G34" s="60">
        <v>1732.4626973469981</v>
      </c>
      <c r="H34" s="61">
        <v>24.546038952469864</v>
      </c>
      <c r="I34" s="59">
        <v>253.98429176012647</v>
      </c>
      <c r="J34" s="60">
        <v>564.64255730311072</v>
      </c>
      <c r="K34" s="60">
        <v>29.000171184539695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267.96771400016365</v>
      </c>
      <c r="V34" s="62">
        <v>81.331629988467753</v>
      </c>
      <c r="W34" s="62">
        <v>23.544252057892628</v>
      </c>
      <c r="X34" s="62">
        <v>7.145981760797401</v>
      </c>
      <c r="Y34" s="66">
        <v>151.05945296489605</v>
      </c>
      <c r="Z34" s="66">
        <v>45.848476860886947</v>
      </c>
      <c r="AA34" s="67">
        <v>0</v>
      </c>
      <c r="AB34" s="68">
        <v>42.172955926259228</v>
      </c>
      <c r="AC34" s="69">
        <v>0</v>
      </c>
      <c r="AD34" s="69">
        <v>12.770116846428991</v>
      </c>
      <c r="AE34" s="68">
        <v>9.6699919809532737</v>
      </c>
      <c r="AF34" s="68">
        <v>2.9349662989096572</v>
      </c>
      <c r="AG34" s="68">
        <v>0.7671577934852496</v>
      </c>
      <c r="AH34" s="69">
        <v>231.27094436486567</v>
      </c>
      <c r="AI34" s="69">
        <v>945.39147860209141</v>
      </c>
      <c r="AJ34" s="69">
        <v>3159.0035237630209</v>
      </c>
      <c r="AK34" s="69">
        <v>631.59957653681442</v>
      </c>
      <c r="AL34" s="69">
        <v>2940.4727733612062</v>
      </c>
      <c r="AM34" s="69">
        <v>2640.9545438130699</v>
      </c>
      <c r="AN34" s="69">
        <v>568.05451629956565</v>
      </c>
      <c r="AO34" s="69">
        <v>1884.4978914896649</v>
      </c>
      <c r="AP34" s="69">
        <v>342.64349368413292</v>
      </c>
      <c r="AQ34" s="69">
        <v>780.95161822636908</v>
      </c>
    </row>
    <row r="35" spans="1:43" x14ac:dyDescent="0.25">
      <c r="A35" s="11">
        <v>42091</v>
      </c>
      <c r="B35" s="59"/>
      <c r="C35" s="60">
        <v>41.784786184628842</v>
      </c>
      <c r="D35" s="60">
        <v>508.42249854405742</v>
      </c>
      <c r="E35" s="60">
        <v>6.8435423349340754</v>
      </c>
      <c r="F35" s="60">
        <v>0</v>
      </c>
      <c r="G35" s="60">
        <v>1719.663744990029</v>
      </c>
      <c r="H35" s="61">
        <v>24.466224804520611</v>
      </c>
      <c r="I35" s="59">
        <v>253.50273057619711</v>
      </c>
      <c r="J35" s="60">
        <v>562.62899649937958</v>
      </c>
      <c r="K35" s="60">
        <v>28.515039569139365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283.14450011581363</v>
      </c>
      <c r="V35" s="62">
        <v>79.476844810810277</v>
      </c>
      <c r="W35" s="62">
        <v>24.71904037821211</v>
      </c>
      <c r="X35" s="62">
        <v>6.9384760615436516</v>
      </c>
      <c r="Y35" s="66">
        <v>159.43345203994201</v>
      </c>
      <c r="Z35" s="66">
        <v>44.75194722216871</v>
      </c>
      <c r="AA35" s="67">
        <v>0</v>
      </c>
      <c r="AB35" s="68">
        <v>42.173319951693053</v>
      </c>
      <c r="AC35" s="69">
        <v>0</v>
      </c>
      <c r="AD35" s="69">
        <v>13.226084923081935</v>
      </c>
      <c r="AE35" s="68">
        <v>10.198284104765577</v>
      </c>
      <c r="AF35" s="68">
        <v>2.8625929262248753</v>
      </c>
      <c r="AG35" s="68">
        <v>0.78082689857406951</v>
      </c>
      <c r="AH35" s="69">
        <v>211.50037376880647</v>
      </c>
      <c r="AI35" s="69">
        <v>942.47986456553144</v>
      </c>
      <c r="AJ35" s="69">
        <v>3139.170998509725</v>
      </c>
      <c r="AK35" s="69">
        <v>639.67562672297163</v>
      </c>
      <c r="AL35" s="69">
        <v>2924.6281579335537</v>
      </c>
      <c r="AM35" s="69">
        <v>2523.4499374389643</v>
      </c>
      <c r="AN35" s="69">
        <v>589.20432620048507</v>
      </c>
      <c r="AO35" s="69">
        <v>1952.0807353973391</v>
      </c>
      <c r="AP35" s="69">
        <v>337.70380393664038</v>
      </c>
      <c r="AQ35" s="69">
        <v>793.02659988403298</v>
      </c>
    </row>
    <row r="36" spans="1:43" x14ac:dyDescent="0.25">
      <c r="A36" s="11">
        <v>42092</v>
      </c>
      <c r="B36" s="59"/>
      <c r="C36" s="60">
        <v>42.290920470158312</v>
      </c>
      <c r="D36" s="60">
        <v>511.53871558507257</v>
      </c>
      <c r="E36" s="60">
        <v>7.1233373880386361</v>
      </c>
      <c r="F36" s="60">
        <v>0</v>
      </c>
      <c r="G36" s="60">
        <v>1614.1928079605063</v>
      </c>
      <c r="H36" s="61">
        <v>24.628724326690058</v>
      </c>
      <c r="I36" s="59">
        <v>254.72953160603802</v>
      </c>
      <c r="J36" s="60">
        <v>570.74004220962479</v>
      </c>
      <c r="K36" s="60">
        <v>29.17841962973268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294.90817453228772</v>
      </c>
      <c r="V36" s="62">
        <v>44.274962407714177</v>
      </c>
      <c r="W36" s="62">
        <v>25.967923677036421</v>
      </c>
      <c r="X36" s="62">
        <v>3.8985994417774323</v>
      </c>
      <c r="Y36" s="66">
        <v>166.78567206467145</v>
      </c>
      <c r="Z36" s="66">
        <v>25.039758129865596</v>
      </c>
      <c r="AA36" s="67">
        <v>0</v>
      </c>
      <c r="AB36" s="68">
        <v>42.932106682989271</v>
      </c>
      <c r="AC36" s="69">
        <v>0</v>
      </c>
      <c r="AD36" s="69">
        <v>11.898093295759635</v>
      </c>
      <c r="AE36" s="68">
        <v>10.209722974746038</v>
      </c>
      <c r="AF36" s="68">
        <v>1.5327994946798813</v>
      </c>
      <c r="AG36" s="68">
        <v>0.86946590916297239</v>
      </c>
      <c r="AH36" s="69">
        <v>218.64650861422223</v>
      </c>
      <c r="AI36" s="69">
        <v>957.3842973073323</v>
      </c>
      <c r="AJ36" s="69">
        <v>3070.0997333526607</v>
      </c>
      <c r="AK36" s="69">
        <v>630.44448328018188</v>
      </c>
      <c r="AL36" s="69">
        <v>2960.3138699849446</v>
      </c>
      <c r="AM36" s="69">
        <v>2517.2611119588209</v>
      </c>
      <c r="AN36" s="69">
        <v>578.05309821764627</v>
      </c>
      <c r="AO36" s="69">
        <v>1805.2441544850667</v>
      </c>
      <c r="AP36" s="69">
        <v>336.1387489795685</v>
      </c>
      <c r="AQ36" s="69">
        <v>687.97806774775177</v>
      </c>
    </row>
    <row r="37" spans="1:43" x14ac:dyDescent="0.25">
      <c r="A37" s="11">
        <v>42093</v>
      </c>
      <c r="B37" s="59"/>
      <c r="C37" s="60">
        <v>42.704955637454937</v>
      </c>
      <c r="D37" s="60">
        <v>515.02019879023169</v>
      </c>
      <c r="E37" s="60">
        <v>7.4890960852305097</v>
      </c>
      <c r="F37" s="60">
        <v>0</v>
      </c>
      <c r="G37" s="60">
        <v>1591.6932937622025</v>
      </c>
      <c r="H37" s="61">
        <v>24.823827734589585</v>
      </c>
      <c r="I37" s="59">
        <v>259.54363735516847</v>
      </c>
      <c r="J37" s="60">
        <v>616.90139344533179</v>
      </c>
      <c r="K37" s="60">
        <v>31.468641561269806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309.31047988694058</v>
      </c>
      <c r="V37" s="62">
        <v>82.858897312866105</v>
      </c>
      <c r="W37" s="62">
        <v>27.074581291092802</v>
      </c>
      <c r="X37" s="62">
        <v>7.2528093836571674</v>
      </c>
      <c r="Y37" s="66">
        <v>180.40850151095916</v>
      </c>
      <c r="Z37" s="66">
        <v>48.328299469609249</v>
      </c>
      <c r="AA37" s="67">
        <v>0</v>
      </c>
      <c r="AB37" s="68">
        <v>47.101644561026696</v>
      </c>
      <c r="AC37" s="69">
        <v>0</v>
      </c>
      <c r="AD37" s="69">
        <v>14.052240829997592</v>
      </c>
      <c r="AE37" s="68">
        <v>10.946419424477877</v>
      </c>
      <c r="AF37" s="68">
        <v>2.9323553581757253</v>
      </c>
      <c r="AG37" s="68">
        <v>0.78871655429982679</v>
      </c>
      <c r="AH37" s="69">
        <v>216.36301266352339</v>
      </c>
      <c r="AI37" s="69">
        <v>975.65150667826356</v>
      </c>
      <c r="AJ37" s="69">
        <v>3089.2752979278571</v>
      </c>
      <c r="AK37" s="69">
        <v>635.01211306254072</v>
      </c>
      <c r="AL37" s="69">
        <v>2884.8520476023355</v>
      </c>
      <c r="AM37" s="69">
        <v>2591.6656046549469</v>
      </c>
      <c r="AN37" s="69">
        <v>576.82474718093886</v>
      </c>
      <c r="AO37" s="69">
        <v>1980.9766863505047</v>
      </c>
      <c r="AP37" s="69">
        <v>343.80707542101538</v>
      </c>
      <c r="AQ37" s="69">
        <v>795.80914386113477</v>
      </c>
    </row>
    <row r="38" spans="1:43" ht="15.75" thickBot="1" x14ac:dyDescent="0.3">
      <c r="A38" s="11">
        <v>42094</v>
      </c>
      <c r="B38" s="73"/>
      <c r="C38" s="74">
        <v>42.373002668221723</v>
      </c>
      <c r="D38" s="74">
        <v>514.66542463302608</v>
      </c>
      <c r="E38" s="74">
        <v>7.4796129440267718</v>
      </c>
      <c r="F38" s="74">
        <v>0</v>
      </c>
      <c r="G38" s="74">
        <v>1749.8454161961818</v>
      </c>
      <c r="H38" s="75">
        <v>24.763043625156111</v>
      </c>
      <c r="I38" s="76">
        <v>268.65227828820525</v>
      </c>
      <c r="J38" s="74">
        <v>616.63300587336062</v>
      </c>
      <c r="K38" s="74">
        <v>31.580996473630229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299.80324075800257</v>
      </c>
      <c r="V38" s="80">
        <v>70.524863653226959</v>
      </c>
      <c r="W38" s="81">
        <v>26.087694348173251</v>
      </c>
      <c r="X38" s="81">
        <v>6.1367951936752636</v>
      </c>
      <c r="Y38" s="80">
        <v>174.78386336960364</v>
      </c>
      <c r="Z38" s="80">
        <v>41.115660063446185</v>
      </c>
      <c r="AA38" s="82">
        <v>0</v>
      </c>
      <c r="AB38" s="83">
        <v>47.100001231829751</v>
      </c>
      <c r="AC38" s="84">
        <v>0</v>
      </c>
      <c r="AD38" s="85">
        <v>13.313580436176721</v>
      </c>
      <c r="AE38" s="83">
        <v>10.645409947883561</v>
      </c>
      <c r="AF38" s="83">
        <v>2.5041960293991714</v>
      </c>
      <c r="AG38" s="83">
        <v>0.80956113561688292</v>
      </c>
      <c r="AH38" s="84">
        <v>204.52827843030292</v>
      </c>
      <c r="AI38" s="84">
        <v>970.27761294047025</v>
      </c>
      <c r="AJ38" s="84">
        <v>3170.0104887644447</v>
      </c>
      <c r="AK38" s="84">
        <v>641.96686363220215</v>
      </c>
      <c r="AL38" s="84">
        <v>3008.4653167724618</v>
      </c>
      <c r="AM38" s="84">
        <v>2610.4359079996743</v>
      </c>
      <c r="AN38" s="84">
        <v>586.32081999778745</v>
      </c>
      <c r="AO38" s="84">
        <v>1917.460225423177</v>
      </c>
      <c r="AP38" s="84">
        <v>347.84098788897194</v>
      </c>
      <c r="AQ38" s="84">
        <v>803.71451393763232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1301.2993431607881</v>
      </c>
      <c r="D39" s="30">
        <f t="shared" si="0"/>
        <v>15468.905899898215</v>
      </c>
      <c r="E39" s="30">
        <f t="shared" si="0"/>
        <v>217.88684479395528</v>
      </c>
      <c r="F39" s="30">
        <f t="shared" si="0"/>
        <v>0</v>
      </c>
      <c r="G39" s="30">
        <f t="shared" si="0"/>
        <v>55025.832154973192</v>
      </c>
      <c r="H39" s="31">
        <f t="shared" si="0"/>
        <v>694.90900699794315</v>
      </c>
      <c r="I39" s="29">
        <f t="shared" si="0"/>
        <v>7616.8073968489844</v>
      </c>
      <c r="J39" s="30">
        <f t="shared" si="0"/>
        <v>17009.171507263192</v>
      </c>
      <c r="K39" s="30">
        <f t="shared" si="0"/>
        <v>895.45423113703464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12180.950864680086</v>
      </c>
      <c r="V39" s="264">
        <f t="shared" si="0"/>
        <v>3528.4247418143941</v>
      </c>
      <c r="W39" s="264">
        <f t="shared" si="0"/>
        <v>759.50605608995909</v>
      </c>
      <c r="X39" s="264">
        <f t="shared" si="0"/>
        <v>216.85580253227437</v>
      </c>
      <c r="Y39" s="264">
        <f t="shared" si="0"/>
        <v>5140.5949273114848</v>
      </c>
      <c r="Z39" s="264">
        <f t="shared" si="0"/>
        <v>1470.0464817995457</v>
      </c>
      <c r="AA39" s="272">
        <f t="shared" si="0"/>
        <v>0</v>
      </c>
      <c r="AB39" s="275">
        <f t="shared" si="0"/>
        <v>1313.0395864566215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7667.9909249782577</v>
      </c>
      <c r="AI39" s="275">
        <f t="shared" si="1"/>
        <v>29695.154417800903</v>
      </c>
      <c r="AJ39" s="275">
        <f t="shared" si="1"/>
        <v>97441.818509038305</v>
      </c>
      <c r="AK39" s="275">
        <f t="shared" si="1"/>
        <v>20593.383364963531</v>
      </c>
      <c r="AL39" s="275">
        <f t="shared" si="1"/>
        <v>91272.064384841928</v>
      </c>
      <c r="AM39" s="275">
        <f t="shared" si="1"/>
        <v>83157.906881205257</v>
      </c>
      <c r="AN39" s="275">
        <f t="shared" si="1"/>
        <v>20216.310119342805</v>
      </c>
      <c r="AO39" s="275">
        <f t="shared" si="1"/>
        <v>59154.705420939128</v>
      </c>
      <c r="AP39" s="275">
        <f t="shared" si="1"/>
        <v>12286.127227004368</v>
      </c>
      <c r="AQ39" s="275">
        <f t="shared" si="1"/>
        <v>22117.543887456257</v>
      </c>
    </row>
    <row r="40" spans="1:43" ht="15.75" thickBot="1" x14ac:dyDescent="0.3">
      <c r="A40" s="47" t="s">
        <v>174</v>
      </c>
      <c r="B40" s="32">
        <f>Projection!$AA$30</f>
        <v>0.80583665399999982</v>
      </c>
      <c r="C40" s="33">
        <f>Projection!$AA$28</f>
        <v>1.2134866799999999</v>
      </c>
      <c r="D40" s="33">
        <f>Projection!$AA$31</f>
        <v>2.3118479999999999</v>
      </c>
      <c r="E40" s="33">
        <f>Projection!$AA$26</f>
        <v>4.3368000000000002</v>
      </c>
      <c r="F40" s="33">
        <f>Projection!$AA$23</f>
        <v>0</v>
      </c>
      <c r="G40" s="33">
        <f>Projection!$AA$24</f>
        <v>5.7325000000000001E-2</v>
      </c>
      <c r="H40" s="34">
        <f>Projection!$AA$29</f>
        <v>3.6159737999999999</v>
      </c>
      <c r="I40" s="32">
        <f>Projection!$AA$30</f>
        <v>0.80583665399999982</v>
      </c>
      <c r="J40" s="33">
        <f>Projection!$AA$28</f>
        <v>1.2134866799999999</v>
      </c>
      <c r="K40" s="33">
        <f>Projection!$AA$26</f>
        <v>4.3368000000000002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67">
        <f>Projection!$AA$28</f>
        <v>1.2134866799999999</v>
      </c>
      <c r="T40" s="268">
        <f>Projection!$AA$28</f>
        <v>1.2134866799999999</v>
      </c>
      <c r="U40" s="266">
        <f>Projection!$AA$27</f>
        <v>0.23649999999999999</v>
      </c>
      <c r="V40" s="267">
        <f>Projection!$AA$27</f>
        <v>0.23649999999999999</v>
      </c>
      <c r="W40" s="267">
        <f>Projection!$AA$22</f>
        <v>1.1599999999999999</v>
      </c>
      <c r="X40" s="267">
        <f>Projection!$AA$22</f>
        <v>1.1599999999999999</v>
      </c>
      <c r="Y40" s="267">
        <f>Projection!$AA$31</f>
        <v>2.3118479999999999</v>
      </c>
      <c r="Z40" s="267">
        <f>Projection!$AA$31</f>
        <v>2.3118479999999999</v>
      </c>
      <c r="AA40" s="273">
        <v>0</v>
      </c>
      <c r="AB40" s="276">
        <f>Projection!$AA$27</f>
        <v>0.23649999999999999</v>
      </c>
      <c r="AC40" s="276">
        <f>Projection!$AA$30</f>
        <v>0.80583665399999982</v>
      </c>
      <c r="AD40" s="279">
        <f>SUM(AD8:AD38)</f>
        <v>404.95929047763371</v>
      </c>
      <c r="AE40" s="279">
        <f>SUM(AE8:AE38)</f>
        <v>310.17601901357358</v>
      </c>
      <c r="AF40" s="279">
        <f>SUM(AF8:AF38)</f>
        <v>88.606996878927404</v>
      </c>
      <c r="AG40" s="279">
        <v>0.5</v>
      </c>
      <c r="AH40" s="315">
        <v>0.108</v>
      </c>
      <c r="AI40" s="315">
        <f t="shared" ref="AI40:AQ40" si="2">$AH$40</f>
        <v>0.108</v>
      </c>
      <c r="AJ40" s="315">
        <f t="shared" si="2"/>
        <v>0.108</v>
      </c>
      <c r="AK40" s="315">
        <f t="shared" si="2"/>
        <v>0.108</v>
      </c>
      <c r="AL40" s="315">
        <f t="shared" si="2"/>
        <v>0.108</v>
      </c>
      <c r="AM40" s="315">
        <f t="shared" si="2"/>
        <v>0.108</v>
      </c>
      <c r="AN40" s="315">
        <f t="shared" si="2"/>
        <v>0.108</v>
      </c>
      <c r="AO40" s="315">
        <f t="shared" si="2"/>
        <v>0.108</v>
      </c>
      <c r="AP40" s="315">
        <f t="shared" si="2"/>
        <v>0.108</v>
      </c>
      <c r="AQ40" s="315">
        <f t="shared" si="2"/>
        <v>0.108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1579.1094196183653</v>
      </c>
      <c r="D41" s="36">
        <f t="shared" si="3"/>
        <v>35761.759166867887</v>
      </c>
      <c r="E41" s="36">
        <f t="shared" si="3"/>
        <v>944.93166850242528</v>
      </c>
      <c r="F41" s="36">
        <f t="shared" si="3"/>
        <v>0</v>
      </c>
      <c r="G41" s="36">
        <f t="shared" si="3"/>
        <v>3154.3558282838385</v>
      </c>
      <c r="H41" s="37">
        <f t="shared" si="3"/>
        <v>2512.772762688579</v>
      </c>
      <c r="I41" s="35">
        <f t="shared" si="3"/>
        <v>6137.9025868392346</v>
      </c>
      <c r="J41" s="36">
        <f t="shared" si="3"/>
        <v>20640.403061899407</v>
      </c>
      <c r="K41" s="36">
        <f t="shared" si="3"/>
        <v>3883.405909595092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2880.7948794968402</v>
      </c>
      <c r="V41" s="270">
        <f t="shared" si="3"/>
        <v>834.47245143910413</v>
      </c>
      <c r="W41" s="270">
        <f t="shared" si="3"/>
        <v>881.02702506435253</v>
      </c>
      <c r="X41" s="270">
        <f t="shared" si="3"/>
        <v>251.55273093743824</v>
      </c>
      <c r="Y41" s="270">
        <f t="shared" si="3"/>
        <v>11884.274101515201</v>
      </c>
      <c r="Z41" s="270">
        <f t="shared" si="3"/>
        <v>3398.5240188553162</v>
      </c>
      <c r="AA41" s="274">
        <f t="shared" si="3"/>
        <v>0</v>
      </c>
      <c r="AB41" s="277">
        <f t="shared" si="3"/>
        <v>310.53386219699098</v>
      </c>
      <c r="AC41" s="277">
        <f t="shared" si="3"/>
        <v>0</v>
      </c>
      <c r="AH41" s="280">
        <f t="shared" ref="AH41:AQ41" si="4">AH40*AH39</f>
        <v>828.14301989765181</v>
      </c>
      <c r="AI41" s="280">
        <f t="shared" si="4"/>
        <v>3207.0766771224976</v>
      </c>
      <c r="AJ41" s="280">
        <f t="shared" si="4"/>
        <v>10523.716398976137</v>
      </c>
      <c r="AK41" s="280">
        <f t="shared" si="4"/>
        <v>2224.0854034160611</v>
      </c>
      <c r="AL41" s="280">
        <f t="shared" si="4"/>
        <v>9857.3829535629284</v>
      </c>
      <c r="AM41" s="280">
        <f t="shared" si="4"/>
        <v>8981.0539431701673</v>
      </c>
      <c r="AN41" s="280">
        <f t="shared" si="4"/>
        <v>2183.3614928890229</v>
      </c>
      <c r="AO41" s="280">
        <f t="shared" si="4"/>
        <v>6388.7081854614262</v>
      </c>
      <c r="AP41" s="280">
        <f t="shared" si="4"/>
        <v>1326.9017405164718</v>
      </c>
      <c r="AQ41" s="280">
        <f t="shared" si="4"/>
        <v>2388.6947398452758</v>
      </c>
    </row>
    <row r="42" spans="1:43" ht="49.5" customHeight="1" thickTop="1" thickBot="1" x14ac:dyDescent="0.3">
      <c r="A42" s="561" t="s">
        <v>225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945.97</v>
      </c>
      <c r="AI42" s="280" t="s">
        <v>199</v>
      </c>
      <c r="AJ42" s="280">
        <v>2881.42</v>
      </c>
      <c r="AK42" s="280">
        <v>1020.62</v>
      </c>
      <c r="AL42" s="280">
        <v>1417.44</v>
      </c>
      <c r="AM42" s="280">
        <v>7364.51</v>
      </c>
      <c r="AN42" s="280">
        <v>1720.99</v>
      </c>
      <c r="AO42" s="280" t="s">
        <v>199</v>
      </c>
      <c r="AP42" s="280">
        <v>152.84</v>
      </c>
      <c r="AQ42" s="280">
        <v>596.95000000000005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95055.819473800046</v>
      </c>
      <c r="C44" s="12"/>
      <c r="D44" s="284" t="s">
        <v>135</v>
      </c>
      <c r="E44" s="285">
        <f>SUM(B41:H41)+P41+R41+T41+V41+X41+Z41</f>
        <v>48437.478047192941</v>
      </c>
      <c r="F44" s="12"/>
      <c r="G44" s="284" t="s">
        <v>135</v>
      </c>
      <c r="H44" s="285">
        <f>SUM(I41:N41)+O41+Q41+S41+U41+W41+Y41</f>
        <v>46307.807564410126</v>
      </c>
      <c r="I44" s="12"/>
      <c r="J44" s="284" t="s">
        <v>200</v>
      </c>
      <c r="K44" s="285">
        <v>113451.53000000003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47909.124554857648</v>
      </c>
      <c r="C45" s="12"/>
      <c r="D45" s="286" t="s">
        <v>185</v>
      </c>
      <c r="E45" s="287">
        <f>AH41*(1-$AG$40)+AI41+AJ41*0.5+AL41+AM41*(1-$AG$40)+AN41*(1-$AG$40)+AO41*(1-$AG$40)+AP41*0.5+AQ41*0.5</f>
        <v>29374.749391063498</v>
      </c>
      <c r="F45" s="24"/>
      <c r="G45" s="286" t="s">
        <v>185</v>
      </c>
      <c r="H45" s="287">
        <f>AH41*AG40+AJ41*0.5+AK41+AM41*AG40+AN41*AG40+AO41*AG40+AP41*0.5+AQ41*0.5</f>
        <v>18534.375163794135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976.36185862223351</v>
      </c>
      <c r="U45" s="258">
        <f>(T45*8.34*0.895)/27000</f>
        <v>0.26992066004866438</v>
      </c>
    </row>
    <row r="46" spans="1:43" ht="32.25" thickBot="1" x14ac:dyDescent="0.3">
      <c r="A46" s="288" t="s">
        <v>186</v>
      </c>
      <c r="B46" s="289">
        <f>SUM(AH42:AQ42)</f>
        <v>16100.740000000002</v>
      </c>
      <c r="C46" s="12"/>
      <c r="D46" s="288" t="s">
        <v>186</v>
      </c>
      <c r="E46" s="289">
        <f>AH42*(1-$AG$40)+AJ42*0.5+AL42+AM42*(1-$AG$40)+AN42*(1-$AG$40)+AP42*0.5+AQ42*0.5</f>
        <v>8248.7800000000007</v>
      </c>
      <c r="F46" s="23"/>
      <c r="G46" s="288" t="s">
        <v>186</v>
      </c>
      <c r="H46" s="289">
        <f>AH42*AG40+AJ42*0.5+AK42+AM42*AG40+AN42*AG40+AP42*0.5+AQ42*0.5</f>
        <v>7851.96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113451.53000000003</v>
      </c>
      <c r="C47" s="12"/>
      <c r="D47" s="288" t="s">
        <v>189</v>
      </c>
      <c r="E47" s="289">
        <f>K44*0.5</f>
        <v>56725.765000000014</v>
      </c>
      <c r="F47" s="24"/>
      <c r="G47" s="288" t="s">
        <v>187</v>
      </c>
      <c r="H47" s="289">
        <f>K44*0.5</f>
        <v>56725.765000000014</v>
      </c>
      <c r="I47" s="12"/>
      <c r="J47" s="284" t="s">
        <v>200</v>
      </c>
      <c r="K47" s="285">
        <v>56196.74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55025.832154973192</v>
      </c>
      <c r="U47" s="258">
        <f>T47/40000</f>
        <v>1.3756458038743298</v>
      </c>
    </row>
    <row r="48" spans="1:43" ht="24" thickBot="1" x14ac:dyDescent="0.3">
      <c r="A48" s="288" t="s">
        <v>188</v>
      </c>
      <c r="B48" s="289">
        <f>K47</f>
        <v>56196.74</v>
      </c>
      <c r="C48" s="12"/>
      <c r="D48" s="288" t="s">
        <v>188</v>
      </c>
      <c r="E48" s="289">
        <f>K47*0.5</f>
        <v>28098.37</v>
      </c>
      <c r="F48" s="23"/>
      <c r="G48" s="288" t="s">
        <v>188</v>
      </c>
      <c r="H48" s="289">
        <f>K47*0.5</f>
        <v>28098.37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404.95929047763371</v>
      </c>
      <c r="C49" s="12"/>
      <c r="D49" s="293" t="s">
        <v>197</v>
      </c>
      <c r="E49" s="294">
        <f>AF40</f>
        <v>88.606996878927404</v>
      </c>
      <c r="F49" s="23"/>
      <c r="G49" s="293" t="s">
        <v>198</v>
      </c>
      <c r="H49" s="294">
        <f>AE40</f>
        <v>310.17601901357358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1113.34107593099</v>
      </c>
      <c r="U49" s="258">
        <f>(T49*8.34*1.04)/45000</f>
        <v>0.21459278124877856</v>
      </c>
    </row>
    <row r="50" spans="1:25" ht="48" thickTop="1" thickBot="1" x14ac:dyDescent="0.3">
      <c r="A50" s="293" t="s">
        <v>192</v>
      </c>
      <c r="B50" s="295">
        <f>(SUM(B44:B48)/AD40)</f>
        <v>811.7209846968874</v>
      </c>
      <c r="C50" s="12"/>
      <c r="D50" s="293" t="s">
        <v>190</v>
      </c>
      <c r="E50" s="295">
        <f>SUM(E44:E48)/AF40</f>
        <v>1928.573910159193</v>
      </c>
      <c r="F50" s="23"/>
      <c r="G50" s="293" t="s">
        <v>191</v>
      </c>
      <c r="H50" s="295">
        <f>SUM(H44:H48)/AE40</f>
        <v>507.83512609758253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17022.415192951099</v>
      </c>
      <c r="U50" s="258">
        <f>T50/2000/8</f>
        <v>1.0639009495594436</v>
      </c>
    </row>
    <row r="51" spans="1:25" ht="47.25" customHeight="1" thickTop="1" thickBot="1" x14ac:dyDescent="0.3">
      <c r="A51" s="283" t="s">
        <v>193</v>
      </c>
      <c r="B51" s="296">
        <f>B50/1000</f>
        <v>0.81172098469688736</v>
      </c>
      <c r="C51" s="12"/>
      <c r="D51" s="283" t="s">
        <v>194</v>
      </c>
      <c r="E51" s="296">
        <f>E50/1000</f>
        <v>1.928573910159193</v>
      </c>
      <c r="F51" s="12"/>
      <c r="G51" s="283" t="s">
        <v>195</v>
      </c>
      <c r="H51" s="296">
        <f>H50/1000</f>
        <v>0.50783512609758252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18310.470850423979</v>
      </c>
      <c r="U51" s="258">
        <f>(T51*8.34*1.4)/45000</f>
        <v>4.750956836656675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694.90900699794315</v>
      </c>
      <c r="U52" s="258">
        <f>(T52*8.34*1.135)/45000</f>
        <v>0.146176425985374</v>
      </c>
    </row>
    <row r="53" spans="1:25" ht="48" customHeight="1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7616.8073968489844</v>
      </c>
      <c r="U53" s="258">
        <f>(T53*8.34*1.029*0.03)/3300</f>
        <v>0.59423977024293106</v>
      </c>
    </row>
    <row r="54" spans="1:25" ht="45.75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22079.547309009246</v>
      </c>
      <c r="U54" s="261">
        <f>(T54*1.54*8.34)/45000</f>
        <v>6.3017971959553591</v>
      </c>
    </row>
    <row r="55" spans="1:25" ht="24" thickTop="1" x14ac:dyDescent="0.25">
      <c r="A55" s="588"/>
      <c r="B55" s="58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5.75" customHeight="1" x14ac:dyDescent="0.25">
      <c r="A56" s="590"/>
      <c r="B56" s="59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6"/>
      <c r="B57" s="58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7"/>
      <c r="B58" s="58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6"/>
      <c r="B59" s="58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7"/>
      <c r="B60" s="587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password="A25B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AA1" zoomScale="75" zoomScaleNormal="75" workbookViewId="0">
      <selection activeCell="AE35" sqref="AE35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425781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42095</v>
      </c>
      <c r="B8" s="49"/>
      <c r="C8" s="50">
        <v>41.973238090674378</v>
      </c>
      <c r="D8" s="50">
        <v>508.22772979736425</v>
      </c>
      <c r="E8" s="50">
        <v>7.3984862367312063</v>
      </c>
      <c r="F8" s="50">
        <v>0</v>
      </c>
      <c r="G8" s="50">
        <v>2056.8594182332349</v>
      </c>
      <c r="H8" s="51">
        <v>24.487823834021913</v>
      </c>
      <c r="I8" s="49">
        <v>262.48217074076291</v>
      </c>
      <c r="J8" s="50">
        <v>615.85296440124387</v>
      </c>
      <c r="K8" s="50">
        <v>31.557730239629723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315.85983003657589</v>
      </c>
      <c r="V8" s="54">
        <v>84.613033690568173</v>
      </c>
      <c r="W8" s="54">
        <v>27.649532510327219</v>
      </c>
      <c r="X8" s="54">
        <v>7.4068007494142787</v>
      </c>
      <c r="Y8" s="54">
        <v>184.23892914805495</v>
      </c>
      <c r="Z8" s="54">
        <v>49.354217398627107</v>
      </c>
      <c r="AA8" s="55">
        <v>0</v>
      </c>
      <c r="AB8" s="56">
        <v>47.100919593706045</v>
      </c>
      <c r="AC8" s="57">
        <v>0</v>
      </c>
      <c r="AD8" s="57">
        <v>14.361668247646739</v>
      </c>
      <c r="AE8" s="58">
        <v>11.197715182907926</v>
      </c>
      <c r="AF8" s="58">
        <v>2.999661754769702</v>
      </c>
      <c r="AG8" s="58">
        <v>0.78871718572118299</v>
      </c>
      <c r="AH8" s="57">
        <v>209.2194700082143</v>
      </c>
      <c r="AI8" s="57">
        <v>982.54898904164645</v>
      </c>
      <c r="AJ8" s="57">
        <v>3108.4034015655516</v>
      </c>
      <c r="AK8" s="57">
        <v>626.83697109222419</v>
      </c>
      <c r="AL8" s="57">
        <v>2888.7756263732908</v>
      </c>
      <c r="AM8" s="57">
        <v>2572.4313210805253</v>
      </c>
      <c r="AN8" s="57">
        <v>575.07276412645979</v>
      </c>
      <c r="AO8" s="57">
        <v>2051.3146945953367</v>
      </c>
      <c r="AP8" s="57">
        <v>355.3002099514008</v>
      </c>
      <c r="AQ8" s="57">
        <v>773.33458000818882</v>
      </c>
    </row>
    <row r="9" spans="1:47" x14ac:dyDescent="0.25">
      <c r="A9" s="11">
        <v>42096</v>
      </c>
      <c r="B9" s="59"/>
      <c r="C9" s="60">
        <v>46.826321280002524</v>
      </c>
      <c r="D9" s="60">
        <v>516.57801233927501</v>
      </c>
      <c r="E9" s="60">
        <v>7.328178505102783</v>
      </c>
      <c r="F9" s="60">
        <v>0</v>
      </c>
      <c r="G9" s="60">
        <v>2104.8451335906966</v>
      </c>
      <c r="H9" s="61">
        <v>24.478781007727015</v>
      </c>
      <c r="I9" s="59">
        <v>248.50072054862932</v>
      </c>
      <c r="J9" s="60">
        <v>582.63486293156802</v>
      </c>
      <c r="K9" s="60">
        <v>29.840121469894974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297.3829693442201</v>
      </c>
      <c r="V9" s="62">
        <v>84.334157057041878</v>
      </c>
      <c r="W9" s="62">
        <v>26.294313247726109</v>
      </c>
      <c r="X9" s="62">
        <v>7.4567442380132727</v>
      </c>
      <c r="Y9" s="66">
        <v>186.61550802460405</v>
      </c>
      <c r="Z9" s="66">
        <v>52.921865693021076</v>
      </c>
      <c r="AA9" s="67">
        <v>0</v>
      </c>
      <c r="AB9" s="68">
        <v>44.190654232767542</v>
      </c>
      <c r="AC9" s="69">
        <v>0</v>
      </c>
      <c r="AD9" s="69">
        <v>13.740532681014811</v>
      </c>
      <c r="AE9" s="68">
        <v>10.577206733586099</v>
      </c>
      <c r="AF9" s="68">
        <v>2.9995658993590193</v>
      </c>
      <c r="AG9" s="68">
        <v>0.77906635247906164</v>
      </c>
      <c r="AH9" s="69">
        <v>246.00172188282014</v>
      </c>
      <c r="AI9" s="69">
        <v>1026.8238885879518</v>
      </c>
      <c r="AJ9" s="69">
        <v>3058.23602663676</v>
      </c>
      <c r="AK9" s="69">
        <v>637.8566375732421</v>
      </c>
      <c r="AL9" s="69">
        <v>3005.6246627807614</v>
      </c>
      <c r="AM9" s="69">
        <v>2630.3333239237468</v>
      </c>
      <c r="AN9" s="69">
        <v>573.23399147987368</v>
      </c>
      <c r="AO9" s="69">
        <v>1925.2111539204916</v>
      </c>
      <c r="AP9" s="69">
        <v>348.57861010233557</v>
      </c>
      <c r="AQ9" s="69">
        <v>659.78277327219644</v>
      </c>
    </row>
    <row r="10" spans="1:47" x14ac:dyDescent="0.25">
      <c r="A10" s="11">
        <v>42097</v>
      </c>
      <c r="B10" s="59"/>
      <c r="C10" s="60">
        <v>61.001259203752255</v>
      </c>
      <c r="D10" s="60">
        <v>525.92593307495042</v>
      </c>
      <c r="E10" s="60">
        <v>7.3101168597737916</v>
      </c>
      <c r="F10" s="60">
        <v>0</v>
      </c>
      <c r="G10" s="60">
        <v>2149.1552509307871</v>
      </c>
      <c r="H10" s="61">
        <v>24.474072187145548</v>
      </c>
      <c r="I10" s="59">
        <v>246.53407758076952</v>
      </c>
      <c r="J10" s="60">
        <v>578.08448823293122</v>
      </c>
      <c r="K10" s="60">
        <v>29.725219486157009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294.99387489697727</v>
      </c>
      <c r="V10" s="62">
        <v>84.27411377421636</v>
      </c>
      <c r="W10" s="62">
        <v>26.31365273714086</v>
      </c>
      <c r="X10" s="62">
        <v>7.5173078266776976</v>
      </c>
      <c r="Y10" s="66">
        <v>193.25731781042734</v>
      </c>
      <c r="Z10" s="66">
        <v>55.209923238384938</v>
      </c>
      <c r="AA10" s="67">
        <v>0</v>
      </c>
      <c r="AB10" s="68">
        <v>43.859258633190144</v>
      </c>
      <c r="AC10" s="69">
        <v>0</v>
      </c>
      <c r="AD10" s="69">
        <v>13.653738612598845</v>
      </c>
      <c r="AE10" s="68">
        <v>10.501974024820166</v>
      </c>
      <c r="AF10" s="68">
        <v>3.0002133235161228</v>
      </c>
      <c r="AG10" s="68">
        <v>0.77779797849673571</v>
      </c>
      <c r="AH10" s="69">
        <v>271.57773869037629</v>
      </c>
      <c r="AI10" s="69">
        <v>1065.6246497472127</v>
      </c>
      <c r="AJ10" s="69">
        <v>3076.1670581817634</v>
      </c>
      <c r="AK10" s="69">
        <v>640.33069515228271</v>
      </c>
      <c r="AL10" s="69">
        <v>3020.4953984578447</v>
      </c>
      <c r="AM10" s="69">
        <v>2727.1827547709154</v>
      </c>
      <c r="AN10" s="69">
        <v>586.57163114547723</v>
      </c>
      <c r="AO10" s="69">
        <v>1930.2398957570397</v>
      </c>
      <c r="AP10" s="69">
        <v>333.88779150644939</v>
      </c>
      <c r="AQ10" s="69">
        <v>645.03456675211589</v>
      </c>
    </row>
    <row r="11" spans="1:47" x14ac:dyDescent="0.25">
      <c r="A11" s="11">
        <v>42098</v>
      </c>
      <c r="B11" s="59"/>
      <c r="C11" s="60">
        <v>63.600465540091221</v>
      </c>
      <c r="D11" s="60">
        <v>524.94311278661144</v>
      </c>
      <c r="E11" s="60">
        <v>7.2978972767789969</v>
      </c>
      <c r="F11" s="60">
        <v>0</v>
      </c>
      <c r="G11" s="60">
        <v>2149.7665889739978</v>
      </c>
      <c r="H11" s="61">
        <v>24.532929798960712</v>
      </c>
      <c r="I11" s="59">
        <v>249.48973542849191</v>
      </c>
      <c r="J11" s="60">
        <v>578.41237599055012</v>
      </c>
      <c r="K11" s="60">
        <v>29.817320539553908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295.13641500342334</v>
      </c>
      <c r="V11" s="62">
        <v>84.332595985447185</v>
      </c>
      <c r="W11" s="62">
        <v>26.459096018550738</v>
      </c>
      <c r="X11" s="62">
        <v>7.5604504942120121</v>
      </c>
      <c r="Y11" s="66">
        <v>193.17445199737637</v>
      </c>
      <c r="Z11" s="66">
        <v>55.197875242931104</v>
      </c>
      <c r="AA11" s="67">
        <v>0</v>
      </c>
      <c r="AB11" s="68">
        <v>43.80274977154221</v>
      </c>
      <c r="AC11" s="69">
        <v>0</v>
      </c>
      <c r="AD11" s="69">
        <v>13.654458824793464</v>
      </c>
      <c r="AE11" s="68">
        <v>10.498347643160937</v>
      </c>
      <c r="AF11" s="68">
        <v>2.9998091231649386</v>
      </c>
      <c r="AG11" s="68">
        <v>0.77776157329505735</v>
      </c>
      <c r="AH11" s="69">
        <v>246.90779638290408</v>
      </c>
      <c r="AI11" s="69">
        <v>1050.0723954518637</v>
      </c>
      <c r="AJ11" s="69">
        <v>3075.746055221558</v>
      </c>
      <c r="AK11" s="69">
        <v>628.8063158035277</v>
      </c>
      <c r="AL11" s="69">
        <v>2839.1782321929936</v>
      </c>
      <c r="AM11" s="69">
        <v>2629.571451950073</v>
      </c>
      <c r="AN11" s="69">
        <v>567.86841208140049</v>
      </c>
      <c r="AO11" s="69">
        <v>1968.2031558990477</v>
      </c>
      <c r="AP11" s="69">
        <v>329.99822808901467</v>
      </c>
      <c r="AQ11" s="69">
        <v>672.85639038085947</v>
      </c>
    </row>
    <row r="12" spans="1:47" x14ac:dyDescent="0.25">
      <c r="A12" s="11">
        <v>42099</v>
      </c>
      <c r="B12" s="59"/>
      <c r="C12" s="60">
        <v>63.612450595696941</v>
      </c>
      <c r="D12" s="60">
        <v>524.84588925043693</v>
      </c>
      <c r="E12" s="60">
        <v>7.3198564425110657</v>
      </c>
      <c r="F12" s="60">
        <v>0</v>
      </c>
      <c r="G12" s="60">
        <v>2149.9764189402263</v>
      </c>
      <c r="H12" s="61">
        <v>24.511687562863017</v>
      </c>
      <c r="I12" s="59">
        <v>253.11803959210675</v>
      </c>
      <c r="J12" s="60">
        <v>578.23828754425085</v>
      </c>
      <c r="K12" s="60">
        <v>29.636264783143883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295.11403388028685</v>
      </c>
      <c r="V12" s="62">
        <v>84.314204352643017</v>
      </c>
      <c r="W12" s="62">
        <v>26.262456322325463</v>
      </c>
      <c r="X12" s="62">
        <v>7.5031948838500231</v>
      </c>
      <c r="Y12" s="66">
        <v>193.20060257606178</v>
      </c>
      <c r="Z12" s="66">
        <v>55.197493905897097</v>
      </c>
      <c r="AA12" s="67">
        <v>0</v>
      </c>
      <c r="AB12" s="68">
        <v>43.805124118593369</v>
      </c>
      <c r="AC12" s="69">
        <v>0</v>
      </c>
      <c r="AD12" s="69">
        <v>13.655780614746954</v>
      </c>
      <c r="AE12" s="68">
        <v>10.499911586511571</v>
      </c>
      <c r="AF12" s="68">
        <v>2.9998291831453194</v>
      </c>
      <c r="AG12" s="68">
        <v>0.77778616387301469</v>
      </c>
      <c r="AH12" s="69">
        <v>222.40608047644298</v>
      </c>
      <c r="AI12" s="69">
        <v>1040.7556992848713</v>
      </c>
      <c r="AJ12" s="69">
        <v>3118.0164450327561</v>
      </c>
      <c r="AK12" s="69">
        <v>626.08339567184441</v>
      </c>
      <c r="AL12" s="69">
        <v>2842.4591182708732</v>
      </c>
      <c r="AM12" s="69">
        <v>2555.8280681610104</v>
      </c>
      <c r="AN12" s="69">
        <v>569.23654402097065</v>
      </c>
      <c r="AO12" s="69">
        <v>1935.8989756266276</v>
      </c>
      <c r="AP12" s="69">
        <v>332.94002210299175</v>
      </c>
      <c r="AQ12" s="69">
        <v>732.39620183308921</v>
      </c>
    </row>
    <row r="13" spans="1:47" x14ac:dyDescent="0.25">
      <c r="A13" s="11">
        <v>42100</v>
      </c>
      <c r="B13" s="59"/>
      <c r="C13" s="60">
        <v>63.916653386751776</v>
      </c>
      <c r="D13" s="60">
        <v>526.82873334884562</v>
      </c>
      <c r="E13" s="60">
        <v>7.3297587037086389</v>
      </c>
      <c r="F13" s="60">
        <v>0</v>
      </c>
      <c r="G13" s="60">
        <v>2149.1440811157227</v>
      </c>
      <c r="H13" s="61">
        <v>24.563339170813581</v>
      </c>
      <c r="I13" s="59">
        <v>265.67416032155347</v>
      </c>
      <c r="J13" s="60">
        <v>588.26302801767895</v>
      </c>
      <c r="K13" s="60">
        <v>30.054155075550053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287.49166793531617</v>
      </c>
      <c r="V13" s="62">
        <v>76.018918411205661</v>
      </c>
      <c r="W13" s="62">
        <v>25.035050557921046</v>
      </c>
      <c r="X13" s="62">
        <v>6.6198004256986076</v>
      </c>
      <c r="Y13" s="66">
        <v>186.18334487467203</v>
      </c>
      <c r="Z13" s="66">
        <v>49.230840689050851</v>
      </c>
      <c r="AA13" s="67">
        <v>0</v>
      </c>
      <c r="AB13" s="68">
        <v>43.809244301584215</v>
      </c>
      <c r="AC13" s="69">
        <v>0</v>
      </c>
      <c r="AD13" s="69">
        <v>12.874905692206468</v>
      </c>
      <c r="AE13" s="68">
        <v>10.016265654196808</v>
      </c>
      <c r="AF13" s="68">
        <v>2.6485139100541319</v>
      </c>
      <c r="AG13" s="68">
        <v>0.79087564085756912</v>
      </c>
      <c r="AH13" s="69">
        <v>211.90707298119867</v>
      </c>
      <c r="AI13" s="69">
        <v>1002.0567421595255</v>
      </c>
      <c r="AJ13" s="69">
        <v>3139.5078716278076</v>
      </c>
      <c r="AK13" s="69">
        <v>629.98725363413496</v>
      </c>
      <c r="AL13" s="69">
        <v>2906.0805926005041</v>
      </c>
      <c r="AM13" s="69">
        <v>2594.9229343414304</v>
      </c>
      <c r="AN13" s="69">
        <v>578.5106019496917</v>
      </c>
      <c r="AO13" s="69">
        <v>1805.4575000762939</v>
      </c>
      <c r="AP13" s="69">
        <v>332.7903930028279</v>
      </c>
      <c r="AQ13" s="69">
        <v>806.26773754755664</v>
      </c>
    </row>
    <row r="14" spans="1:47" x14ac:dyDescent="0.25">
      <c r="A14" s="11">
        <v>42101</v>
      </c>
      <c r="B14" s="59"/>
      <c r="C14" s="60">
        <v>63.168671039740474</v>
      </c>
      <c r="D14" s="60">
        <v>524.99345893859743</v>
      </c>
      <c r="E14" s="60">
        <v>7.3272243216633752</v>
      </c>
      <c r="F14" s="60">
        <v>0</v>
      </c>
      <c r="G14" s="60">
        <v>2133.5893170674699</v>
      </c>
      <c r="H14" s="61">
        <v>24.599437973896713</v>
      </c>
      <c r="I14" s="59">
        <v>282.46633106867444</v>
      </c>
      <c r="J14" s="60">
        <v>610.36519521077412</v>
      </c>
      <c r="K14" s="60">
        <v>31.132802146673111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314.96874709884884</v>
      </c>
      <c r="V14" s="62">
        <v>85.874546684554858</v>
      </c>
      <c r="W14" s="62">
        <v>28.591342122123194</v>
      </c>
      <c r="X14" s="62">
        <v>7.7952767265185017</v>
      </c>
      <c r="Y14" s="66">
        <v>228.40039462986562</v>
      </c>
      <c r="Z14" s="66">
        <v>62.272147735526339</v>
      </c>
      <c r="AA14" s="67">
        <v>0</v>
      </c>
      <c r="AB14" s="68">
        <v>43.809441118770437</v>
      </c>
      <c r="AC14" s="69">
        <v>0</v>
      </c>
      <c r="AD14" s="69">
        <v>14.259156946341189</v>
      </c>
      <c r="AE14" s="68">
        <v>11.001906031674615</v>
      </c>
      <c r="AF14" s="68">
        <v>2.9996109196180645</v>
      </c>
      <c r="AG14" s="68">
        <v>0.78576529028584097</v>
      </c>
      <c r="AH14" s="69">
        <v>218.31889925797776</v>
      </c>
      <c r="AI14" s="69">
        <v>974.58297430674224</v>
      </c>
      <c r="AJ14" s="69">
        <v>3062.8545447031661</v>
      </c>
      <c r="AK14" s="69">
        <v>629.7683945973713</v>
      </c>
      <c r="AL14" s="69">
        <v>3011.5976553599048</v>
      </c>
      <c r="AM14" s="69">
        <v>2566.3916639963786</v>
      </c>
      <c r="AN14" s="69">
        <v>571.3450830618541</v>
      </c>
      <c r="AO14" s="69">
        <v>1949.3120858510338</v>
      </c>
      <c r="AP14" s="69">
        <v>332.22355518341067</v>
      </c>
      <c r="AQ14" s="69">
        <v>708.18234802881864</v>
      </c>
    </row>
    <row r="15" spans="1:47" x14ac:dyDescent="0.25">
      <c r="A15" s="11">
        <v>42102</v>
      </c>
      <c r="B15" s="59"/>
      <c r="C15" s="60">
        <v>63.35380243857724</v>
      </c>
      <c r="D15" s="60">
        <v>525.0210217158002</v>
      </c>
      <c r="E15" s="60">
        <v>7.3257600789268658</v>
      </c>
      <c r="F15" s="60">
        <v>0</v>
      </c>
      <c r="G15" s="60">
        <v>2080.6263918558693</v>
      </c>
      <c r="H15" s="61">
        <v>24.477764277656867</v>
      </c>
      <c r="I15" s="59">
        <v>282.54586157798775</v>
      </c>
      <c r="J15" s="60">
        <v>610.02223971684657</v>
      </c>
      <c r="K15" s="60">
        <v>31.367697962125149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309.24894002782014</v>
      </c>
      <c r="V15" s="62">
        <v>84.349438217218605</v>
      </c>
      <c r="W15" s="62">
        <v>28.107058761655907</v>
      </c>
      <c r="X15" s="62">
        <v>7.6663629510605551</v>
      </c>
      <c r="Y15" s="66">
        <v>233.07325572125666</v>
      </c>
      <c r="Z15" s="66">
        <v>63.572079444403414</v>
      </c>
      <c r="AA15" s="67">
        <v>0</v>
      </c>
      <c r="AB15" s="68">
        <v>44.983357535467938</v>
      </c>
      <c r="AC15" s="69">
        <v>0</v>
      </c>
      <c r="AD15" s="69">
        <v>14.262842079003651</v>
      </c>
      <c r="AE15" s="68">
        <v>10.998954481206146</v>
      </c>
      <c r="AF15" s="68">
        <v>3.0000284928479841</v>
      </c>
      <c r="AG15" s="68">
        <v>0.78569668250841729</v>
      </c>
      <c r="AH15" s="69">
        <v>229.7124434709549</v>
      </c>
      <c r="AI15" s="69">
        <v>983.62232335408521</v>
      </c>
      <c r="AJ15" s="69">
        <v>3030.7858924865723</v>
      </c>
      <c r="AK15" s="69">
        <v>621.65454025268536</v>
      </c>
      <c r="AL15" s="69">
        <v>3036.8613344828291</v>
      </c>
      <c r="AM15" s="69">
        <v>2584.3906356811522</v>
      </c>
      <c r="AN15" s="69">
        <v>560.96936486562083</v>
      </c>
      <c r="AO15" s="69">
        <v>1990.9954699198404</v>
      </c>
      <c r="AP15" s="69">
        <v>337.99822581609095</v>
      </c>
      <c r="AQ15" s="69">
        <v>709.03222980499265</v>
      </c>
    </row>
    <row r="16" spans="1:47" x14ac:dyDescent="0.25">
      <c r="A16" s="11">
        <v>42103</v>
      </c>
      <c r="B16" s="59"/>
      <c r="C16" s="60">
        <v>32.058646957079567</v>
      </c>
      <c r="D16" s="60">
        <v>263.6060469667118</v>
      </c>
      <c r="E16" s="60">
        <v>3.9636186336477781</v>
      </c>
      <c r="F16" s="60">
        <v>0</v>
      </c>
      <c r="G16" s="60">
        <v>1035.7198055267318</v>
      </c>
      <c r="H16" s="61">
        <v>12.48338039815426</v>
      </c>
      <c r="I16" s="59">
        <v>294.10872645378134</v>
      </c>
      <c r="J16" s="60">
        <v>640.38634459177604</v>
      </c>
      <c r="K16" s="60">
        <v>32.496075729529068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323.56732058191176</v>
      </c>
      <c r="V16" s="62">
        <v>41.840330217311021</v>
      </c>
      <c r="W16" s="62">
        <v>29.570659226833108</v>
      </c>
      <c r="X16" s="62">
        <v>3.8237673216478631</v>
      </c>
      <c r="Y16" s="66">
        <v>243.16530222795325</v>
      </c>
      <c r="Z16" s="66">
        <v>31.443584983528023</v>
      </c>
      <c r="AA16" s="67">
        <v>0</v>
      </c>
      <c r="AB16" s="68">
        <v>48.371813996633094</v>
      </c>
      <c r="AC16" s="69">
        <v>0</v>
      </c>
      <c r="AD16" s="69">
        <v>13.312323209974506</v>
      </c>
      <c r="AE16" s="68">
        <v>11.552807011668431</v>
      </c>
      <c r="AF16" s="68">
        <v>1.4938877617052388</v>
      </c>
      <c r="AG16" s="68">
        <v>0.88549684133378848</v>
      </c>
      <c r="AH16" s="69">
        <v>243.84088131586711</v>
      </c>
      <c r="AI16" s="69">
        <v>836.74004564285269</v>
      </c>
      <c r="AJ16" s="69">
        <v>2114.2413274765013</v>
      </c>
      <c r="AK16" s="69">
        <v>620.4010354995728</v>
      </c>
      <c r="AL16" s="69">
        <v>2336.6680244445806</v>
      </c>
      <c r="AM16" s="69">
        <v>2721.6319232940677</v>
      </c>
      <c r="AN16" s="69">
        <v>469.10716258684801</v>
      </c>
      <c r="AO16" s="69">
        <v>1872.0711348215739</v>
      </c>
      <c r="AP16" s="69">
        <v>342.31491141319276</v>
      </c>
      <c r="AQ16" s="69">
        <v>608.88332096735621</v>
      </c>
    </row>
    <row r="17" spans="1:43" x14ac:dyDescent="0.25">
      <c r="A17" s="11">
        <v>42104</v>
      </c>
      <c r="B17" s="49"/>
      <c r="C17" s="50">
        <v>28.830480424563117</v>
      </c>
      <c r="D17" s="50">
        <v>245.6909921646118</v>
      </c>
      <c r="E17" s="50">
        <v>3.4972621276974745</v>
      </c>
      <c r="F17" s="50">
        <v>0</v>
      </c>
      <c r="G17" s="50">
        <v>940.92461255391447</v>
      </c>
      <c r="H17" s="51">
        <v>11.549215613802293</v>
      </c>
      <c r="I17" s="49">
        <v>309.75979522069281</v>
      </c>
      <c r="J17" s="50">
        <v>717.84195553461791</v>
      </c>
      <c r="K17" s="50">
        <v>36.725669835011203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351.80005964331531</v>
      </c>
      <c r="V17" s="66">
        <v>35.628160596959681</v>
      </c>
      <c r="W17" s="62">
        <v>30.994153383101722</v>
      </c>
      <c r="X17" s="62">
        <v>3.1388984851780486</v>
      </c>
      <c r="Y17" s="66">
        <v>235.39559827735729</v>
      </c>
      <c r="Z17" s="66">
        <v>23.839427962991966</v>
      </c>
      <c r="AA17" s="67">
        <v>0</v>
      </c>
      <c r="AB17" s="68">
        <v>55.214707761339966</v>
      </c>
      <c r="AC17" s="69">
        <v>0</v>
      </c>
      <c r="AD17" s="69">
        <v>13.999829958875987</v>
      </c>
      <c r="AE17" s="68">
        <v>12.438985986060352</v>
      </c>
      <c r="AF17" s="68">
        <v>1.259744500396107</v>
      </c>
      <c r="AG17" s="68">
        <v>0.90803932513004904</v>
      </c>
      <c r="AH17" s="69">
        <v>234.79952406883245</v>
      </c>
      <c r="AI17" s="69">
        <v>795.92490590413433</v>
      </c>
      <c r="AJ17" s="69">
        <v>2166.1203155517578</v>
      </c>
      <c r="AK17" s="69">
        <v>614.74664268493655</v>
      </c>
      <c r="AL17" s="69">
        <v>2122.1518424987789</v>
      </c>
      <c r="AM17" s="69">
        <v>2696.758123906453</v>
      </c>
      <c r="AN17" s="69">
        <v>460.37499923706065</v>
      </c>
      <c r="AO17" s="69">
        <v>1941.129555130005</v>
      </c>
      <c r="AP17" s="69">
        <v>337.1252353827158</v>
      </c>
      <c r="AQ17" s="69">
        <v>649.36795075734437</v>
      </c>
    </row>
    <row r="18" spans="1:43" x14ac:dyDescent="0.25">
      <c r="A18" s="11">
        <v>42105</v>
      </c>
      <c r="B18" s="59"/>
      <c r="C18" s="60">
        <v>63.094544923305584</v>
      </c>
      <c r="D18" s="60">
        <v>524.74281256993629</v>
      </c>
      <c r="E18" s="60">
        <v>7.1315256084004828</v>
      </c>
      <c r="F18" s="60">
        <v>0</v>
      </c>
      <c r="G18" s="60">
        <v>2162.9746376037556</v>
      </c>
      <c r="H18" s="61">
        <v>24.375549040238067</v>
      </c>
      <c r="I18" s="59">
        <v>273.30133444468191</v>
      </c>
      <c r="J18" s="60">
        <v>641.02015905380347</v>
      </c>
      <c r="K18" s="60">
        <v>32.667202079296139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323.24827225618287</v>
      </c>
      <c r="V18" s="62">
        <v>84.325004115242919</v>
      </c>
      <c r="W18" s="62">
        <v>28.184526697549323</v>
      </c>
      <c r="X18" s="62">
        <v>7.3524301094282549</v>
      </c>
      <c r="Y18" s="66">
        <v>236.92480223640192</v>
      </c>
      <c r="Z18" s="66">
        <v>61.806006832278037</v>
      </c>
      <c r="AA18" s="67">
        <v>0</v>
      </c>
      <c r="AB18" s="68">
        <v>47.736618884403775</v>
      </c>
      <c r="AC18" s="69">
        <v>0</v>
      </c>
      <c r="AD18" s="69">
        <v>14.818569609853929</v>
      </c>
      <c r="AE18" s="68">
        <v>11.498406747087339</v>
      </c>
      <c r="AF18" s="68">
        <v>2.999561883190641</v>
      </c>
      <c r="AG18" s="68">
        <v>0.79310467833912479</v>
      </c>
      <c r="AH18" s="69">
        <v>223.72521731853487</v>
      </c>
      <c r="AI18" s="69">
        <v>916.76006342569985</v>
      </c>
      <c r="AJ18" s="69">
        <v>3095.7934233347573</v>
      </c>
      <c r="AK18" s="69">
        <v>612.45365171432491</v>
      </c>
      <c r="AL18" s="69">
        <v>3040.9002783457436</v>
      </c>
      <c r="AM18" s="69">
        <v>2595.3189919789629</v>
      </c>
      <c r="AN18" s="69">
        <v>447.36931025187175</v>
      </c>
      <c r="AO18" s="69">
        <v>2035.4996047973632</v>
      </c>
      <c r="AP18" s="69">
        <v>331.03689746856685</v>
      </c>
      <c r="AQ18" s="69">
        <v>748.77274729410794</v>
      </c>
    </row>
    <row r="19" spans="1:43" x14ac:dyDescent="0.25">
      <c r="A19" s="11">
        <v>42106</v>
      </c>
      <c r="B19" s="59"/>
      <c r="C19" s="60">
        <v>63.155895892778787</v>
      </c>
      <c r="D19" s="60">
        <v>525.02926549911501</v>
      </c>
      <c r="E19" s="60">
        <v>7.1840120603640782</v>
      </c>
      <c r="F19" s="60">
        <v>0</v>
      </c>
      <c r="G19" s="60">
        <v>2195.6464265187597</v>
      </c>
      <c r="H19" s="61">
        <v>24.450921600063623</v>
      </c>
      <c r="I19" s="59">
        <v>272.90577025413506</v>
      </c>
      <c r="J19" s="60">
        <v>640.18515647252502</v>
      </c>
      <c r="K19" s="60">
        <v>32.754742588599569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321.23155348196224</v>
      </c>
      <c r="V19" s="62">
        <v>76.477188405448061</v>
      </c>
      <c r="W19" s="62">
        <v>27.385138298666885</v>
      </c>
      <c r="X19" s="62">
        <v>6.5197156333958945</v>
      </c>
      <c r="Y19" s="66">
        <v>236.45975902852791</v>
      </c>
      <c r="Z19" s="66">
        <v>56.295147053625342</v>
      </c>
      <c r="AA19" s="67">
        <v>0</v>
      </c>
      <c r="AB19" s="68">
        <v>47.761270430352397</v>
      </c>
      <c r="AC19" s="69">
        <v>0</v>
      </c>
      <c r="AD19" s="69">
        <v>14.417512998978307</v>
      </c>
      <c r="AE19" s="68">
        <v>11.387535194745443</v>
      </c>
      <c r="AF19" s="68">
        <v>2.7110869561919291</v>
      </c>
      <c r="AG19" s="68">
        <v>0.80770553837335957</v>
      </c>
      <c r="AH19" s="69">
        <v>221.98780121803284</v>
      </c>
      <c r="AI19" s="69">
        <v>922.55376516977947</v>
      </c>
      <c r="AJ19" s="69">
        <v>3100.5366786956788</v>
      </c>
      <c r="AK19" s="69">
        <v>614.24482088088973</v>
      </c>
      <c r="AL19" s="69">
        <v>2947.8319042205803</v>
      </c>
      <c r="AM19" s="69">
        <v>2554.2282649993899</v>
      </c>
      <c r="AN19" s="69">
        <v>434.9342222849528</v>
      </c>
      <c r="AO19" s="69">
        <v>2048.9810904184978</v>
      </c>
      <c r="AP19" s="69">
        <v>325.88302445411682</v>
      </c>
      <c r="AQ19" s="69">
        <v>726.32012195587174</v>
      </c>
    </row>
    <row r="20" spans="1:43" x14ac:dyDescent="0.25">
      <c r="A20" s="11">
        <v>42107</v>
      </c>
      <c r="B20" s="59"/>
      <c r="C20" s="60">
        <v>63.610417381922517</v>
      </c>
      <c r="D20" s="60">
        <v>526.41463397343989</v>
      </c>
      <c r="E20" s="60">
        <v>7.1819271196921548</v>
      </c>
      <c r="F20" s="60">
        <v>0</v>
      </c>
      <c r="G20" s="60">
        <v>2196.7971448262501</v>
      </c>
      <c r="H20" s="61">
        <v>24.537798975904778</v>
      </c>
      <c r="I20" s="59">
        <v>281.77331404685992</v>
      </c>
      <c r="J20" s="60">
        <v>639.51705106099564</v>
      </c>
      <c r="K20" s="60">
        <v>32.582568959395168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310.91732901931817</v>
      </c>
      <c r="V20" s="62">
        <v>74.127860499080739</v>
      </c>
      <c r="W20" s="62">
        <v>27.338684048492393</v>
      </c>
      <c r="X20" s="62">
        <v>6.5179968056691111</v>
      </c>
      <c r="Y20" s="66">
        <v>250.41850341736287</v>
      </c>
      <c r="Z20" s="66">
        <v>59.703934631953167</v>
      </c>
      <c r="AA20" s="67">
        <v>0</v>
      </c>
      <c r="AB20" s="68">
        <v>47.873002200655854</v>
      </c>
      <c r="AC20" s="69">
        <v>0</v>
      </c>
      <c r="AD20" s="69">
        <v>14.136297089523724</v>
      </c>
      <c r="AE20" s="68">
        <v>11.153852110001271</v>
      </c>
      <c r="AF20" s="68">
        <v>2.6592637851529322</v>
      </c>
      <c r="AG20" s="68">
        <v>0.80748269938965533</v>
      </c>
      <c r="AH20" s="69">
        <v>224.36552855968475</v>
      </c>
      <c r="AI20" s="69">
        <v>937.51887124379493</v>
      </c>
      <c r="AJ20" s="69">
        <v>3105.5296960194905</v>
      </c>
      <c r="AK20" s="69">
        <v>617.8439891815184</v>
      </c>
      <c r="AL20" s="69">
        <v>3151.0875957489006</v>
      </c>
      <c r="AM20" s="69">
        <v>2639.531734975179</v>
      </c>
      <c r="AN20" s="69">
        <v>601.25257457097371</v>
      </c>
      <c r="AO20" s="69">
        <v>1982.7711900075278</v>
      </c>
      <c r="AP20" s="69">
        <v>326.5803860664368</v>
      </c>
      <c r="AQ20" s="69">
        <v>724.15544401804596</v>
      </c>
    </row>
    <row r="21" spans="1:43" x14ac:dyDescent="0.25">
      <c r="A21" s="11">
        <v>42108</v>
      </c>
      <c r="B21" s="59"/>
      <c r="C21" s="60">
        <v>64.189684927463446</v>
      </c>
      <c r="D21" s="60">
        <v>525.41429716745995</v>
      </c>
      <c r="E21" s="60">
        <v>7.186182700097552</v>
      </c>
      <c r="F21" s="60">
        <v>0</v>
      </c>
      <c r="G21" s="60">
        <v>2196.7164393107096</v>
      </c>
      <c r="H21" s="61">
        <v>24.405209447940202</v>
      </c>
      <c r="I21" s="59">
        <v>292.20962828000364</v>
      </c>
      <c r="J21" s="60">
        <v>639.86086273193519</v>
      </c>
      <c r="K21" s="60">
        <v>32.488627272844376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319.04304250035653</v>
      </c>
      <c r="V21" s="62">
        <v>83.225857056971066</v>
      </c>
      <c r="W21" s="62">
        <v>28.660842003044493</v>
      </c>
      <c r="X21" s="62">
        <v>7.4764932060072979</v>
      </c>
      <c r="Y21" s="66">
        <v>243.5365024603766</v>
      </c>
      <c r="Z21" s="66">
        <v>63.529152628048102</v>
      </c>
      <c r="AA21" s="67">
        <v>0</v>
      </c>
      <c r="AB21" s="68">
        <v>47.758835106424762</v>
      </c>
      <c r="AC21" s="69">
        <v>0</v>
      </c>
      <c r="AD21" s="69">
        <v>14.816162237856121</v>
      </c>
      <c r="AE21" s="68">
        <v>11.498473190774291</v>
      </c>
      <c r="AF21" s="68">
        <v>2.9995021319034914</v>
      </c>
      <c r="AG21" s="68">
        <v>0.79310889519782402</v>
      </c>
      <c r="AH21" s="69">
        <v>215.05287898381548</v>
      </c>
      <c r="AI21" s="69">
        <v>937.74467951456711</v>
      </c>
      <c r="AJ21" s="69">
        <v>3078.7287010192872</v>
      </c>
      <c r="AK21" s="69">
        <v>623.52814680735275</v>
      </c>
      <c r="AL21" s="69">
        <v>2999.4926583607999</v>
      </c>
      <c r="AM21" s="69">
        <v>2586.9799240112302</v>
      </c>
      <c r="AN21" s="69">
        <v>775.10172247886658</v>
      </c>
      <c r="AO21" s="69">
        <v>2027.4987899780276</v>
      </c>
      <c r="AP21" s="69">
        <v>333.9692196369171</v>
      </c>
      <c r="AQ21" s="69">
        <v>808.55566657384236</v>
      </c>
    </row>
    <row r="22" spans="1:43" x14ac:dyDescent="0.25">
      <c r="A22" s="11">
        <v>42109</v>
      </c>
      <c r="B22" s="59"/>
      <c r="C22" s="60">
        <v>63.387937899430533</v>
      </c>
      <c r="D22" s="60">
        <v>525.67932895024671</v>
      </c>
      <c r="E22" s="60">
        <v>7.199182982246068</v>
      </c>
      <c r="F22" s="60">
        <v>0</v>
      </c>
      <c r="G22" s="60">
        <v>2196.648787434895</v>
      </c>
      <c r="H22" s="61">
        <v>24.533910517891254</v>
      </c>
      <c r="I22" s="59">
        <v>292.33992703755717</v>
      </c>
      <c r="J22" s="60">
        <v>640.06996870041019</v>
      </c>
      <c r="K22" s="60">
        <v>32.66188720464703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319.07261511107492</v>
      </c>
      <c r="V22" s="62">
        <v>83.230760747657044</v>
      </c>
      <c r="W22" s="62">
        <v>28.733752951913321</v>
      </c>
      <c r="X22" s="62">
        <v>7.4952597122458986</v>
      </c>
      <c r="Y22" s="66">
        <v>244.20943015405845</v>
      </c>
      <c r="Z22" s="66">
        <v>63.702541963365761</v>
      </c>
      <c r="AA22" s="67">
        <v>0</v>
      </c>
      <c r="AB22" s="68">
        <v>47.767489727337541</v>
      </c>
      <c r="AC22" s="69">
        <v>0</v>
      </c>
      <c r="AD22" s="69">
        <v>14.824982649750154</v>
      </c>
      <c r="AE22" s="68">
        <v>11.50123232344859</v>
      </c>
      <c r="AF22" s="68">
        <v>3.0001205696795115</v>
      </c>
      <c r="AG22" s="68">
        <v>0.79311443616400734</v>
      </c>
      <c r="AH22" s="69">
        <v>220.79647125403091</v>
      </c>
      <c r="AI22" s="69">
        <v>952.11598129272443</v>
      </c>
      <c r="AJ22" s="69">
        <v>3086.5140293121335</v>
      </c>
      <c r="AK22" s="69">
        <v>610.93545239766433</v>
      </c>
      <c r="AL22" s="69">
        <v>2919.7394827524822</v>
      </c>
      <c r="AM22" s="69">
        <v>2551.5951029459643</v>
      </c>
      <c r="AN22" s="69">
        <v>817.2501807848613</v>
      </c>
      <c r="AO22" s="69">
        <v>2033.2940238952635</v>
      </c>
      <c r="AP22" s="69">
        <v>349.47719060579931</v>
      </c>
      <c r="AQ22" s="69">
        <v>720.60391858418768</v>
      </c>
    </row>
    <row r="23" spans="1:43" x14ac:dyDescent="0.25">
      <c r="A23" s="11">
        <v>42110</v>
      </c>
      <c r="B23" s="59"/>
      <c r="C23" s="60">
        <v>63.140346586704396</v>
      </c>
      <c r="D23" s="60">
        <v>521.21923020680708</v>
      </c>
      <c r="E23" s="60">
        <v>7.1548170273502567</v>
      </c>
      <c r="F23" s="60">
        <v>0</v>
      </c>
      <c r="G23" s="60">
        <v>2196.0312225341795</v>
      </c>
      <c r="H23" s="61">
        <v>24.527365117271742</v>
      </c>
      <c r="I23" s="59">
        <v>281.17147164344783</v>
      </c>
      <c r="J23" s="60">
        <v>611.56481313705422</v>
      </c>
      <c r="K23" s="60">
        <v>31.462948568661918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290.39650219795431</v>
      </c>
      <c r="V23" s="62">
        <v>81.520982668294309</v>
      </c>
      <c r="W23" s="62">
        <v>26.430300953328857</v>
      </c>
      <c r="X23" s="62">
        <v>7.4195938643413255</v>
      </c>
      <c r="Y23" s="66">
        <v>223.87462566395257</v>
      </c>
      <c r="Z23" s="66">
        <v>62.846760689221952</v>
      </c>
      <c r="AA23" s="67">
        <v>0</v>
      </c>
      <c r="AB23" s="68">
        <v>46.022727515962309</v>
      </c>
      <c r="AC23" s="69">
        <v>0</v>
      </c>
      <c r="AD23" s="69">
        <v>13.674046771062754</v>
      </c>
      <c r="AE23" s="68">
        <v>10.451546840976697</v>
      </c>
      <c r="AF23" s="68">
        <v>2.933989777532966</v>
      </c>
      <c r="AG23" s="68">
        <v>0.78080895363762903</v>
      </c>
      <c r="AH23" s="69">
        <v>273.65003681182861</v>
      </c>
      <c r="AI23" s="69">
        <v>988.68183568318682</v>
      </c>
      <c r="AJ23" s="69">
        <v>3061.6910299936931</v>
      </c>
      <c r="AK23" s="69">
        <v>631.19587971369435</v>
      </c>
      <c r="AL23" s="69">
        <v>2905.125594965617</v>
      </c>
      <c r="AM23" s="69">
        <v>2734.3707246144613</v>
      </c>
      <c r="AN23" s="69">
        <v>712.04545880953481</v>
      </c>
      <c r="AO23" s="69">
        <v>1976.9229152043661</v>
      </c>
      <c r="AP23" s="69">
        <v>334.74478996594746</v>
      </c>
      <c r="AQ23" s="69">
        <v>690.12175267537441</v>
      </c>
    </row>
    <row r="24" spans="1:43" x14ac:dyDescent="0.25">
      <c r="A24" s="11">
        <v>42111</v>
      </c>
      <c r="B24" s="59"/>
      <c r="C24" s="60">
        <v>63.002583686510803</v>
      </c>
      <c r="D24" s="60">
        <v>517.39930706024086</v>
      </c>
      <c r="E24" s="60">
        <v>7.1262605711817564</v>
      </c>
      <c r="F24" s="60">
        <v>0</v>
      </c>
      <c r="G24" s="60">
        <v>2196.4402534484802</v>
      </c>
      <c r="H24" s="61">
        <v>24.44530347883703</v>
      </c>
      <c r="I24" s="59">
        <v>248.07754772504128</v>
      </c>
      <c r="J24" s="60">
        <v>511.59426209131846</v>
      </c>
      <c r="K24" s="60">
        <v>26.31182812154287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258.84680457606481</v>
      </c>
      <c r="V24" s="62">
        <v>83.826666768773876</v>
      </c>
      <c r="W24" s="62">
        <v>22.969631798554239</v>
      </c>
      <c r="X24" s="62">
        <v>7.4386379763595647</v>
      </c>
      <c r="Y24" s="66">
        <v>199.74194892655322</v>
      </c>
      <c r="Z24" s="66">
        <v>64.685758125676671</v>
      </c>
      <c r="AA24" s="67">
        <v>0</v>
      </c>
      <c r="AB24" s="68">
        <v>40.098697635862976</v>
      </c>
      <c r="AC24" s="69">
        <v>0</v>
      </c>
      <c r="AD24" s="69">
        <v>12.291790379418286</v>
      </c>
      <c r="AE24" s="68">
        <v>9.1702949756293446</v>
      </c>
      <c r="AF24" s="68">
        <v>2.969769174289913</v>
      </c>
      <c r="AG24" s="68">
        <v>0.75537450728300604</v>
      </c>
      <c r="AH24" s="69">
        <v>276.10249884923309</v>
      </c>
      <c r="AI24" s="69">
        <v>994.49159482320135</v>
      </c>
      <c r="AJ24" s="69">
        <v>3051.8277699788414</v>
      </c>
      <c r="AK24" s="69">
        <v>623.70471483866379</v>
      </c>
      <c r="AL24" s="69">
        <v>2904.8140632629397</v>
      </c>
      <c r="AM24" s="69">
        <v>2744.8769635518397</v>
      </c>
      <c r="AN24" s="69">
        <v>718.54703863461793</v>
      </c>
      <c r="AO24" s="69">
        <v>1928.9004035949708</v>
      </c>
      <c r="AP24" s="69">
        <v>344.00790843963625</v>
      </c>
      <c r="AQ24" s="69">
        <v>637.99756355285649</v>
      </c>
    </row>
    <row r="25" spans="1:43" x14ac:dyDescent="0.25">
      <c r="A25" s="11">
        <v>42112</v>
      </c>
      <c r="B25" s="59"/>
      <c r="C25" s="60">
        <v>63.516603684425583</v>
      </c>
      <c r="D25" s="60">
        <v>517.93520437876418</v>
      </c>
      <c r="E25" s="60">
        <v>7.1258699744939689</v>
      </c>
      <c r="F25" s="60">
        <v>0</v>
      </c>
      <c r="G25" s="60">
        <v>2196.876598230996</v>
      </c>
      <c r="H25" s="61">
        <v>24.481295937299759</v>
      </c>
      <c r="I25" s="59">
        <v>220.48320394357066</v>
      </c>
      <c r="J25" s="60">
        <v>422.44732764561974</v>
      </c>
      <c r="K25" s="60">
        <v>21.683793328205724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224.47026849769537</v>
      </c>
      <c r="V25" s="62">
        <v>88.659962723819035</v>
      </c>
      <c r="W25" s="62">
        <v>19.722685717995315</v>
      </c>
      <c r="X25" s="62">
        <v>7.7899518376039003</v>
      </c>
      <c r="Y25" s="66">
        <v>179.04891034348319</v>
      </c>
      <c r="Z25" s="66">
        <v>70.719698528612128</v>
      </c>
      <c r="AA25" s="67">
        <v>0</v>
      </c>
      <c r="AB25" s="68">
        <v>35.365175812774055</v>
      </c>
      <c r="AC25" s="69">
        <v>0</v>
      </c>
      <c r="AD25" s="69">
        <v>10.74373702340656</v>
      </c>
      <c r="AE25" s="68">
        <v>7.5955418427266412</v>
      </c>
      <c r="AF25" s="68">
        <v>3.0000429952275205</v>
      </c>
      <c r="AG25" s="68">
        <v>0.71685914075444457</v>
      </c>
      <c r="AH25" s="69">
        <v>255.89860539436339</v>
      </c>
      <c r="AI25" s="69">
        <v>979.24734859466548</v>
      </c>
      <c r="AJ25" s="69">
        <v>3071.3501349131261</v>
      </c>
      <c r="AK25" s="69">
        <v>612.91052160263075</v>
      </c>
      <c r="AL25" s="69">
        <v>2839.4187459309892</v>
      </c>
      <c r="AM25" s="69">
        <v>2670.1316884358721</v>
      </c>
      <c r="AN25" s="69">
        <v>707.60742794672638</v>
      </c>
      <c r="AO25" s="69">
        <v>1758.0816972096759</v>
      </c>
      <c r="AP25" s="69">
        <v>343.58768188158672</v>
      </c>
      <c r="AQ25" s="69">
        <v>593.0613457997639</v>
      </c>
    </row>
    <row r="26" spans="1:43" x14ac:dyDescent="0.25">
      <c r="A26" s="11">
        <v>42113</v>
      </c>
      <c r="B26" s="59"/>
      <c r="C26" s="60">
        <v>64.021776250998244</v>
      </c>
      <c r="D26" s="60">
        <v>519.17165864308595</v>
      </c>
      <c r="E26" s="60">
        <v>7.1088459864258615</v>
      </c>
      <c r="F26" s="60">
        <v>0</v>
      </c>
      <c r="G26" s="60">
        <v>2196.3179932912171</v>
      </c>
      <c r="H26" s="61">
        <v>24.537352586785961</v>
      </c>
      <c r="I26" s="59">
        <v>222.62393609682724</v>
      </c>
      <c r="J26" s="60">
        <v>429.93217436472582</v>
      </c>
      <c r="K26" s="60">
        <v>22.206126623352375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226.98296507933918</v>
      </c>
      <c r="V26" s="62">
        <v>82.698295336904309</v>
      </c>
      <c r="W26" s="62">
        <v>19.903546295111695</v>
      </c>
      <c r="X26" s="62">
        <v>7.2515985910641296</v>
      </c>
      <c r="Y26" s="66">
        <v>179.65606575817228</v>
      </c>
      <c r="Z26" s="66">
        <v>65.455354237453264</v>
      </c>
      <c r="AA26" s="67">
        <v>0</v>
      </c>
      <c r="AB26" s="68">
        <v>31.865489496124518</v>
      </c>
      <c r="AC26" s="69">
        <v>0</v>
      </c>
      <c r="AD26" s="69">
        <v>10.407368558976358</v>
      </c>
      <c r="AE26" s="68">
        <v>7.507539843940906</v>
      </c>
      <c r="AF26" s="68">
        <v>2.7352746363621914</v>
      </c>
      <c r="AG26" s="68">
        <v>0.73295673355969526</v>
      </c>
      <c r="AH26" s="69">
        <v>264.64195789496108</v>
      </c>
      <c r="AI26" s="69">
        <v>982.28028672536243</v>
      </c>
      <c r="AJ26" s="69">
        <v>3069.4942563374843</v>
      </c>
      <c r="AK26" s="69">
        <v>613.4248829841614</v>
      </c>
      <c r="AL26" s="69">
        <v>2904.6730641682939</v>
      </c>
      <c r="AM26" s="69">
        <v>2697.1066010793056</v>
      </c>
      <c r="AN26" s="69">
        <v>726.00128534634905</v>
      </c>
      <c r="AO26" s="69">
        <v>1662.8669113159181</v>
      </c>
      <c r="AP26" s="69">
        <v>339.01019694010415</v>
      </c>
      <c r="AQ26" s="69">
        <v>576.78714345296225</v>
      </c>
    </row>
    <row r="27" spans="1:43" x14ac:dyDescent="0.25">
      <c r="A27" s="11">
        <v>42114</v>
      </c>
      <c r="B27" s="59"/>
      <c r="C27" s="60">
        <v>63.612270585695939</v>
      </c>
      <c r="D27" s="60">
        <v>517.19480447769195</v>
      </c>
      <c r="E27" s="60">
        <v>7.0939015472928721</v>
      </c>
      <c r="F27" s="60">
        <v>0</v>
      </c>
      <c r="G27" s="60">
        <v>2196.2782515207955</v>
      </c>
      <c r="H27" s="61">
        <v>24.531324568390847</v>
      </c>
      <c r="I27" s="59">
        <v>271.37668091456095</v>
      </c>
      <c r="J27" s="60">
        <v>532.56851288477628</v>
      </c>
      <c r="K27" s="60">
        <v>26.887996041774691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283.69894729639992</v>
      </c>
      <c r="V27" s="62">
        <v>88.272285287384179</v>
      </c>
      <c r="W27" s="62">
        <v>25.514277417064843</v>
      </c>
      <c r="X27" s="62">
        <v>7.9387096657344252</v>
      </c>
      <c r="Y27" s="62">
        <v>227.19384174506857</v>
      </c>
      <c r="Z27" s="62">
        <v>70.690849596649159</v>
      </c>
      <c r="AA27" s="72">
        <v>0</v>
      </c>
      <c r="AB27" s="69">
        <v>38.63740871217415</v>
      </c>
      <c r="AC27" s="69">
        <v>0</v>
      </c>
      <c r="AD27" s="69">
        <v>12.669067107306603</v>
      </c>
      <c r="AE27" s="69">
        <v>9.5410419895646932</v>
      </c>
      <c r="AF27" s="69">
        <v>2.9686736185236935</v>
      </c>
      <c r="AG27" s="69">
        <v>0.76269055896008997</v>
      </c>
      <c r="AH27" s="69">
        <v>252.20878140926359</v>
      </c>
      <c r="AI27" s="69">
        <v>969.88038419087718</v>
      </c>
      <c r="AJ27" s="69">
        <v>3063.3310420989997</v>
      </c>
      <c r="AK27" s="69">
        <v>611.51787983576457</v>
      </c>
      <c r="AL27" s="69">
        <v>2872.6907634735098</v>
      </c>
      <c r="AM27" s="69">
        <v>2758.6278832753505</v>
      </c>
      <c r="AN27" s="69">
        <v>790.26183640162139</v>
      </c>
      <c r="AO27" s="69">
        <v>1817.6757633209229</v>
      </c>
      <c r="AP27" s="69">
        <v>345.51175460815432</v>
      </c>
      <c r="AQ27" s="69">
        <v>603.18723246256502</v>
      </c>
    </row>
    <row r="28" spans="1:43" x14ac:dyDescent="0.25">
      <c r="A28" s="11">
        <v>42115</v>
      </c>
      <c r="B28" s="59"/>
      <c r="C28" s="60">
        <v>63.551132881641635</v>
      </c>
      <c r="D28" s="60">
        <v>512.0371615727754</v>
      </c>
      <c r="E28" s="60">
        <v>7.1451501796642933</v>
      </c>
      <c r="F28" s="60">
        <v>0</v>
      </c>
      <c r="G28" s="60">
        <v>2189.5885831197065</v>
      </c>
      <c r="H28" s="61">
        <v>24.547554770112008</v>
      </c>
      <c r="I28" s="59">
        <v>278.17630025545765</v>
      </c>
      <c r="J28" s="60">
        <v>550.20292065938315</v>
      </c>
      <c r="K28" s="60">
        <v>28.057502686977319</v>
      </c>
      <c r="L28" s="60">
        <v>5.5890321731567006E-3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273.64964822773783</v>
      </c>
      <c r="V28" s="62">
        <v>84.65037026294597</v>
      </c>
      <c r="W28" s="62">
        <v>24.591764093397078</v>
      </c>
      <c r="X28" s="62">
        <v>7.6071792871176651</v>
      </c>
      <c r="Y28" s="66">
        <v>220.11304146907386</v>
      </c>
      <c r="Z28" s="66">
        <v>68.08943691589819</v>
      </c>
      <c r="AA28" s="67">
        <v>0</v>
      </c>
      <c r="AB28" s="68">
        <v>42.496509467229558</v>
      </c>
      <c r="AC28" s="69">
        <v>0</v>
      </c>
      <c r="AD28" s="69">
        <v>12.702805434664112</v>
      </c>
      <c r="AE28" s="68">
        <v>9.5761884143136857</v>
      </c>
      <c r="AF28" s="68">
        <v>2.9622837092221039</v>
      </c>
      <c r="AG28" s="68">
        <v>0.76374444349869053</v>
      </c>
      <c r="AH28" s="69">
        <v>234.37172036965686</v>
      </c>
      <c r="AI28" s="69">
        <v>926.59749406178798</v>
      </c>
      <c r="AJ28" s="69">
        <v>3101.9589218139654</v>
      </c>
      <c r="AK28" s="69">
        <v>604.77026720047013</v>
      </c>
      <c r="AL28" s="69">
        <v>2782.7128022511797</v>
      </c>
      <c r="AM28" s="69">
        <v>2755.0379337310787</v>
      </c>
      <c r="AN28" s="69">
        <v>838.00258514086408</v>
      </c>
      <c r="AO28" s="69">
        <v>1819.2295508702596</v>
      </c>
      <c r="AP28" s="69">
        <v>359.17595214843749</v>
      </c>
      <c r="AQ28" s="69">
        <v>680.66342306137096</v>
      </c>
    </row>
    <row r="29" spans="1:43" x14ac:dyDescent="0.25">
      <c r="A29" s="11">
        <v>42116</v>
      </c>
      <c r="B29" s="59"/>
      <c r="C29" s="60">
        <v>63.276856958866247</v>
      </c>
      <c r="D29" s="60">
        <v>509.43467337290309</v>
      </c>
      <c r="E29" s="60">
        <v>7.3752857844034763</v>
      </c>
      <c r="F29" s="60">
        <v>0</v>
      </c>
      <c r="G29" s="60">
        <v>2130.4102228800484</v>
      </c>
      <c r="H29" s="61">
        <v>24.49469031691552</v>
      </c>
      <c r="I29" s="59">
        <v>277.204151646296</v>
      </c>
      <c r="J29" s="60">
        <v>548.832895437876</v>
      </c>
      <c r="K29" s="60">
        <v>28.252266776561616</v>
      </c>
      <c r="L29" s="60">
        <v>7.2319626808165522E-3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283.57732238129734</v>
      </c>
      <c r="V29" s="62">
        <v>85.094348193315824</v>
      </c>
      <c r="W29" s="62">
        <v>25.137489532213031</v>
      </c>
      <c r="X29" s="62">
        <v>7.5431218159391298</v>
      </c>
      <c r="Y29" s="66">
        <v>226.48458595914528</v>
      </c>
      <c r="Z29" s="66">
        <v>67.962268830906879</v>
      </c>
      <c r="AA29" s="67">
        <v>0</v>
      </c>
      <c r="AB29" s="68">
        <v>41.655356656180238</v>
      </c>
      <c r="AC29" s="69">
        <v>0</v>
      </c>
      <c r="AD29" s="69">
        <v>13.159440588951131</v>
      </c>
      <c r="AE29" s="68">
        <v>9.998106362698465</v>
      </c>
      <c r="AF29" s="68">
        <v>3.0001776480465874</v>
      </c>
      <c r="AG29" s="68">
        <v>0.76918663682325406</v>
      </c>
      <c r="AH29" s="69">
        <v>220.26096572081249</v>
      </c>
      <c r="AI29" s="69">
        <v>896.51524651845284</v>
      </c>
      <c r="AJ29" s="69">
        <v>3154.4656449635822</v>
      </c>
      <c r="AK29" s="69">
        <v>600.56246894200638</v>
      </c>
      <c r="AL29" s="69">
        <v>2764.2922442118329</v>
      </c>
      <c r="AM29" s="69">
        <v>2744.3993995666497</v>
      </c>
      <c r="AN29" s="69">
        <v>801.80091190338146</v>
      </c>
      <c r="AO29" s="69">
        <v>1839.3573839823405</v>
      </c>
      <c r="AP29" s="69">
        <v>361.88308029174806</v>
      </c>
      <c r="AQ29" s="69">
        <v>704.94013576507541</v>
      </c>
    </row>
    <row r="30" spans="1:43" x14ac:dyDescent="0.25">
      <c r="A30" s="11">
        <v>42117</v>
      </c>
      <c r="B30" s="59"/>
      <c r="C30" s="60">
        <v>63.264444315433281</v>
      </c>
      <c r="D30" s="60">
        <v>509.52411654790205</v>
      </c>
      <c r="E30" s="60">
        <v>7.4259957770506455</v>
      </c>
      <c r="F30" s="60">
        <v>0</v>
      </c>
      <c r="G30" s="60">
        <v>2089.3605302174842</v>
      </c>
      <c r="H30" s="61">
        <v>24.596334747473421</v>
      </c>
      <c r="I30" s="59">
        <v>272.03172885576879</v>
      </c>
      <c r="J30" s="60">
        <v>550.4055193265275</v>
      </c>
      <c r="K30" s="60">
        <v>28.209687934319088</v>
      </c>
      <c r="L30" s="60">
        <v>5.9573769569396468E-3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285.6631568822026</v>
      </c>
      <c r="V30" s="62">
        <v>85.719114757302833</v>
      </c>
      <c r="W30" s="62">
        <v>24.637081384497705</v>
      </c>
      <c r="X30" s="62">
        <v>7.3928637824079928</v>
      </c>
      <c r="Y30" s="66">
        <v>226.39065380031639</v>
      </c>
      <c r="Z30" s="66">
        <v>67.933179220211755</v>
      </c>
      <c r="AA30" s="67">
        <v>0</v>
      </c>
      <c r="AB30" s="68">
        <v>41.512330529424943</v>
      </c>
      <c r="AC30" s="69">
        <v>0</v>
      </c>
      <c r="AD30" s="69">
        <v>13.160065113173575</v>
      </c>
      <c r="AE30" s="68">
        <v>9.9973588338433981</v>
      </c>
      <c r="AF30" s="68">
        <v>2.9999134592688814</v>
      </c>
      <c r="AG30" s="68">
        <v>0.76918899661287832</v>
      </c>
      <c r="AH30" s="69">
        <v>219.94674994945527</v>
      </c>
      <c r="AI30" s="69">
        <v>911.3275599161783</v>
      </c>
      <c r="AJ30" s="69">
        <v>3158.812352625529</v>
      </c>
      <c r="AK30" s="69">
        <v>610.26630268096915</v>
      </c>
      <c r="AL30" s="69">
        <v>2774.0730824788407</v>
      </c>
      <c r="AM30" s="69">
        <v>2717.4958422342938</v>
      </c>
      <c r="AN30" s="69">
        <v>858.45290268262227</v>
      </c>
      <c r="AO30" s="69">
        <v>1919.3602862040202</v>
      </c>
      <c r="AP30" s="69">
        <v>370.87591862678528</v>
      </c>
      <c r="AQ30" s="69">
        <v>708.19256016413385</v>
      </c>
    </row>
    <row r="31" spans="1:43" x14ac:dyDescent="0.25">
      <c r="A31" s="11">
        <v>42118</v>
      </c>
      <c r="B31" s="59"/>
      <c r="C31" s="60">
        <v>63.823518991470614</v>
      </c>
      <c r="D31" s="60">
        <v>509.46298875808776</v>
      </c>
      <c r="E31" s="60">
        <v>7.4292489662766314</v>
      </c>
      <c r="F31" s="60">
        <v>0</v>
      </c>
      <c r="G31" s="60">
        <v>2033.8993202209472</v>
      </c>
      <c r="H31" s="61">
        <v>24.41610702872276</v>
      </c>
      <c r="I31" s="59">
        <v>271.99123433430981</v>
      </c>
      <c r="J31" s="60">
        <v>551.29445505142201</v>
      </c>
      <c r="K31" s="60">
        <v>28.273804946740391</v>
      </c>
      <c r="L31" s="60">
        <v>4.4846534729003941E-3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285.56117006079432</v>
      </c>
      <c r="V31" s="62">
        <v>85.674337395668488</v>
      </c>
      <c r="W31" s="62">
        <v>25.618782951984496</v>
      </c>
      <c r="X31" s="62">
        <v>7.6861719463729754</v>
      </c>
      <c r="Y31" s="66">
        <v>226.28879571933373</v>
      </c>
      <c r="Z31" s="66">
        <v>67.891382533522645</v>
      </c>
      <c r="AA31" s="67">
        <v>0</v>
      </c>
      <c r="AB31" s="68">
        <v>41.511553947130764</v>
      </c>
      <c r="AC31" s="69">
        <v>0</v>
      </c>
      <c r="AD31" s="69">
        <v>13.16410913997227</v>
      </c>
      <c r="AE31" s="68">
        <v>10.000579249871848</v>
      </c>
      <c r="AF31" s="68">
        <v>3.0003834226594446</v>
      </c>
      <c r="AG31" s="68">
        <v>0.76921836496010265</v>
      </c>
      <c r="AH31" s="69">
        <v>220.22732427914937</v>
      </c>
      <c r="AI31" s="69">
        <v>902.01610457102458</v>
      </c>
      <c r="AJ31" s="69">
        <v>3133.9724864959717</v>
      </c>
      <c r="AK31" s="69">
        <v>612.88445046742754</v>
      </c>
      <c r="AL31" s="69">
        <v>2749.8207191467277</v>
      </c>
      <c r="AM31" s="69">
        <v>2668.4622773488363</v>
      </c>
      <c r="AN31" s="69">
        <v>835.38614568710318</v>
      </c>
      <c r="AO31" s="69">
        <v>1879.390455118815</v>
      </c>
      <c r="AP31" s="69">
        <v>371.12601470947266</v>
      </c>
      <c r="AQ31" s="69">
        <v>670.2664702733357</v>
      </c>
    </row>
    <row r="32" spans="1:43" x14ac:dyDescent="0.25">
      <c r="A32" s="11">
        <v>42119</v>
      </c>
      <c r="B32" s="59"/>
      <c r="C32" s="60">
        <v>63.53026753664043</v>
      </c>
      <c r="D32" s="60">
        <v>509.56980772018397</v>
      </c>
      <c r="E32" s="60">
        <v>7.4164787257710989</v>
      </c>
      <c r="F32" s="60">
        <v>0</v>
      </c>
      <c r="G32" s="60">
        <v>2023.7065612792901</v>
      </c>
      <c r="H32" s="61">
        <v>24.385180280605947</v>
      </c>
      <c r="I32" s="59">
        <v>275.3767493565876</v>
      </c>
      <c r="J32" s="60">
        <v>551.26050904591841</v>
      </c>
      <c r="K32" s="60">
        <v>28.220988519986363</v>
      </c>
      <c r="L32" s="60">
        <v>3.6632537841797103E-3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285.48833176543548</v>
      </c>
      <c r="V32" s="62">
        <v>85.652781028380687</v>
      </c>
      <c r="W32" s="62">
        <v>25.154019066900752</v>
      </c>
      <c r="X32" s="62">
        <v>7.5467591750515561</v>
      </c>
      <c r="Y32" s="66">
        <v>226.64042445514701</v>
      </c>
      <c r="Z32" s="66">
        <v>67.997114025611651</v>
      </c>
      <c r="AA32" s="67">
        <v>0</v>
      </c>
      <c r="AB32" s="68">
        <v>41.511416533258078</v>
      </c>
      <c r="AC32" s="69">
        <v>0</v>
      </c>
      <c r="AD32" s="69">
        <v>13.158084432284062</v>
      </c>
      <c r="AE32" s="68">
        <v>9.9993631262063474</v>
      </c>
      <c r="AF32" s="68">
        <v>3.0000289503107163</v>
      </c>
      <c r="AG32" s="68">
        <v>0.7692177501338574</v>
      </c>
      <c r="AH32" s="69">
        <v>223.07950828870142</v>
      </c>
      <c r="AI32" s="69">
        <v>915.26282933553068</v>
      </c>
      <c r="AJ32" s="69">
        <v>3107.3307409922286</v>
      </c>
      <c r="AK32" s="69">
        <v>612.55914449691772</v>
      </c>
      <c r="AL32" s="69">
        <v>2725.3353439331063</v>
      </c>
      <c r="AM32" s="69">
        <v>2588.2328779856375</v>
      </c>
      <c r="AN32" s="69">
        <v>846.05470984776821</v>
      </c>
      <c r="AO32" s="69">
        <v>1909.0651751200357</v>
      </c>
      <c r="AP32" s="69">
        <v>323.45142313639326</v>
      </c>
      <c r="AQ32" s="69">
        <v>706.72044782638545</v>
      </c>
    </row>
    <row r="33" spans="1:43" x14ac:dyDescent="0.25">
      <c r="A33" s="11">
        <v>42120</v>
      </c>
      <c r="B33" s="59"/>
      <c r="C33" s="60">
        <v>15.51983045339583</v>
      </c>
      <c r="D33" s="60">
        <v>124.90448294878003</v>
      </c>
      <c r="E33" s="60">
        <v>2.2791734337806724</v>
      </c>
      <c r="F33" s="60">
        <v>0</v>
      </c>
      <c r="G33" s="60">
        <v>486.03121515909879</v>
      </c>
      <c r="H33" s="61">
        <v>6.0094035764535256</v>
      </c>
      <c r="I33" s="59">
        <v>322.50755372047468</v>
      </c>
      <c r="J33" s="60">
        <v>662.04076668421294</v>
      </c>
      <c r="K33" s="60">
        <v>33.596652952830041</v>
      </c>
      <c r="L33" s="60">
        <v>3.8048744201660397E-3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322.45203589417758</v>
      </c>
      <c r="V33" s="62">
        <v>18.98967948405609</v>
      </c>
      <c r="W33" s="62">
        <v>29.403617765845773</v>
      </c>
      <c r="X33" s="62">
        <v>1.731622737306435</v>
      </c>
      <c r="Y33" s="66">
        <v>249.60385783067551</v>
      </c>
      <c r="Z33" s="66">
        <v>14.699542042103815</v>
      </c>
      <c r="AA33" s="67">
        <v>0</v>
      </c>
      <c r="AB33" s="68">
        <v>49.533338395755685</v>
      </c>
      <c r="AC33" s="69">
        <v>0</v>
      </c>
      <c r="AD33" s="69">
        <v>12.287377701865287</v>
      </c>
      <c r="AE33" s="68">
        <v>11.365099578114076</v>
      </c>
      <c r="AF33" s="68">
        <v>0.66930760010333901</v>
      </c>
      <c r="AG33" s="68">
        <v>0.94438383293904149</v>
      </c>
      <c r="AH33" s="69">
        <v>244.40497759977976</v>
      </c>
      <c r="AI33" s="69">
        <v>938.46943658192959</v>
      </c>
      <c r="AJ33" s="69">
        <v>1641.9211692174279</v>
      </c>
      <c r="AK33" s="69">
        <v>632.51889934539781</v>
      </c>
      <c r="AL33" s="69">
        <v>1879.2503966013589</v>
      </c>
      <c r="AM33" s="69">
        <v>2704.4560862223307</v>
      </c>
      <c r="AN33" s="69">
        <v>729.22836751937859</v>
      </c>
      <c r="AO33" s="69">
        <v>1870.5633611043297</v>
      </c>
      <c r="AP33" s="69">
        <v>336.09339790344239</v>
      </c>
      <c r="AQ33" s="69">
        <v>592.70857283274336</v>
      </c>
    </row>
    <row r="34" spans="1:43" x14ac:dyDescent="0.25">
      <c r="A34" s="11">
        <v>42121</v>
      </c>
      <c r="B34" s="59"/>
      <c r="C34" s="60">
        <v>0</v>
      </c>
      <c r="D34" s="60">
        <v>0</v>
      </c>
      <c r="E34" s="60">
        <v>0.57565488417943278</v>
      </c>
      <c r="F34" s="60">
        <v>0</v>
      </c>
      <c r="G34" s="60">
        <v>0</v>
      </c>
      <c r="H34" s="61">
        <v>0</v>
      </c>
      <c r="I34" s="59">
        <v>326.8620913028721</v>
      </c>
      <c r="J34" s="60">
        <v>718.33105080922212</v>
      </c>
      <c r="K34" s="60">
        <v>36.631803111235314</v>
      </c>
      <c r="L34" s="60">
        <v>6.146335601806583E-3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348.62522824605213</v>
      </c>
      <c r="V34" s="62">
        <v>0</v>
      </c>
      <c r="W34" s="62">
        <v>32.508177252610544</v>
      </c>
      <c r="X34" s="62">
        <v>0</v>
      </c>
      <c r="Y34" s="66">
        <v>244.66393485069244</v>
      </c>
      <c r="Z34" s="66">
        <v>0</v>
      </c>
      <c r="AA34" s="67">
        <v>0</v>
      </c>
      <c r="AB34" s="68">
        <v>54.096017596458033</v>
      </c>
      <c r="AC34" s="69">
        <v>0</v>
      </c>
      <c r="AD34" s="69">
        <v>13.280593325032125</v>
      </c>
      <c r="AE34" s="68">
        <v>12.999078826311258</v>
      </c>
      <c r="AF34" s="68">
        <v>0</v>
      </c>
      <c r="AG34" s="68">
        <v>1</v>
      </c>
      <c r="AH34" s="69">
        <v>261.89291539986925</v>
      </c>
      <c r="AI34" s="69">
        <v>774.88773943583158</v>
      </c>
      <c r="AJ34" s="69">
        <v>1168.8661181131997</v>
      </c>
      <c r="AK34" s="69">
        <v>622.1313035329182</v>
      </c>
      <c r="AL34" s="69">
        <v>1651.0783847808837</v>
      </c>
      <c r="AM34" s="69">
        <v>2713.1686337788897</v>
      </c>
      <c r="AN34" s="69">
        <v>725.46193641026821</v>
      </c>
      <c r="AO34" s="69">
        <v>1878.3774435679115</v>
      </c>
      <c r="AP34" s="69">
        <v>323.16376214027406</v>
      </c>
      <c r="AQ34" s="69">
        <v>653.08872995376578</v>
      </c>
    </row>
    <row r="35" spans="1:43" x14ac:dyDescent="0.25">
      <c r="A35" s="11">
        <v>42122</v>
      </c>
      <c r="B35" s="59"/>
      <c r="C35" s="60">
        <v>40.679479130109144</v>
      </c>
      <c r="D35" s="60">
        <v>318.98784401019401</v>
      </c>
      <c r="E35" s="60">
        <v>4.5775427694122044</v>
      </c>
      <c r="F35" s="60">
        <v>0</v>
      </c>
      <c r="G35" s="60">
        <v>1240.3179401397692</v>
      </c>
      <c r="H35" s="61">
        <v>15.459444181124374</v>
      </c>
      <c r="I35" s="59">
        <v>299.46379752159095</v>
      </c>
      <c r="J35" s="60">
        <v>654.60073919296258</v>
      </c>
      <c r="K35" s="60">
        <v>33.509350053469234</v>
      </c>
      <c r="L35" s="60">
        <v>7.3169350624083468E-3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313.6630292272223</v>
      </c>
      <c r="V35" s="62">
        <v>20.353815416264645</v>
      </c>
      <c r="W35" s="62">
        <v>28.952034299425829</v>
      </c>
      <c r="X35" s="62">
        <v>1.8787179461593151</v>
      </c>
      <c r="Y35" s="66">
        <v>213.80525036887752</v>
      </c>
      <c r="Z35" s="66">
        <v>13.873973645405005</v>
      </c>
      <c r="AA35" s="67">
        <v>0</v>
      </c>
      <c r="AB35" s="68">
        <v>50.602229587237126</v>
      </c>
      <c r="AC35" s="69">
        <v>0</v>
      </c>
      <c r="AD35" s="69">
        <v>12.556734720865876</v>
      </c>
      <c r="AE35" s="68">
        <v>11.555056195081391</v>
      </c>
      <c r="AF35" s="68">
        <v>0.74981575450155225</v>
      </c>
      <c r="AG35" s="68">
        <v>0.93906350609955225</v>
      </c>
      <c r="AH35" s="69">
        <v>240.78963553905493</v>
      </c>
      <c r="AI35" s="69">
        <v>821.21430988311772</v>
      </c>
      <c r="AJ35" s="69">
        <v>2365.4252572377527</v>
      </c>
      <c r="AK35" s="69">
        <v>606.74193970362342</v>
      </c>
      <c r="AL35" s="69">
        <v>2021.4039149602252</v>
      </c>
      <c r="AM35" s="69">
        <v>2737.5126388549802</v>
      </c>
      <c r="AN35" s="69">
        <v>783.67578207651775</v>
      </c>
      <c r="AO35" s="69">
        <v>1864.3682941436768</v>
      </c>
      <c r="AP35" s="69">
        <v>328.88972897529595</v>
      </c>
      <c r="AQ35" s="69">
        <v>680.56897185643504</v>
      </c>
    </row>
    <row r="36" spans="1:43" x14ac:dyDescent="0.25">
      <c r="A36" s="11">
        <v>42123</v>
      </c>
      <c r="B36" s="59"/>
      <c r="C36" s="60">
        <v>63.736691989501544</v>
      </c>
      <c r="D36" s="60">
        <v>510.13552074432238</v>
      </c>
      <c r="E36" s="60">
        <v>7.1828634714086839</v>
      </c>
      <c r="F36" s="60">
        <v>0</v>
      </c>
      <c r="G36" s="60">
        <v>2001.6495736439963</v>
      </c>
      <c r="H36" s="61">
        <v>24.411433981855733</v>
      </c>
      <c r="I36" s="59">
        <v>264.25126935640958</v>
      </c>
      <c r="J36" s="60">
        <v>556.43241682052599</v>
      </c>
      <c r="K36" s="60">
        <v>28.272720531622529</v>
      </c>
      <c r="L36" s="60">
        <v>6.0519218444823678E-3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277.1314661664502</v>
      </c>
      <c r="V36" s="62">
        <v>83.140397601384976</v>
      </c>
      <c r="W36" s="62">
        <v>25.032738837195417</v>
      </c>
      <c r="X36" s="62">
        <v>7.5099081629584159</v>
      </c>
      <c r="Y36" s="66">
        <v>222.79681229514017</v>
      </c>
      <c r="Z36" s="66">
        <v>66.839813662348945</v>
      </c>
      <c r="AA36" s="67">
        <v>0</v>
      </c>
      <c r="AB36" s="68">
        <v>41.514637986818492</v>
      </c>
      <c r="AC36" s="69">
        <v>0</v>
      </c>
      <c r="AD36" s="69">
        <v>13.25400784611702</v>
      </c>
      <c r="AE36" s="68">
        <v>10.000512624226346</v>
      </c>
      <c r="AF36" s="68">
        <v>3.0001883485019576</v>
      </c>
      <c r="AG36" s="68">
        <v>0.76922872429759892</v>
      </c>
      <c r="AH36" s="69">
        <v>217.47027372519176</v>
      </c>
      <c r="AI36" s="69">
        <v>910.56448752085362</v>
      </c>
      <c r="AJ36" s="69">
        <v>3082.8502972920737</v>
      </c>
      <c r="AK36" s="69">
        <v>606.20113306045528</v>
      </c>
      <c r="AL36" s="69">
        <v>2830.9687260945643</v>
      </c>
      <c r="AM36" s="69">
        <v>2641.6728500366212</v>
      </c>
      <c r="AN36" s="69">
        <v>824.05129071871431</v>
      </c>
      <c r="AO36" s="69">
        <v>1839.892114130656</v>
      </c>
      <c r="AP36" s="69">
        <v>346.58610111872355</v>
      </c>
      <c r="AQ36" s="69">
        <v>798.12662324905375</v>
      </c>
    </row>
    <row r="37" spans="1:43" x14ac:dyDescent="0.25">
      <c r="A37" s="11">
        <v>42124</v>
      </c>
      <c r="B37" s="59"/>
      <c r="C37" s="60">
        <v>64.613313047090998</v>
      </c>
      <c r="D37" s="60">
        <v>517.0536801020304</v>
      </c>
      <c r="E37" s="60">
        <v>7.2228703846534028</v>
      </c>
      <c r="F37" s="60">
        <v>0</v>
      </c>
      <c r="G37" s="60">
        <v>1960.6079469045017</v>
      </c>
      <c r="H37" s="61">
        <v>24.718472792704929</v>
      </c>
      <c r="I37" s="59">
        <v>264.17764422098787</v>
      </c>
      <c r="J37" s="60">
        <v>556.18037773768128</v>
      </c>
      <c r="K37" s="60">
        <v>28.625796486933936</v>
      </c>
      <c r="L37" s="60">
        <v>6.2218666076659553E-3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276.85974853044689</v>
      </c>
      <c r="V37" s="62">
        <v>83.075141305333133</v>
      </c>
      <c r="W37" s="62">
        <v>25.123349606620259</v>
      </c>
      <c r="X37" s="62">
        <v>7.538567197693375</v>
      </c>
      <c r="Y37" s="66">
        <v>227.02745059207069</v>
      </c>
      <c r="Z37" s="66">
        <v>68.122353062282343</v>
      </c>
      <c r="AA37" s="67">
        <v>0</v>
      </c>
      <c r="AB37" s="68">
        <v>41.515024405055073</v>
      </c>
      <c r="AC37" s="69">
        <v>0</v>
      </c>
      <c r="AD37" s="69">
        <v>13.261893083651854</v>
      </c>
      <c r="AE37" s="68">
        <v>9.9993405991061817</v>
      </c>
      <c r="AF37" s="68">
        <v>3.0004239967715884</v>
      </c>
      <c r="AG37" s="68">
        <v>0.76919397465681616</v>
      </c>
      <c r="AH37" s="69">
        <v>206.13545573552452</v>
      </c>
      <c r="AI37" s="69">
        <v>904.77307771046947</v>
      </c>
      <c r="AJ37" s="69">
        <v>3166.2598637898759</v>
      </c>
      <c r="AK37" s="69">
        <v>621.66528517405186</v>
      </c>
      <c r="AL37" s="69">
        <v>2781.6406934102379</v>
      </c>
      <c r="AM37" s="69">
        <v>2560.492309570312</v>
      </c>
      <c r="AN37" s="69">
        <v>880.19268391927073</v>
      </c>
      <c r="AO37" s="69">
        <v>1882.4026748657227</v>
      </c>
      <c r="AP37" s="69">
        <v>337.56486353874203</v>
      </c>
      <c r="AQ37" s="69">
        <v>811.35870351791368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1665.069586080315</v>
      </c>
      <c r="D39" s="30">
        <f t="shared" si="0"/>
        <v>13927.971749087175</v>
      </c>
      <c r="E39" s="30">
        <f t="shared" si="0"/>
        <v>196.22094914068757</v>
      </c>
      <c r="F39" s="30">
        <f t="shared" si="0"/>
        <v>0</v>
      </c>
      <c r="G39" s="30">
        <f t="shared" si="0"/>
        <v>57036.906667073526</v>
      </c>
      <c r="H39" s="31">
        <f t="shared" si="0"/>
        <v>658.02308477163331</v>
      </c>
      <c r="I39" s="29">
        <f t="shared" si="0"/>
        <v>8202.9849534908899</v>
      </c>
      <c r="J39" s="30">
        <f t="shared" si="0"/>
        <v>17708.443681081135</v>
      </c>
      <c r="K39" s="30">
        <f t="shared" si="0"/>
        <v>905.71135205626388</v>
      </c>
      <c r="L39" s="30">
        <f t="shared" si="0"/>
        <v>5.6468212604522297E-2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8916.1432958468613</v>
      </c>
      <c r="V39" s="264">
        <f t="shared" si="0"/>
        <v>2204.2943480413946</v>
      </c>
      <c r="W39" s="264">
        <f t="shared" si="0"/>
        <v>796.27975586011769</v>
      </c>
      <c r="X39" s="264">
        <f t="shared" si="0"/>
        <v>196.12390355512753</v>
      </c>
      <c r="Y39" s="264">
        <f t="shared" si="0"/>
        <v>6581.5839023620583</v>
      </c>
      <c r="Z39" s="264">
        <f t="shared" si="0"/>
        <v>1641.0837245195364</v>
      </c>
      <c r="AA39" s="272">
        <f t="shared" si="0"/>
        <v>0</v>
      </c>
      <c r="AB39" s="275">
        <f t="shared" si="0"/>
        <v>1335.7824016902155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7051.700932836533</v>
      </c>
      <c r="AI39" s="275">
        <f t="shared" si="1"/>
        <v>28241.655709679922</v>
      </c>
      <c r="AJ39" s="275">
        <f t="shared" si="1"/>
        <v>86816.738552729308</v>
      </c>
      <c r="AK39" s="275">
        <f t="shared" si="1"/>
        <v>18578.533016522724</v>
      </c>
      <c r="AL39" s="275">
        <f t="shared" si="1"/>
        <v>82456.242946561193</v>
      </c>
      <c r="AM39" s="275">
        <f t="shared" si="1"/>
        <v>79643.14093030295</v>
      </c>
      <c r="AN39" s="275">
        <f t="shared" si="1"/>
        <v>20364.968927971524</v>
      </c>
      <c r="AO39" s="275">
        <f t="shared" si="1"/>
        <v>57344.332750447589</v>
      </c>
      <c r="AP39" s="275">
        <f t="shared" si="1"/>
        <v>10215.776475207011</v>
      </c>
      <c r="AQ39" s="275">
        <f t="shared" si="1"/>
        <v>20801.335674222308</v>
      </c>
    </row>
    <row r="40" spans="1:43" ht="15.75" thickBot="1" x14ac:dyDescent="0.3">
      <c r="A40" s="47" t="s">
        <v>174</v>
      </c>
      <c r="B40" s="32">
        <f>Projection!$AB$30</f>
        <v>0.80583665399999982</v>
      </c>
      <c r="C40" s="33">
        <f>Projection!$AB$28</f>
        <v>1.2134866799999999</v>
      </c>
      <c r="D40" s="33">
        <f>Projection!$AB$31</f>
        <v>2.3118479999999999</v>
      </c>
      <c r="E40" s="33">
        <f>Projection!$AB$26</f>
        <v>4.3368000000000002</v>
      </c>
      <c r="F40" s="33">
        <f>Projection!$AB$23</f>
        <v>0</v>
      </c>
      <c r="G40" s="33">
        <f>Projection!$AB$24</f>
        <v>5.7325000000000001E-2</v>
      </c>
      <c r="H40" s="34">
        <f>Projection!$AB$29</f>
        <v>3.6159737999999999</v>
      </c>
      <c r="I40" s="32">
        <f>Projection!$AB$30</f>
        <v>0.80583665399999982</v>
      </c>
      <c r="J40" s="33">
        <f>Projection!$AB$28</f>
        <v>1.2134866799999999</v>
      </c>
      <c r="K40" s="33">
        <f>Projection!$AB$26</f>
        <v>4.3368000000000002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1.2134866799999999</v>
      </c>
      <c r="T40" s="38">
        <f>Projection!$AB$28</f>
        <v>1.2134866799999999</v>
      </c>
      <c r="U40" s="26">
        <f>Projection!$AB$27</f>
        <v>0.23649999999999999</v>
      </c>
      <c r="V40" s="27">
        <f>Projection!$AB$27</f>
        <v>0.23649999999999999</v>
      </c>
      <c r="W40" s="27">
        <f>Projection!$AB$22</f>
        <v>1.1599999999999999</v>
      </c>
      <c r="X40" s="27">
        <f>Projection!$AB$22</f>
        <v>1.1599999999999999</v>
      </c>
      <c r="Y40" s="27">
        <f>Projection!$AB$31</f>
        <v>2.3118479999999999</v>
      </c>
      <c r="Z40" s="27">
        <f>Projection!$AB$31</f>
        <v>2.3118479999999999</v>
      </c>
      <c r="AA40" s="28">
        <v>0</v>
      </c>
      <c r="AB40" s="41">
        <f>Projection!$AB$27</f>
        <v>0.23649999999999999</v>
      </c>
      <c r="AC40" s="41">
        <f>Projection!$AB$30</f>
        <v>0.80583665399999982</v>
      </c>
      <c r="AD40" s="279">
        <f>SUM(AD8:AD38)</f>
        <v>400.55988267991273</v>
      </c>
      <c r="AE40" s="279">
        <f>SUM(AE8:AE38)</f>
        <v>316.08022320446133</v>
      </c>
      <c r="AF40" s="279">
        <f>SUM(AF8:AF38)</f>
        <v>77.760673286017578</v>
      </c>
      <c r="AG40" s="279">
        <v>0.5</v>
      </c>
      <c r="AH40" s="315">
        <v>8.1000000000000003E-2</v>
      </c>
      <c r="AI40" s="315">
        <f t="shared" ref="AI40:AQ40" si="2">$AH$40</f>
        <v>8.1000000000000003E-2</v>
      </c>
      <c r="AJ40" s="315">
        <f t="shared" si="2"/>
        <v>8.1000000000000003E-2</v>
      </c>
      <c r="AK40" s="315">
        <f t="shared" si="2"/>
        <v>8.1000000000000003E-2</v>
      </c>
      <c r="AL40" s="315">
        <f t="shared" si="2"/>
        <v>8.1000000000000003E-2</v>
      </c>
      <c r="AM40" s="315">
        <f t="shared" si="2"/>
        <v>8.1000000000000003E-2</v>
      </c>
      <c r="AN40" s="315">
        <f t="shared" si="2"/>
        <v>8.1000000000000003E-2</v>
      </c>
      <c r="AO40" s="315">
        <f t="shared" si="2"/>
        <v>8.1000000000000003E-2</v>
      </c>
      <c r="AP40" s="315">
        <f t="shared" si="2"/>
        <v>8.1000000000000003E-2</v>
      </c>
      <c r="AQ40" s="315">
        <f t="shared" si="2"/>
        <v>8.1000000000000003E-2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2020.5397639815756</v>
      </c>
      <c r="D41" s="36">
        <f t="shared" si="3"/>
        <v>32199.353632183687</v>
      </c>
      <c r="E41" s="36">
        <f t="shared" si="3"/>
        <v>850.97101223333391</v>
      </c>
      <c r="F41" s="36">
        <f t="shared" si="3"/>
        <v>0</v>
      </c>
      <c r="G41" s="36">
        <f t="shared" si="3"/>
        <v>3269.6406746899897</v>
      </c>
      <c r="H41" s="37">
        <f t="shared" si="3"/>
        <v>2379.3942343294048</v>
      </c>
      <c r="I41" s="35">
        <f t="shared" si="3"/>
        <v>6610.2659477334428</v>
      </c>
      <c r="J41" s="36">
        <f t="shared" si="3"/>
        <v>21488.960530522123</v>
      </c>
      <c r="K41" s="36">
        <f t="shared" si="3"/>
        <v>3927.8889915976056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2108.6678894677825</v>
      </c>
      <c r="V41" s="270">
        <f t="shared" si="3"/>
        <v>521.31561331178978</v>
      </c>
      <c r="W41" s="270">
        <f t="shared" si="3"/>
        <v>923.68451679773648</v>
      </c>
      <c r="X41" s="270">
        <f t="shared" si="3"/>
        <v>227.50372812394792</v>
      </c>
      <c r="Y41" s="270">
        <f t="shared" si="3"/>
        <v>15215.621581507919</v>
      </c>
      <c r="Z41" s="270">
        <f t="shared" si="3"/>
        <v>3793.9361263630412</v>
      </c>
      <c r="AA41" s="274">
        <f t="shared" si="3"/>
        <v>0</v>
      </c>
      <c r="AB41" s="277">
        <f t="shared" si="3"/>
        <v>315.91253799973595</v>
      </c>
      <c r="AC41" s="277">
        <f t="shared" si="3"/>
        <v>0</v>
      </c>
      <c r="AH41" s="280">
        <f t="shared" ref="AH41:AQ41" si="4">AH40*AH39</f>
        <v>571.18777555975919</v>
      </c>
      <c r="AI41" s="280">
        <f t="shared" si="4"/>
        <v>2287.5741124840738</v>
      </c>
      <c r="AJ41" s="280">
        <f t="shared" si="4"/>
        <v>7032.1558227710739</v>
      </c>
      <c r="AK41" s="280">
        <f t="shared" si="4"/>
        <v>1504.8611743383408</v>
      </c>
      <c r="AL41" s="280">
        <f t="shared" si="4"/>
        <v>6678.9556786714566</v>
      </c>
      <c r="AM41" s="280">
        <f t="shared" si="4"/>
        <v>6451.0944153545388</v>
      </c>
      <c r="AN41" s="280">
        <f t="shared" si="4"/>
        <v>1649.5624831656935</v>
      </c>
      <c r="AO41" s="280">
        <f t="shared" si="4"/>
        <v>4644.8909527862552</v>
      </c>
      <c r="AP41" s="280">
        <f t="shared" si="4"/>
        <v>827.47789449176787</v>
      </c>
      <c r="AQ41" s="280">
        <f t="shared" si="4"/>
        <v>1684.9081896120069</v>
      </c>
    </row>
    <row r="42" spans="1:43" ht="49.5" customHeight="1" thickTop="1" thickBot="1" x14ac:dyDescent="0.3">
      <c r="A42" s="561" t="s">
        <v>226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578</v>
      </c>
      <c r="AI42" s="280" t="s">
        <v>199</v>
      </c>
      <c r="AJ42" s="280">
        <v>1643.45</v>
      </c>
      <c r="AK42" s="280">
        <v>645.07000000000005</v>
      </c>
      <c r="AL42" s="280">
        <v>745.34</v>
      </c>
      <c r="AM42" s="280">
        <v>4503.07</v>
      </c>
      <c r="AN42" s="280">
        <v>1005.98</v>
      </c>
      <c r="AO42" s="280" t="s">
        <v>199</v>
      </c>
      <c r="AP42" s="280">
        <v>81.08</v>
      </c>
      <c r="AQ42" s="280">
        <v>329.49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95853.656780843114</v>
      </c>
      <c r="C44" s="12"/>
      <c r="D44" s="284" t="s">
        <v>135</v>
      </c>
      <c r="E44" s="285">
        <f>SUM(B41:H41)+P41+R41+T41+V41+X41+Z41</f>
        <v>45262.654785216771</v>
      </c>
      <c r="F44" s="12"/>
      <c r="G44" s="284" t="s">
        <v>135</v>
      </c>
      <c r="H44" s="285">
        <f>SUM(I41:N41)+O41+Q41+S41+U41+W41+Y41</f>
        <v>50275.089457626607</v>
      </c>
      <c r="I44" s="12"/>
      <c r="J44" s="284" t="s">
        <v>200</v>
      </c>
      <c r="K44" s="285">
        <v>116794.97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33332.668499234969</v>
      </c>
      <c r="C45" s="12"/>
      <c r="D45" s="286" t="s">
        <v>185</v>
      </c>
      <c r="E45" s="287">
        <f>AH41*(1-$AG$40)+AI41+AJ41*0.5+AL41+AM41*(1-$AG$40)+AN41*(1-$AG$40)+AO41*(1-$AG$40)+AP41*0.5+AQ41*0.5</f>
        <v>20397.168558026078</v>
      </c>
      <c r="F45" s="24"/>
      <c r="G45" s="286" t="s">
        <v>185</v>
      </c>
      <c r="H45" s="287">
        <f>AH41*AG40+AJ41*0.5+AK41+AM41*AG40+AN41*AG40+AO41*AG40+AP41*0.5+AQ41*0.5</f>
        <v>12935.499941208889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992.40365941524522</v>
      </c>
      <c r="U45" s="258">
        <f>(T45*8.34*0.895)/27000</f>
        <v>0.27435550499900796</v>
      </c>
    </row>
    <row r="46" spans="1:43" ht="32.25" thickBot="1" x14ac:dyDescent="0.3">
      <c r="A46" s="288" t="s">
        <v>186</v>
      </c>
      <c r="B46" s="289">
        <f>SUM(AH42:AQ42)</f>
        <v>9531.48</v>
      </c>
      <c r="C46" s="12"/>
      <c r="D46" s="288" t="s">
        <v>186</v>
      </c>
      <c r="E46" s="289">
        <f>AH42*(1-$AG$40)+AJ42*0.5+AL42+AM42*(1-$AG$40)+AN42*(1-$AG$40)+AP42*0.5+AQ42*0.5</f>
        <v>4815.875</v>
      </c>
      <c r="F46" s="23"/>
      <c r="G46" s="288" t="s">
        <v>186</v>
      </c>
      <c r="H46" s="289">
        <f>AH42*AG40+AJ42*0.5+AK42+AM42*AG40+AN42*AG40+AP42*0.5+AQ42*0.5</f>
        <v>4715.6049999999996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116794.97</v>
      </c>
      <c r="C47" s="12"/>
      <c r="D47" s="288" t="s">
        <v>189</v>
      </c>
      <c r="E47" s="289">
        <f>K44*0.5</f>
        <v>58397.485000000001</v>
      </c>
      <c r="F47" s="24"/>
      <c r="G47" s="288" t="s">
        <v>187</v>
      </c>
      <c r="H47" s="289">
        <f>K44*0.5</f>
        <v>58397.485000000001</v>
      </c>
      <c r="I47" s="12"/>
      <c r="J47" s="284" t="s">
        <v>200</v>
      </c>
      <c r="K47" s="285">
        <v>67997.8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57036.906667073526</v>
      </c>
      <c r="U47" s="258">
        <f>T47/40000</f>
        <v>1.4259226666768381</v>
      </c>
    </row>
    <row r="48" spans="1:43" ht="24" thickBot="1" x14ac:dyDescent="0.3">
      <c r="A48" s="288" t="s">
        <v>188</v>
      </c>
      <c r="B48" s="289">
        <f>K47</f>
        <v>67997.8</v>
      </c>
      <c r="C48" s="12"/>
      <c r="D48" s="288" t="s">
        <v>188</v>
      </c>
      <c r="E48" s="289">
        <f>K47*0.5</f>
        <v>33998.9</v>
      </c>
      <c r="F48" s="23"/>
      <c r="G48" s="288" t="s">
        <v>188</v>
      </c>
      <c r="H48" s="289">
        <f>K47*0.5</f>
        <v>33998.9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5.6468212604522297E-2</v>
      </c>
      <c r="U48" s="258">
        <f>T48*9.34*0.107</f>
        <v>5.6433202312707487E-2</v>
      </c>
    </row>
    <row r="49" spans="1:25" ht="48" thickTop="1" thickBot="1" x14ac:dyDescent="0.3">
      <c r="A49" s="293" t="s">
        <v>196</v>
      </c>
      <c r="B49" s="294">
        <f>AD40</f>
        <v>400.55988267991273</v>
      </c>
      <c r="C49" s="12"/>
      <c r="D49" s="293" t="s">
        <v>197</v>
      </c>
      <c r="E49" s="294">
        <f>AF40</f>
        <v>77.760673286017578</v>
      </c>
      <c r="F49" s="23"/>
      <c r="G49" s="293" t="s">
        <v>198</v>
      </c>
      <c r="H49" s="294">
        <f>AE40</f>
        <v>316.08022320446133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1101.9323011969514</v>
      </c>
      <c r="U49" s="258">
        <f>(T49*8.34*1.04)/45000</f>
        <v>0.21239377794804171</v>
      </c>
    </row>
    <row r="50" spans="1:25" ht="48" thickTop="1" thickBot="1" x14ac:dyDescent="0.3">
      <c r="A50" s="293" t="s">
        <v>192</v>
      </c>
      <c r="B50" s="295">
        <f>(SUM(B44:B48)/AD40)</f>
        <v>807.64597072392121</v>
      </c>
      <c r="C50" s="12"/>
      <c r="D50" s="293" t="s">
        <v>190</v>
      </c>
      <c r="E50" s="295">
        <f>SUM(E44:E48)/AF40</f>
        <v>2094.5302613850881</v>
      </c>
      <c r="F50" s="23"/>
      <c r="G50" s="293" t="s">
        <v>191</v>
      </c>
      <c r="H50" s="295">
        <f>SUM(H44:H48)/AE40</f>
        <v>507.22116611240295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12456.220045578471</v>
      </c>
      <c r="U50" s="258">
        <f>T50/2000/8</f>
        <v>0.77851375284865443</v>
      </c>
    </row>
    <row r="51" spans="1:25" ht="47.25" customHeight="1" thickTop="1" thickBot="1" x14ac:dyDescent="0.3">
      <c r="A51" s="283" t="s">
        <v>193</v>
      </c>
      <c r="B51" s="296">
        <f>B50/1000</f>
        <v>0.80764597072392119</v>
      </c>
      <c r="C51" s="12"/>
      <c r="D51" s="283" t="s">
        <v>194</v>
      </c>
      <c r="E51" s="296">
        <f>E50/1000</f>
        <v>2.094530261385088</v>
      </c>
      <c r="F51" s="12"/>
      <c r="G51" s="283" t="s">
        <v>195</v>
      </c>
      <c r="H51" s="296">
        <f>H50/1000</f>
        <v>0.50722116611240298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19373.513267161448</v>
      </c>
      <c r="U51" s="258">
        <f>(T51*8.34*1.4)/45000</f>
        <v>5.0267809090528237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658.02308477163331</v>
      </c>
      <c r="U52" s="258">
        <f>(T52*8.34*1.135)/45000</f>
        <v>0.13841734929199564</v>
      </c>
    </row>
    <row r="53" spans="1:25" ht="48" customHeight="1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8202.9849534908899</v>
      </c>
      <c r="U53" s="258">
        <f>(T53*8.34*1.029*0.03)/3300</f>
        <v>0.63997153139059393</v>
      </c>
    </row>
    <row r="54" spans="1:25" ht="45.75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22150.639375968771</v>
      </c>
      <c r="U54" s="261">
        <f>(T54*1.54*8.34)/45000</f>
        <v>6.3220878197598331</v>
      </c>
    </row>
    <row r="55" spans="1:25" ht="24" thickTop="1" x14ac:dyDescent="0.25">
      <c r="A55" s="588"/>
      <c r="B55" s="58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0"/>
      <c r="B56" s="59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6"/>
      <c r="B57" s="58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7"/>
      <c r="B58" s="58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6"/>
      <c r="B59" s="58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7"/>
      <c r="B60" s="587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4"/>
  <sheetViews>
    <sheetView topLeftCell="A31" zoomScale="75" zoomScaleNormal="75" workbookViewId="0">
      <selection activeCell="A8" sqref="A8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3.140625" bestFit="1" customWidth="1"/>
    <col min="10" max="10" width="25.42578125" bestFit="1" customWidth="1"/>
    <col min="11" max="11" width="18.57031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5" t="s">
        <v>3</v>
      </c>
      <c r="C4" s="566"/>
      <c r="D4" s="566"/>
      <c r="E4" s="566"/>
      <c r="F4" s="566"/>
      <c r="G4" s="566"/>
      <c r="H4" s="567"/>
      <c r="I4" s="565" t="s">
        <v>4</v>
      </c>
      <c r="J4" s="566"/>
      <c r="K4" s="566"/>
      <c r="L4" s="566"/>
      <c r="M4" s="566"/>
      <c r="N4" s="567"/>
      <c r="O4" s="571" t="s">
        <v>5</v>
      </c>
      <c r="P4" s="572"/>
      <c r="Q4" s="573"/>
      <c r="R4" s="573"/>
      <c r="S4" s="573"/>
      <c r="T4" s="574"/>
      <c r="U4" s="565" t="s">
        <v>6</v>
      </c>
      <c r="V4" s="578"/>
      <c r="W4" s="578"/>
      <c r="X4" s="578"/>
      <c r="Y4" s="578"/>
      <c r="Z4" s="578"/>
      <c r="AA4" s="579"/>
      <c r="AB4" s="550" t="s">
        <v>7</v>
      </c>
      <c r="AC4" s="584" t="s">
        <v>8</v>
      </c>
      <c r="AD4" s="563" t="s">
        <v>27</v>
      </c>
      <c r="AE4" s="563" t="s">
        <v>31</v>
      </c>
      <c r="AF4" s="563" t="s">
        <v>32</v>
      </c>
      <c r="AG4" s="563" t="s">
        <v>33</v>
      </c>
      <c r="AH4" s="550" t="s">
        <v>175</v>
      </c>
      <c r="AI4" s="550" t="s">
        <v>176</v>
      </c>
      <c r="AJ4" s="550" t="s">
        <v>177</v>
      </c>
      <c r="AK4" s="550" t="s">
        <v>178</v>
      </c>
      <c r="AL4" s="550" t="s">
        <v>179</v>
      </c>
      <c r="AM4" s="550" t="s">
        <v>180</v>
      </c>
      <c r="AN4" s="550" t="s">
        <v>181</v>
      </c>
      <c r="AO4" s="550" t="s">
        <v>184</v>
      </c>
      <c r="AP4" s="550" t="s">
        <v>182</v>
      </c>
      <c r="AQ4" s="550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68"/>
      <c r="C5" s="569"/>
      <c r="D5" s="569"/>
      <c r="E5" s="569"/>
      <c r="F5" s="569"/>
      <c r="G5" s="569"/>
      <c r="H5" s="570"/>
      <c r="I5" s="568"/>
      <c r="J5" s="569"/>
      <c r="K5" s="569"/>
      <c r="L5" s="569"/>
      <c r="M5" s="569"/>
      <c r="N5" s="570"/>
      <c r="O5" s="575"/>
      <c r="P5" s="576"/>
      <c r="Q5" s="576"/>
      <c r="R5" s="576"/>
      <c r="S5" s="576"/>
      <c r="T5" s="577"/>
      <c r="U5" s="580"/>
      <c r="V5" s="581"/>
      <c r="W5" s="581"/>
      <c r="X5" s="581"/>
      <c r="Y5" s="581"/>
      <c r="Z5" s="581"/>
      <c r="AA5" s="582"/>
      <c r="AB5" s="583"/>
      <c r="AC5" s="585"/>
      <c r="AD5" s="564"/>
      <c r="AE5" s="564"/>
      <c r="AF5" s="564"/>
      <c r="AG5" s="564"/>
      <c r="AH5" s="551"/>
      <c r="AI5" s="551"/>
      <c r="AJ5" s="551"/>
      <c r="AK5" s="551"/>
      <c r="AL5" s="551"/>
      <c r="AM5" s="551"/>
      <c r="AN5" s="551"/>
      <c r="AO5" s="551"/>
      <c r="AP5" s="551"/>
      <c r="AQ5" s="551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42125</v>
      </c>
      <c r="B8" s="49"/>
      <c r="C8" s="50">
        <v>64.677521342039682</v>
      </c>
      <c r="D8" s="50">
        <v>519.58621238072635</v>
      </c>
      <c r="E8" s="50">
        <v>7.2409270579616152</v>
      </c>
      <c r="F8" s="50">
        <v>0</v>
      </c>
      <c r="G8" s="50">
        <v>1920.679805119828</v>
      </c>
      <c r="H8" s="51">
        <v>24.915377463897062</v>
      </c>
      <c r="I8" s="49">
        <v>264.67803777058873</v>
      </c>
      <c r="J8" s="50">
        <v>556.70097710291486</v>
      </c>
      <c r="K8" s="50">
        <v>28.546371175845369</v>
      </c>
      <c r="L8" s="50">
        <v>3.3800125122070515E-3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263.81824141803367</v>
      </c>
      <c r="V8" s="54">
        <v>81.47964460390061</v>
      </c>
      <c r="W8" s="54">
        <v>23.504241188286446</v>
      </c>
      <c r="X8" s="54">
        <v>7.2592297197195697</v>
      </c>
      <c r="Y8" s="54">
        <v>215.81533430985496</v>
      </c>
      <c r="Z8" s="54">
        <v>66.654059420308769</v>
      </c>
      <c r="AA8" s="55">
        <v>0</v>
      </c>
      <c r="AB8" s="56">
        <v>41.517803629238649</v>
      </c>
      <c r="AC8" s="57">
        <v>0</v>
      </c>
      <c r="AD8" s="57">
        <v>12.696813428401956</v>
      </c>
      <c r="AE8" s="58">
        <v>9.4948736451138878</v>
      </c>
      <c r="AF8" s="58">
        <v>2.9324694380664558</v>
      </c>
      <c r="AG8" s="58">
        <v>0.76403086175070067</v>
      </c>
      <c r="AH8" s="57">
        <v>213.55307148297621</v>
      </c>
      <c r="AI8" s="57">
        <v>907.36421693166119</v>
      </c>
      <c r="AJ8" s="57">
        <v>3101.2833133697504</v>
      </c>
      <c r="AK8" s="57">
        <v>610.07817783355711</v>
      </c>
      <c r="AL8" s="57">
        <v>2745.1317235310871</v>
      </c>
      <c r="AM8" s="57">
        <v>2595.7147961934406</v>
      </c>
      <c r="AN8" s="57">
        <v>856.83985201517748</v>
      </c>
      <c r="AO8" s="57">
        <v>1914.7510734558105</v>
      </c>
      <c r="AP8" s="57">
        <v>338.10471092859905</v>
      </c>
      <c r="AQ8" s="57">
        <v>696.47420473098771</v>
      </c>
    </row>
    <row r="9" spans="1:47" x14ac:dyDescent="0.25">
      <c r="A9" s="11">
        <v>42126</v>
      </c>
      <c r="B9" s="59"/>
      <c r="C9" s="60">
        <v>63.712292424837983</v>
      </c>
      <c r="D9" s="60">
        <v>509.92158826192269</v>
      </c>
      <c r="E9" s="60">
        <v>7.239673207203527</v>
      </c>
      <c r="F9" s="60">
        <v>0</v>
      </c>
      <c r="G9" s="60">
        <v>1917.8339937845833</v>
      </c>
      <c r="H9" s="61">
        <v>24.446837446093578</v>
      </c>
      <c r="I9" s="59">
        <v>275.26870722770707</v>
      </c>
      <c r="J9" s="60">
        <v>557.43645744323669</v>
      </c>
      <c r="K9" s="60">
        <v>28.267657003799989</v>
      </c>
      <c r="L9" s="60">
        <v>3.3800125122070515E-3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282.80836969248963</v>
      </c>
      <c r="V9" s="62">
        <v>84.835901585891847</v>
      </c>
      <c r="W9" s="62">
        <v>25.213850849905764</v>
      </c>
      <c r="X9" s="62">
        <v>7.5635659992306303</v>
      </c>
      <c r="Y9" s="66">
        <v>229.81642238603806</v>
      </c>
      <c r="Z9" s="66">
        <v>68.939555832676746</v>
      </c>
      <c r="AA9" s="67">
        <v>0</v>
      </c>
      <c r="AB9" s="68">
        <v>41.517242632971382</v>
      </c>
      <c r="AC9" s="69">
        <v>0</v>
      </c>
      <c r="AD9" s="69">
        <v>13.277554012669459</v>
      </c>
      <c r="AE9" s="68">
        <v>9.9998551521149857</v>
      </c>
      <c r="AF9" s="68">
        <v>2.9997228458282406</v>
      </c>
      <c r="AG9" s="68">
        <v>0.76924459807057943</v>
      </c>
      <c r="AH9" s="69">
        <v>209.49442604382833</v>
      </c>
      <c r="AI9" s="69">
        <v>905.85294615427654</v>
      </c>
      <c r="AJ9" s="69">
        <v>3123.4699881235765</v>
      </c>
      <c r="AK9" s="69">
        <v>611.20071236292529</v>
      </c>
      <c r="AL9" s="69">
        <v>2734.8184794108074</v>
      </c>
      <c r="AM9" s="69">
        <v>2543.1784837086993</v>
      </c>
      <c r="AN9" s="69">
        <v>893.60919272104923</v>
      </c>
      <c r="AO9" s="69">
        <v>1891.2082097371422</v>
      </c>
      <c r="AP9" s="69">
        <v>339.6494606018066</v>
      </c>
      <c r="AQ9" s="69">
        <v>729.67876736323035</v>
      </c>
    </row>
    <row r="10" spans="1:47" x14ac:dyDescent="0.25">
      <c r="A10" s="11">
        <v>42127</v>
      </c>
      <c r="B10" s="59"/>
      <c r="C10" s="60">
        <v>63.437908522288495</v>
      </c>
      <c r="D10" s="60">
        <v>509.90764856338529</v>
      </c>
      <c r="E10" s="60">
        <v>7.3726193805535525</v>
      </c>
      <c r="F10" s="60">
        <v>0</v>
      </c>
      <c r="G10" s="60">
        <v>1917.9860523223863</v>
      </c>
      <c r="H10" s="61">
        <v>24.382469394803049</v>
      </c>
      <c r="I10" s="59">
        <v>292.61503814061479</v>
      </c>
      <c r="J10" s="60">
        <v>578.84004548390703</v>
      </c>
      <c r="K10" s="60">
        <v>29.779054321845347</v>
      </c>
      <c r="L10" s="60">
        <v>3.3800125122070515E-3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297.94510498180961</v>
      </c>
      <c r="V10" s="62">
        <v>85.925274550898919</v>
      </c>
      <c r="W10" s="62">
        <v>26.296166168308076</v>
      </c>
      <c r="X10" s="62">
        <v>7.5836295339904316</v>
      </c>
      <c r="Y10" s="66">
        <v>237.78968512511784</v>
      </c>
      <c r="Z10" s="66">
        <v>68.576874189609512</v>
      </c>
      <c r="AA10" s="67">
        <v>0</v>
      </c>
      <c r="AB10" s="68">
        <v>41.513623566097174</v>
      </c>
      <c r="AC10" s="69">
        <v>0</v>
      </c>
      <c r="AD10" s="69">
        <v>13.68764776521261</v>
      </c>
      <c r="AE10" s="68">
        <v>10.401098000017313</v>
      </c>
      <c r="AF10" s="68">
        <v>2.9996035723992081</v>
      </c>
      <c r="AG10" s="68">
        <v>0.77616070649812285</v>
      </c>
      <c r="AH10" s="69">
        <v>205.6532230695089</v>
      </c>
      <c r="AI10" s="69">
        <v>908.12508729298918</v>
      </c>
      <c r="AJ10" s="69">
        <v>3139.033261362712</v>
      </c>
      <c r="AK10" s="69">
        <v>613.27400503158583</v>
      </c>
      <c r="AL10" s="69">
        <v>2736.8345939636229</v>
      </c>
      <c r="AM10" s="69">
        <v>2526.6081054687497</v>
      </c>
      <c r="AN10" s="69">
        <v>899.6188084284463</v>
      </c>
      <c r="AO10" s="69">
        <v>1909.5272894541422</v>
      </c>
      <c r="AP10" s="69">
        <v>342.38314193089798</v>
      </c>
      <c r="AQ10" s="69">
        <v>706.08682559331248</v>
      </c>
    </row>
    <row r="11" spans="1:47" x14ac:dyDescent="0.25">
      <c r="A11" s="11">
        <v>42128</v>
      </c>
      <c r="B11" s="59"/>
      <c r="C11" s="60">
        <v>64.472166903813815</v>
      </c>
      <c r="D11" s="60">
        <v>510.80521144867015</v>
      </c>
      <c r="E11" s="60">
        <v>7.4095228562752329</v>
      </c>
      <c r="F11" s="60">
        <v>0</v>
      </c>
      <c r="G11" s="60">
        <v>1917.9165395100838</v>
      </c>
      <c r="H11" s="61">
        <v>24.456896433234181</v>
      </c>
      <c r="I11" s="59">
        <v>279.17340604464169</v>
      </c>
      <c r="J11" s="60">
        <v>546.96577294667611</v>
      </c>
      <c r="K11" s="60">
        <v>28.001662883162467</v>
      </c>
      <c r="L11" s="60">
        <v>3.3800125122070515E-3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277.58235651496688</v>
      </c>
      <c r="V11" s="62">
        <v>78.692311383849429</v>
      </c>
      <c r="W11" s="62">
        <v>24.795919746163225</v>
      </c>
      <c r="X11" s="62">
        <v>7.0294389824045194</v>
      </c>
      <c r="Y11" s="66">
        <v>217.7626052157201</v>
      </c>
      <c r="Z11" s="66">
        <v>61.73390467801493</v>
      </c>
      <c r="AA11" s="67">
        <v>0</v>
      </c>
      <c r="AB11" s="68">
        <v>39.247945875592166</v>
      </c>
      <c r="AC11" s="69">
        <v>0</v>
      </c>
      <c r="AD11" s="69">
        <v>12.739432610405821</v>
      </c>
      <c r="AE11" s="68">
        <v>9.7157205322194251</v>
      </c>
      <c r="AF11" s="68">
        <v>2.7543267340143323</v>
      </c>
      <c r="AG11" s="68">
        <v>0.77912459550394297</v>
      </c>
      <c r="AH11" s="69">
        <v>219.50843929449712</v>
      </c>
      <c r="AI11" s="69">
        <v>914.0899999618531</v>
      </c>
      <c r="AJ11" s="69">
        <v>3120.3534080505374</v>
      </c>
      <c r="AK11" s="69">
        <v>617.82563997904458</v>
      </c>
      <c r="AL11" s="69">
        <v>2813.8267884572347</v>
      </c>
      <c r="AM11" s="69">
        <v>2605.5542966206867</v>
      </c>
      <c r="AN11" s="69">
        <v>807.29819533030184</v>
      </c>
      <c r="AO11" s="69">
        <v>1872.7467793782555</v>
      </c>
      <c r="AP11" s="69">
        <v>339.72283638318379</v>
      </c>
      <c r="AQ11" s="69">
        <v>679.26799112955734</v>
      </c>
    </row>
    <row r="12" spans="1:47" x14ac:dyDescent="0.25">
      <c r="A12" s="11">
        <v>42129</v>
      </c>
      <c r="B12" s="59"/>
      <c r="C12" s="60">
        <v>66.947589083512312</v>
      </c>
      <c r="D12" s="60">
        <v>534.58290335337358</v>
      </c>
      <c r="E12" s="60">
        <v>7.5913026680548974</v>
      </c>
      <c r="F12" s="60">
        <v>0</v>
      </c>
      <c r="G12" s="60">
        <v>1941.1931800842267</v>
      </c>
      <c r="H12" s="61">
        <v>25.570583054423388</v>
      </c>
      <c r="I12" s="59">
        <v>234.89993893305424</v>
      </c>
      <c r="J12" s="60">
        <v>448.97307996749834</v>
      </c>
      <c r="K12" s="60">
        <v>22.923684152960803</v>
      </c>
      <c r="L12" s="60">
        <v>3.3800125122070515E-3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236.20979688656658</v>
      </c>
      <c r="V12" s="62">
        <v>92.970522899506406</v>
      </c>
      <c r="W12" s="62">
        <v>20.300320076028527</v>
      </c>
      <c r="X12" s="62">
        <v>7.9900639066298336</v>
      </c>
      <c r="Y12" s="66">
        <v>175.01351152522054</v>
      </c>
      <c r="Z12" s="66">
        <v>68.884093274049519</v>
      </c>
      <c r="AA12" s="67">
        <v>0</v>
      </c>
      <c r="AB12" s="68">
        <v>33.185331744617343</v>
      </c>
      <c r="AC12" s="69">
        <v>0</v>
      </c>
      <c r="AD12" s="69">
        <v>11.233158976501898</v>
      </c>
      <c r="AE12" s="68">
        <v>7.8879559901871525</v>
      </c>
      <c r="AF12" s="68">
        <v>3.1046442725157739</v>
      </c>
      <c r="AG12" s="68">
        <v>0.71756961971503674</v>
      </c>
      <c r="AH12" s="69">
        <v>228.85323220888773</v>
      </c>
      <c r="AI12" s="69">
        <v>917.6607089996337</v>
      </c>
      <c r="AJ12" s="69">
        <v>3086.9455912272138</v>
      </c>
      <c r="AK12" s="69">
        <v>606.4373644828795</v>
      </c>
      <c r="AL12" s="69">
        <v>2838.2636412302654</v>
      </c>
      <c r="AM12" s="69">
        <v>2666.5659882863356</v>
      </c>
      <c r="AN12" s="69">
        <v>643.76881411870329</v>
      </c>
      <c r="AO12" s="69">
        <v>1742.2388870239258</v>
      </c>
      <c r="AP12" s="69">
        <v>335.53972848256433</v>
      </c>
      <c r="AQ12" s="69">
        <v>607.00490592320762</v>
      </c>
    </row>
    <row r="13" spans="1:47" x14ac:dyDescent="0.25">
      <c r="A13" s="11">
        <v>42130</v>
      </c>
      <c r="B13" s="59"/>
      <c r="C13" s="60">
        <v>84.216914415359852</v>
      </c>
      <c r="D13" s="60">
        <v>672.79077469507797</v>
      </c>
      <c r="E13" s="60">
        <v>9.1235125040014573</v>
      </c>
      <c r="F13" s="60">
        <v>0</v>
      </c>
      <c r="G13" s="60">
        <v>2285.2107137044286</v>
      </c>
      <c r="H13" s="61">
        <v>32.254557722807029</v>
      </c>
      <c r="I13" s="59">
        <v>235.64068528811077</v>
      </c>
      <c r="J13" s="60">
        <v>448.6371447563173</v>
      </c>
      <c r="K13" s="60">
        <v>22.628277767697963</v>
      </c>
      <c r="L13" s="60">
        <v>3.3800125122070515E-3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227.73091276663095</v>
      </c>
      <c r="V13" s="62">
        <v>116.95090136351469</v>
      </c>
      <c r="W13" s="62">
        <v>19.758150772662006</v>
      </c>
      <c r="X13" s="62">
        <v>10.146771529901994</v>
      </c>
      <c r="Y13" s="66">
        <v>166.66534634736942</v>
      </c>
      <c r="Z13" s="66">
        <v>85.59076255651533</v>
      </c>
      <c r="AA13" s="67">
        <v>0</v>
      </c>
      <c r="AB13" s="68">
        <v>33.187297172016407</v>
      </c>
      <c r="AC13" s="69">
        <v>0</v>
      </c>
      <c r="AD13" s="69">
        <v>11.625871866610312</v>
      </c>
      <c r="AE13" s="68">
        <v>7.5237020443869911</v>
      </c>
      <c r="AF13" s="68">
        <v>3.8637869799576356</v>
      </c>
      <c r="AG13" s="68">
        <v>0.66069895025167724</v>
      </c>
      <c r="AH13" s="69">
        <v>228.78592055638634</v>
      </c>
      <c r="AI13" s="69">
        <v>924.2221674601235</v>
      </c>
      <c r="AJ13" s="69">
        <v>3114.6426995595293</v>
      </c>
      <c r="AK13" s="69">
        <v>600.54753732681274</v>
      </c>
      <c r="AL13" s="69">
        <v>2987.7963413238526</v>
      </c>
      <c r="AM13" s="69">
        <v>2716.7049212137867</v>
      </c>
      <c r="AN13" s="69">
        <v>611.47763554255164</v>
      </c>
      <c r="AO13" s="69">
        <v>1831.2729906082154</v>
      </c>
      <c r="AP13" s="69">
        <v>329.44267272949219</v>
      </c>
      <c r="AQ13" s="69">
        <v>669.62701889673872</v>
      </c>
    </row>
    <row r="14" spans="1:47" x14ac:dyDescent="0.25">
      <c r="A14" s="11">
        <v>42131</v>
      </c>
      <c r="B14" s="59"/>
      <c r="C14" s="60">
        <v>84.519446194172588</v>
      </c>
      <c r="D14" s="60">
        <v>677.75291649500411</v>
      </c>
      <c r="E14" s="60">
        <v>9.1384835864106879</v>
      </c>
      <c r="F14" s="60">
        <v>0</v>
      </c>
      <c r="G14" s="60">
        <v>2435.7185441335009</v>
      </c>
      <c r="H14" s="61">
        <v>29.753833308816031</v>
      </c>
      <c r="I14" s="59">
        <v>236.06150353749561</v>
      </c>
      <c r="J14" s="60">
        <v>445.59039249420186</v>
      </c>
      <c r="K14" s="60">
        <v>23.013791094223681</v>
      </c>
      <c r="L14" s="60">
        <v>3.3800125122070515E-3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238.48577194777025</v>
      </c>
      <c r="V14" s="62">
        <v>119.23921366234427</v>
      </c>
      <c r="W14" s="62">
        <v>20.436870354758035</v>
      </c>
      <c r="X14" s="62">
        <v>10.218120481226498</v>
      </c>
      <c r="Y14" s="66">
        <v>173.55461068591703</v>
      </c>
      <c r="Z14" s="66">
        <v>86.774632870741044</v>
      </c>
      <c r="AA14" s="67">
        <v>0</v>
      </c>
      <c r="AB14" s="68">
        <v>33.18477803866022</v>
      </c>
      <c r="AC14" s="69">
        <v>0</v>
      </c>
      <c r="AD14" s="69">
        <v>12.003480430112967</v>
      </c>
      <c r="AE14" s="68">
        <v>7.8892855896856551</v>
      </c>
      <c r="AF14" s="68">
        <v>3.9445213120630229</v>
      </c>
      <c r="AG14" s="68">
        <v>0.66667351049304835</v>
      </c>
      <c r="AH14" s="69">
        <v>229.49112840493518</v>
      </c>
      <c r="AI14" s="69">
        <v>920.63447494506852</v>
      </c>
      <c r="AJ14" s="69">
        <v>3136.707690175374</v>
      </c>
      <c r="AK14" s="69">
        <v>599.83470182418819</v>
      </c>
      <c r="AL14" s="69">
        <v>2988.4002286275222</v>
      </c>
      <c r="AM14" s="69">
        <v>2745.5364874521897</v>
      </c>
      <c r="AN14" s="69">
        <v>596.11109075546267</v>
      </c>
      <c r="AO14" s="69">
        <v>1920.9112546284996</v>
      </c>
      <c r="AP14" s="69">
        <v>322.58336933453882</v>
      </c>
      <c r="AQ14" s="69">
        <v>634.63738495508835</v>
      </c>
    </row>
    <row r="15" spans="1:47" x14ac:dyDescent="0.25">
      <c r="A15" s="11">
        <v>42132</v>
      </c>
      <c r="B15" s="59"/>
      <c r="C15" s="60">
        <v>84.002855801582143</v>
      </c>
      <c r="D15" s="60">
        <v>677.91277389526317</v>
      </c>
      <c r="E15" s="60">
        <v>9.134204862018402</v>
      </c>
      <c r="F15" s="60">
        <v>0</v>
      </c>
      <c r="G15" s="60">
        <v>2361.0486822764015</v>
      </c>
      <c r="H15" s="61">
        <v>32.53186452190085</v>
      </c>
      <c r="I15" s="59">
        <v>237.4117979049677</v>
      </c>
      <c r="J15" s="60">
        <v>444.89930152893095</v>
      </c>
      <c r="K15" s="60">
        <v>22.812966665625581</v>
      </c>
      <c r="L15" s="60">
        <v>3.3800125122070515E-3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241.43864914336098</v>
      </c>
      <c r="V15" s="62">
        <v>120.72553470639872</v>
      </c>
      <c r="W15" s="62">
        <v>20.473643366958161</v>
      </c>
      <c r="X15" s="62">
        <v>10.237348293795749</v>
      </c>
      <c r="Y15" s="66">
        <v>176.03681709042678</v>
      </c>
      <c r="Z15" s="66">
        <v>88.022936454698367</v>
      </c>
      <c r="AA15" s="67">
        <v>0</v>
      </c>
      <c r="AB15" s="68">
        <v>33.185491493012762</v>
      </c>
      <c r="AC15" s="69">
        <v>0</v>
      </c>
      <c r="AD15" s="69">
        <v>12.170357193549492</v>
      </c>
      <c r="AE15" s="68">
        <v>7.9998273876057606</v>
      </c>
      <c r="AF15" s="68">
        <v>4.0001194603857204</v>
      </c>
      <c r="AG15" s="68">
        <v>0.66665523513920821</v>
      </c>
      <c r="AH15" s="69">
        <v>235.20327289104461</v>
      </c>
      <c r="AI15" s="69">
        <v>931.92427736918114</v>
      </c>
      <c r="AJ15" s="69">
        <v>3141.2727280934655</v>
      </c>
      <c r="AK15" s="69">
        <v>603.38407080968216</v>
      </c>
      <c r="AL15" s="69">
        <v>2981.5987069447838</v>
      </c>
      <c r="AM15" s="69">
        <v>2758.615389378866</v>
      </c>
      <c r="AN15" s="69">
        <v>596.85585597356157</v>
      </c>
      <c r="AO15" s="69">
        <v>1822.4405451456705</v>
      </c>
      <c r="AP15" s="69">
        <v>310.12904629707333</v>
      </c>
      <c r="AQ15" s="69">
        <v>616.27424748738611</v>
      </c>
    </row>
    <row r="16" spans="1:47" x14ac:dyDescent="0.25">
      <c r="A16" s="11">
        <v>42133</v>
      </c>
      <c r="B16" s="59"/>
      <c r="C16" s="60">
        <v>84.583047779401014</v>
      </c>
      <c r="D16" s="60">
        <v>677.35245405832836</v>
      </c>
      <c r="E16" s="60">
        <v>9.1146539002656777</v>
      </c>
      <c r="F16" s="60">
        <v>0</v>
      </c>
      <c r="G16" s="60">
        <v>2325.3684893290224</v>
      </c>
      <c r="H16" s="61">
        <v>32.448269718885442</v>
      </c>
      <c r="I16" s="59">
        <v>238.43184660275736</v>
      </c>
      <c r="J16" s="60">
        <v>443.88468767801965</v>
      </c>
      <c r="K16" s="60">
        <v>22.656338423490567</v>
      </c>
      <c r="L16" s="60">
        <v>3.3800125122070515E-3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237.67038959374091</v>
      </c>
      <c r="V16" s="62">
        <v>118.84652462558431</v>
      </c>
      <c r="W16" s="62">
        <v>20.278631575034435</v>
      </c>
      <c r="X16" s="62">
        <v>10.140282476816164</v>
      </c>
      <c r="Y16" s="66">
        <v>175.55186864118269</v>
      </c>
      <c r="Z16" s="66">
        <v>87.784302938177674</v>
      </c>
      <c r="AA16" s="67">
        <v>0</v>
      </c>
      <c r="AB16" s="68">
        <v>33.233818040953629</v>
      </c>
      <c r="AC16" s="69">
        <v>0</v>
      </c>
      <c r="AD16" s="69">
        <v>12.165936360756554</v>
      </c>
      <c r="AE16" s="68">
        <v>7.9991975864425022</v>
      </c>
      <c r="AF16" s="68">
        <v>3.9999801177045322</v>
      </c>
      <c r="AG16" s="68">
        <v>0.66664548052137784</v>
      </c>
      <c r="AH16" s="69">
        <v>260.95337756474817</v>
      </c>
      <c r="AI16" s="69">
        <v>952.25080661773666</v>
      </c>
      <c r="AJ16" s="69">
        <v>3096.309447097778</v>
      </c>
      <c r="AK16" s="69">
        <v>617.15493574142477</v>
      </c>
      <c r="AL16" s="69">
        <v>3076.9761164347328</v>
      </c>
      <c r="AM16" s="69">
        <v>2753.4807439168294</v>
      </c>
      <c r="AN16" s="69">
        <v>596.26282607714336</v>
      </c>
      <c r="AO16" s="69">
        <v>1812.3600560506184</v>
      </c>
      <c r="AP16" s="69">
        <v>312.7749959945678</v>
      </c>
      <c r="AQ16" s="69">
        <v>602.64241018295297</v>
      </c>
    </row>
    <row r="17" spans="1:43" x14ac:dyDescent="0.25">
      <c r="A17" s="11">
        <v>42134</v>
      </c>
      <c r="B17" s="49"/>
      <c r="C17" s="50">
        <v>84.645224165916801</v>
      </c>
      <c r="D17" s="50">
        <v>679.57561070124279</v>
      </c>
      <c r="E17" s="50">
        <v>9.1211939255396359</v>
      </c>
      <c r="F17" s="50">
        <v>0</v>
      </c>
      <c r="G17" s="50">
        <v>2558.5995374043828</v>
      </c>
      <c r="H17" s="51">
        <v>32.573029392957721</v>
      </c>
      <c r="I17" s="49">
        <v>238.6580731074009</v>
      </c>
      <c r="J17" s="50">
        <v>444.50827461878441</v>
      </c>
      <c r="K17" s="50">
        <v>22.596594764789007</v>
      </c>
      <c r="L17" s="60">
        <v>3.3800125122070515E-3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221.07880719560367</v>
      </c>
      <c r="V17" s="66">
        <v>110.52977887201914</v>
      </c>
      <c r="W17" s="62">
        <v>19.122541456088012</v>
      </c>
      <c r="X17" s="62">
        <v>9.5604382230195846</v>
      </c>
      <c r="Y17" s="66">
        <v>171.10712553480738</v>
      </c>
      <c r="Z17" s="66">
        <v>85.546113572324202</v>
      </c>
      <c r="AA17" s="67">
        <v>0</v>
      </c>
      <c r="AB17" s="68">
        <v>33.507437099351087</v>
      </c>
      <c r="AC17" s="69">
        <v>0</v>
      </c>
      <c r="AD17" s="69">
        <v>12.032846977313355</v>
      </c>
      <c r="AE17" s="68">
        <v>7.9124464203212979</v>
      </c>
      <c r="AF17" s="68">
        <v>3.9558787396614994</v>
      </c>
      <c r="AG17" s="68">
        <v>0.66668601623759072</v>
      </c>
      <c r="AH17" s="69">
        <v>294.94077985286719</v>
      </c>
      <c r="AI17" s="69">
        <v>986.69100138346357</v>
      </c>
      <c r="AJ17" s="69">
        <v>3073.460698954264</v>
      </c>
      <c r="AK17" s="69">
        <v>629.7259475390116</v>
      </c>
      <c r="AL17" s="69">
        <v>3108.1356520334884</v>
      </c>
      <c r="AM17" s="69">
        <v>2794.0252003987634</v>
      </c>
      <c r="AN17" s="69">
        <v>612.20438065528867</v>
      </c>
      <c r="AO17" s="69">
        <v>1807.5185264587403</v>
      </c>
      <c r="AP17" s="69">
        <v>315.09884354273476</v>
      </c>
      <c r="AQ17" s="69">
        <v>566.20976215998326</v>
      </c>
    </row>
    <row r="18" spans="1:43" x14ac:dyDescent="0.25">
      <c r="A18" s="11">
        <v>42135</v>
      </c>
      <c r="B18" s="59"/>
      <c r="C18" s="60">
        <v>85.069490694999999</v>
      </c>
      <c r="D18" s="60">
        <v>680.48859796524073</v>
      </c>
      <c r="E18" s="60">
        <v>9.9872429539759668</v>
      </c>
      <c r="F18" s="60">
        <v>0</v>
      </c>
      <c r="G18" s="60">
        <v>2671.8779640197631</v>
      </c>
      <c r="H18" s="61">
        <v>32.63131552934648</v>
      </c>
      <c r="I18" s="59">
        <v>238.9405885537459</v>
      </c>
      <c r="J18" s="60">
        <v>444.95135199228929</v>
      </c>
      <c r="K18" s="60">
        <v>22.608667529622767</v>
      </c>
      <c r="L18" s="60">
        <v>3.3800125122070515E-3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223.53740825587826</v>
      </c>
      <c r="V18" s="62">
        <v>106.02244925034809</v>
      </c>
      <c r="W18" s="62">
        <v>18.717238619790397</v>
      </c>
      <c r="X18" s="62">
        <v>8.8774737846196636</v>
      </c>
      <c r="Y18" s="66">
        <v>166.2978681975024</v>
      </c>
      <c r="Z18" s="66">
        <v>78.874079416849142</v>
      </c>
      <c r="AA18" s="67">
        <v>0</v>
      </c>
      <c r="AB18" s="68">
        <v>33.51096901363762</v>
      </c>
      <c r="AC18" s="69">
        <v>0</v>
      </c>
      <c r="AD18" s="69">
        <v>11.631872786747072</v>
      </c>
      <c r="AE18" s="68">
        <v>7.7801388326850702</v>
      </c>
      <c r="AF18" s="68">
        <v>3.6900730888174453</v>
      </c>
      <c r="AG18" s="68">
        <v>0.67829076619762463</v>
      </c>
      <c r="AH18" s="69">
        <v>262.99018796284997</v>
      </c>
      <c r="AI18" s="69">
        <v>953.98342310587566</v>
      </c>
      <c r="AJ18" s="69">
        <v>3099.2859099070229</v>
      </c>
      <c r="AK18" s="69">
        <v>602.02460133234638</v>
      </c>
      <c r="AL18" s="69">
        <v>2963.5275004069013</v>
      </c>
      <c r="AM18" s="69">
        <v>2788.4226500193272</v>
      </c>
      <c r="AN18" s="69">
        <v>605.33802741368606</v>
      </c>
      <c r="AO18" s="69">
        <v>1817.3676701863608</v>
      </c>
      <c r="AP18" s="69">
        <v>313.53697368303926</v>
      </c>
      <c r="AQ18" s="69">
        <v>575.21384865442917</v>
      </c>
    </row>
    <row r="19" spans="1:43" x14ac:dyDescent="0.25">
      <c r="A19" s="11">
        <v>42136</v>
      </c>
      <c r="B19" s="59"/>
      <c r="C19" s="60">
        <v>77.179942754904573</v>
      </c>
      <c r="D19" s="60">
        <v>615.21043087641215</v>
      </c>
      <c r="E19" s="60">
        <v>8.9512159029642842</v>
      </c>
      <c r="F19" s="60">
        <v>0</v>
      </c>
      <c r="G19" s="60">
        <v>2427.905355834961</v>
      </c>
      <c r="H19" s="61">
        <v>29.484449304143649</v>
      </c>
      <c r="I19" s="59">
        <v>257.00497762362141</v>
      </c>
      <c r="J19" s="60">
        <v>456.51271996498036</v>
      </c>
      <c r="K19" s="60">
        <v>23.252904891967816</v>
      </c>
      <c r="L19" s="60">
        <v>3.3800125122070515E-3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228.98979882158002</v>
      </c>
      <c r="V19" s="62">
        <v>103.36540243336933</v>
      </c>
      <c r="W19" s="62">
        <v>19.314649708395176</v>
      </c>
      <c r="X19" s="62">
        <v>8.7185828811675421</v>
      </c>
      <c r="Y19" s="66">
        <v>187.39064904252541</v>
      </c>
      <c r="Z19" s="66">
        <v>84.58765390515515</v>
      </c>
      <c r="AA19" s="67">
        <v>0</v>
      </c>
      <c r="AB19" s="68">
        <v>33.512448708215743</v>
      </c>
      <c r="AC19" s="69">
        <v>0</v>
      </c>
      <c r="AD19" s="69">
        <v>11.627615483601902</v>
      </c>
      <c r="AE19" s="68">
        <v>7.8963466810844789</v>
      </c>
      <c r="AF19" s="68">
        <v>3.5643904516447735</v>
      </c>
      <c r="AG19" s="68">
        <v>0.68899116955874617</v>
      </c>
      <c r="AH19" s="69">
        <v>238.67931454181678</v>
      </c>
      <c r="AI19" s="69">
        <v>932.64295279184978</v>
      </c>
      <c r="AJ19" s="69">
        <v>3112.1087783813473</v>
      </c>
      <c r="AK19" s="69">
        <v>604.0234277089437</v>
      </c>
      <c r="AL19" s="69">
        <v>2782.8555761973062</v>
      </c>
      <c r="AM19" s="69">
        <v>2701.4806671142583</v>
      </c>
      <c r="AN19" s="69">
        <v>582.81214243570969</v>
      </c>
      <c r="AO19" s="69">
        <v>1792.8202252705892</v>
      </c>
      <c r="AP19" s="69">
        <v>331.754367574056</v>
      </c>
      <c r="AQ19" s="69">
        <v>750.05743055343623</v>
      </c>
    </row>
    <row r="20" spans="1:43" x14ac:dyDescent="0.25">
      <c r="A20" s="11">
        <v>42137</v>
      </c>
      <c r="B20" s="59"/>
      <c r="C20" s="60">
        <v>68.483689610163637</v>
      </c>
      <c r="D20" s="60">
        <v>548.4956486066186</v>
      </c>
      <c r="E20" s="60">
        <v>7.6983872056007616</v>
      </c>
      <c r="F20" s="60">
        <v>0</v>
      </c>
      <c r="G20" s="60">
        <v>2096.3934206644749</v>
      </c>
      <c r="H20" s="61">
        <v>26.254237075646721</v>
      </c>
      <c r="I20" s="59">
        <v>249.12846096356679</v>
      </c>
      <c r="J20" s="60">
        <v>445.52695446014366</v>
      </c>
      <c r="K20" s="60">
        <v>22.769399662812592</v>
      </c>
      <c r="L20" s="60">
        <v>3.3800125122070515E-3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234.33842571082457</v>
      </c>
      <c r="V20" s="62">
        <v>94.009933354759866</v>
      </c>
      <c r="W20" s="62">
        <v>19.245334265713318</v>
      </c>
      <c r="X20" s="62">
        <v>7.7206825394586254</v>
      </c>
      <c r="Y20" s="66">
        <v>187.64721297881783</v>
      </c>
      <c r="Z20" s="66">
        <v>75.278742412112379</v>
      </c>
      <c r="AA20" s="67">
        <v>0</v>
      </c>
      <c r="AB20" s="68">
        <v>33.515261385174909</v>
      </c>
      <c r="AC20" s="69">
        <v>0</v>
      </c>
      <c r="AD20" s="69">
        <v>11.232052971588258</v>
      </c>
      <c r="AE20" s="68">
        <v>7.90459289164626</v>
      </c>
      <c r="AF20" s="68">
        <v>3.171098588232292</v>
      </c>
      <c r="AG20" s="68">
        <v>0.71368843254678094</v>
      </c>
      <c r="AH20" s="69">
        <v>219.24490216573079</v>
      </c>
      <c r="AI20" s="69">
        <v>914.04814764658602</v>
      </c>
      <c r="AJ20" s="69">
        <v>3087.6634595235191</v>
      </c>
      <c r="AK20" s="69">
        <v>613.04844109217322</v>
      </c>
      <c r="AL20" s="69">
        <v>2678.7022126515708</v>
      </c>
      <c r="AM20" s="69">
        <v>2602.2921343485514</v>
      </c>
      <c r="AN20" s="69">
        <v>595.52306397755945</v>
      </c>
      <c r="AO20" s="69">
        <v>1761.5653484344482</v>
      </c>
      <c r="AP20" s="69">
        <v>334.73406953811644</v>
      </c>
      <c r="AQ20" s="69">
        <v>645.35028374989838</v>
      </c>
    </row>
    <row r="21" spans="1:43" x14ac:dyDescent="0.25">
      <c r="A21" s="11">
        <v>42138</v>
      </c>
      <c r="B21" s="59"/>
      <c r="C21" s="60">
        <v>84.170256539186198</v>
      </c>
      <c r="D21" s="60">
        <v>677.17446543375729</v>
      </c>
      <c r="E21" s="60">
        <v>9.2561196933189933</v>
      </c>
      <c r="F21" s="60">
        <v>0</v>
      </c>
      <c r="G21" s="60">
        <v>2599.1986583709704</v>
      </c>
      <c r="H21" s="61">
        <v>32.445147792498318</v>
      </c>
      <c r="I21" s="59">
        <v>232.79520382086466</v>
      </c>
      <c r="J21" s="60">
        <v>436.37501363754285</v>
      </c>
      <c r="K21" s="60">
        <v>22.227580983440109</v>
      </c>
      <c r="L21" s="60">
        <v>3.3800125122070515E-3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235.88439487686713</v>
      </c>
      <c r="V21" s="62">
        <v>117.39820836579713</v>
      </c>
      <c r="W21" s="62">
        <v>19.705258070024112</v>
      </c>
      <c r="X21" s="62">
        <v>9.8071853969571965</v>
      </c>
      <c r="Y21" s="66">
        <v>183.21130003425492</v>
      </c>
      <c r="Z21" s="66">
        <v>91.183133956859137</v>
      </c>
      <c r="AA21" s="67">
        <v>0</v>
      </c>
      <c r="AB21" s="68">
        <v>33.514804485108314</v>
      </c>
      <c r="AC21" s="69">
        <v>0</v>
      </c>
      <c r="AD21" s="69">
        <v>12.133660470114803</v>
      </c>
      <c r="AE21" s="68">
        <v>7.9991616869602868</v>
      </c>
      <c r="AF21" s="68">
        <v>3.9811334317714122</v>
      </c>
      <c r="AG21" s="68">
        <v>0.66769320852983483</v>
      </c>
      <c r="AH21" s="69">
        <v>213.98825567563375</v>
      </c>
      <c r="AI21" s="69">
        <v>909.83966007232652</v>
      </c>
      <c r="AJ21" s="69">
        <v>3119.3366249084474</v>
      </c>
      <c r="AK21" s="69">
        <v>546.81539402008048</v>
      </c>
      <c r="AL21" s="69">
        <v>2768.5661753336585</v>
      </c>
      <c r="AM21" s="69">
        <v>2708.6478347778325</v>
      </c>
      <c r="AN21" s="69">
        <v>602.88759983380646</v>
      </c>
      <c r="AO21" s="69">
        <v>1766.9760458628334</v>
      </c>
      <c r="AP21" s="69">
        <v>307.67266246477766</v>
      </c>
      <c r="AQ21" s="69">
        <v>759.9575322786967</v>
      </c>
    </row>
    <row r="22" spans="1:43" x14ac:dyDescent="0.25">
      <c r="A22" s="11">
        <v>42139</v>
      </c>
      <c r="B22" s="59"/>
      <c r="C22" s="60">
        <v>84.998504559199205</v>
      </c>
      <c r="D22" s="60">
        <v>680.55032755533989</v>
      </c>
      <c r="E22" s="60">
        <v>9.2210122694571854</v>
      </c>
      <c r="F22" s="60">
        <v>0</v>
      </c>
      <c r="G22" s="60">
        <v>2612.7741240183591</v>
      </c>
      <c r="H22" s="61">
        <v>32.623343072334968</v>
      </c>
      <c r="I22" s="59">
        <v>247.88333870569824</v>
      </c>
      <c r="J22" s="60">
        <v>485.36836182276431</v>
      </c>
      <c r="K22" s="60">
        <v>24.743204970161091</v>
      </c>
      <c r="L22" s="60">
        <v>3.3800125122070515E-3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235.00597219858014</v>
      </c>
      <c r="V22" s="62">
        <v>117.50468218730337</v>
      </c>
      <c r="W22" s="62">
        <v>19.57798162587585</v>
      </c>
      <c r="X22" s="62">
        <v>9.7891321113894048</v>
      </c>
      <c r="Y22" s="66">
        <v>182.50982388577401</v>
      </c>
      <c r="Z22" s="66">
        <v>91.256229155048487</v>
      </c>
      <c r="AA22" s="67">
        <v>0</v>
      </c>
      <c r="AB22" s="68">
        <v>33.513797566625016</v>
      </c>
      <c r="AC22" s="69">
        <v>0</v>
      </c>
      <c r="AD22" s="69">
        <v>12.159441588322311</v>
      </c>
      <c r="AE22" s="68">
        <v>7.999233312697875</v>
      </c>
      <c r="AF22" s="68">
        <v>3.9996743885146793</v>
      </c>
      <c r="AG22" s="68">
        <v>0.66666345903215085</v>
      </c>
      <c r="AH22" s="69">
        <v>221.66668314933773</v>
      </c>
      <c r="AI22" s="69">
        <v>914.38061955769842</v>
      </c>
      <c r="AJ22" s="69">
        <v>3089.2646503448477</v>
      </c>
      <c r="AK22" s="69">
        <v>599.74274908701591</v>
      </c>
      <c r="AL22" s="69">
        <v>2807.5993295033777</v>
      </c>
      <c r="AM22" s="69">
        <v>2655.4564676920572</v>
      </c>
      <c r="AN22" s="69">
        <v>613.17136697769149</v>
      </c>
      <c r="AO22" s="69">
        <v>1753.7483615875244</v>
      </c>
      <c r="AP22" s="69">
        <v>333.54749878247583</v>
      </c>
      <c r="AQ22" s="69">
        <v>659.13192399342847</v>
      </c>
    </row>
    <row r="23" spans="1:43" x14ac:dyDescent="0.25">
      <c r="A23" s="11">
        <v>42140</v>
      </c>
      <c r="B23" s="59"/>
      <c r="C23" s="60">
        <v>85.117717520395971</v>
      </c>
      <c r="D23" s="60">
        <v>681.0568638801567</v>
      </c>
      <c r="E23" s="60">
        <v>9.2135765949884956</v>
      </c>
      <c r="F23" s="60">
        <v>0</v>
      </c>
      <c r="G23" s="60">
        <v>2612.6853622436597</v>
      </c>
      <c r="H23" s="61">
        <v>32.634454091389983</v>
      </c>
      <c r="I23" s="59">
        <v>230.52502501805606</v>
      </c>
      <c r="J23" s="60">
        <v>443.69317626953165</v>
      </c>
      <c r="K23" s="60">
        <v>22.829626666506162</v>
      </c>
      <c r="L23" s="60">
        <v>3.3800125122070515E-3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238.14375026273328</v>
      </c>
      <c r="V23" s="62">
        <v>119.07828368298718</v>
      </c>
      <c r="W23" s="62">
        <v>19.825734033906688</v>
      </c>
      <c r="X23" s="62">
        <v>9.9134005360561179</v>
      </c>
      <c r="Y23" s="66">
        <v>182.35289385007167</v>
      </c>
      <c r="Z23" s="66">
        <v>91.181354120509582</v>
      </c>
      <c r="AA23" s="67">
        <v>0</v>
      </c>
      <c r="AB23" s="68">
        <v>33.512946489121411</v>
      </c>
      <c r="AC23" s="69">
        <v>0</v>
      </c>
      <c r="AD23" s="69">
        <v>12.154824587371616</v>
      </c>
      <c r="AE23" s="68">
        <v>7.9989451915272642</v>
      </c>
      <c r="AF23" s="68">
        <v>3.9996878508484848</v>
      </c>
      <c r="AG23" s="68">
        <v>0.66665470668844296</v>
      </c>
      <c r="AH23" s="69">
        <v>230.26126363277439</v>
      </c>
      <c r="AI23" s="69">
        <v>882.53786827723172</v>
      </c>
      <c r="AJ23" s="69">
        <v>3146.7773273468019</v>
      </c>
      <c r="AK23" s="69">
        <v>639.35690088272088</v>
      </c>
      <c r="AL23" s="69">
        <v>2974.3077109018964</v>
      </c>
      <c r="AM23" s="69">
        <v>2579.6606821695968</v>
      </c>
      <c r="AN23" s="69">
        <v>616.5805835723877</v>
      </c>
      <c r="AO23" s="69">
        <v>1759.531394704183</v>
      </c>
      <c r="AP23" s="69">
        <v>322.70642579396565</v>
      </c>
      <c r="AQ23" s="69">
        <v>593.57465082804356</v>
      </c>
    </row>
    <row r="24" spans="1:43" x14ac:dyDescent="0.25">
      <c r="A24" s="11">
        <v>42141</v>
      </c>
      <c r="B24" s="59"/>
      <c r="C24" s="60">
        <v>85.482063003381356</v>
      </c>
      <c r="D24" s="60">
        <v>685.73884293238382</v>
      </c>
      <c r="E24" s="60">
        <v>9.3744103635350946</v>
      </c>
      <c r="F24" s="60">
        <v>0</v>
      </c>
      <c r="G24" s="60">
        <v>2612.8547826131185</v>
      </c>
      <c r="H24" s="61">
        <v>32.866334311167449</v>
      </c>
      <c r="I24" s="59">
        <v>239.82734084129348</v>
      </c>
      <c r="J24" s="60">
        <v>463.46185928980503</v>
      </c>
      <c r="K24" s="60">
        <v>23.701283219456709</v>
      </c>
      <c r="L24" s="60">
        <v>3.3800125122070515E-3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230.3935107524037</v>
      </c>
      <c r="V24" s="62">
        <v>108.1272075042254</v>
      </c>
      <c r="W24" s="62">
        <v>19.118509839466611</v>
      </c>
      <c r="X24" s="62">
        <v>8.9726098353749499</v>
      </c>
      <c r="Y24" s="66">
        <v>177.28748432198373</v>
      </c>
      <c r="Z24" s="66">
        <v>83.203734960166386</v>
      </c>
      <c r="AA24" s="67">
        <v>0</v>
      </c>
      <c r="AB24" s="68">
        <v>33.5117274496288</v>
      </c>
      <c r="AC24" s="69">
        <v>0</v>
      </c>
      <c r="AD24" s="69">
        <v>11.578444320956873</v>
      </c>
      <c r="AE24" s="68">
        <v>7.7214333403806474</v>
      </c>
      <c r="AF24" s="68">
        <v>3.6237870689101959</v>
      </c>
      <c r="AG24" s="68">
        <v>0.68058909935829903</v>
      </c>
      <c r="AH24" s="69">
        <v>241.26902156670889</v>
      </c>
      <c r="AI24" s="69">
        <v>894.69550120035819</v>
      </c>
      <c r="AJ24" s="69">
        <v>3121.9332711537668</v>
      </c>
      <c r="AK24" s="69">
        <v>667.15236428578703</v>
      </c>
      <c r="AL24" s="69">
        <v>2929.955912780762</v>
      </c>
      <c r="AM24" s="69">
        <v>2640.5227483113608</v>
      </c>
      <c r="AN24" s="69">
        <v>622.19763412475572</v>
      </c>
      <c r="AO24" s="69">
        <v>1784.2684918721518</v>
      </c>
      <c r="AP24" s="69">
        <v>330.94585773150129</v>
      </c>
      <c r="AQ24" s="69">
        <v>644.37957315444942</v>
      </c>
    </row>
    <row r="25" spans="1:43" x14ac:dyDescent="0.25">
      <c r="A25" s="11">
        <v>42142</v>
      </c>
      <c r="B25" s="59"/>
      <c r="C25" s="60">
        <v>84.959269479910617</v>
      </c>
      <c r="D25" s="60">
        <v>681.35425287882413</v>
      </c>
      <c r="E25" s="60">
        <v>9.5077364544073841</v>
      </c>
      <c r="F25" s="60">
        <v>0</v>
      </c>
      <c r="G25" s="60">
        <v>2612.718228022256</v>
      </c>
      <c r="H25" s="61">
        <v>32.627712851762865</v>
      </c>
      <c r="I25" s="59">
        <v>250.26421367327345</v>
      </c>
      <c r="J25" s="60">
        <v>466.00269308090168</v>
      </c>
      <c r="K25" s="60">
        <v>23.779695410529765</v>
      </c>
      <c r="L25" s="60">
        <v>3.3800125122070515E-3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239.49352310655635</v>
      </c>
      <c r="V25" s="62">
        <v>115.35069150237823</v>
      </c>
      <c r="W25" s="62">
        <v>20.691907680380872</v>
      </c>
      <c r="X25" s="62">
        <v>9.9661394950265496</v>
      </c>
      <c r="Y25" s="66">
        <v>184.37366742982388</v>
      </c>
      <c r="Z25" s="66">
        <v>88.802526920100561</v>
      </c>
      <c r="AA25" s="67">
        <v>0</v>
      </c>
      <c r="AB25" s="68">
        <v>33.947646588749151</v>
      </c>
      <c r="AC25" s="69">
        <v>0</v>
      </c>
      <c r="AD25" s="69">
        <v>12.157906436920181</v>
      </c>
      <c r="AE25" s="68">
        <v>8.0418988021461928</v>
      </c>
      <c r="AF25" s="68">
        <v>3.8733347599007186</v>
      </c>
      <c r="AG25" s="68">
        <v>0.67492582166091253</v>
      </c>
      <c r="AH25" s="69">
        <v>243.21708667278293</v>
      </c>
      <c r="AI25" s="69">
        <v>892.21422233581529</v>
      </c>
      <c r="AJ25" s="69">
        <v>3134.0799798329667</v>
      </c>
      <c r="AK25" s="69">
        <v>618.70120897293089</v>
      </c>
      <c r="AL25" s="69">
        <v>3004.2760609944667</v>
      </c>
      <c r="AM25" s="69">
        <v>2746.5433289845778</v>
      </c>
      <c r="AN25" s="69">
        <v>597.04714811642975</v>
      </c>
      <c r="AO25" s="69">
        <v>1904.4985652923583</v>
      </c>
      <c r="AP25" s="69">
        <v>336.91077556610111</v>
      </c>
      <c r="AQ25" s="69">
        <v>625.06384092966721</v>
      </c>
    </row>
    <row r="26" spans="1:43" x14ac:dyDescent="0.25">
      <c r="A26" s="11">
        <v>42143</v>
      </c>
      <c r="B26" s="59"/>
      <c r="C26" s="60">
        <v>73.923600983619778</v>
      </c>
      <c r="D26" s="60">
        <v>596.03755814234262</v>
      </c>
      <c r="E26" s="60">
        <v>8.4574443697929116</v>
      </c>
      <c r="F26" s="60">
        <v>0</v>
      </c>
      <c r="G26" s="60">
        <v>2254.2997606913177</v>
      </c>
      <c r="H26" s="61">
        <v>28.490992162625012</v>
      </c>
      <c r="I26" s="59">
        <v>275.45983475049331</v>
      </c>
      <c r="J26" s="60">
        <v>502.77033656438277</v>
      </c>
      <c r="K26" s="60">
        <v>25.383621972799361</v>
      </c>
      <c r="L26" s="60">
        <v>3.3800125122070515E-3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251.44560714260984</v>
      </c>
      <c r="V26" s="62">
        <v>97.911343278196384</v>
      </c>
      <c r="W26" s="62">
        <v>22.431485864705348</v>
      </c>
      <c r="X26" s="62">
        <v>8.7346799878413606</v>
      </c>
      <c r="Y26" s="66">
        <v>197.60872446748175</v>
      </c>
      <c r="Z26" s="66">
        <v>76.947598631654145</v>
      </c>
      <c r="AA26" s="67">
        <v>0</v>
      </c>
      <c r="AB26" s="68">
        <v>37.560079847441514</v>
      </c>
      <c r="AC26" s="69">
        <v>0</v>
      </c>
      <c r="AD26" s="69">
        <v>12.752068101697484</v>
      </c>
      <c r="AE26" s="68">
        <v>8.9986773210351032</v>
      </c>
      <c r="AF26" s="68">
        <v>3.504028542164507</v>
      </c>
      <c r="AG26" s="68">
        <v>0.71973838459415063</v>
      </c>
      <c r="AH26" s="69">
        <v>252.15319306850438</v>
      </c>
      <c r="AI26" s="69">
        <v>900.11627184549968</v>
      </c>
      <c r="AJ26" s="69">
        <v>3065.7444321950275</v>
      </c>
      <c r="AK26" s="69">
        <v>608.51077105204263</v>
      </c>
      <c r="AL26" s="69">
        <v>2980.9674947102858</v>
      </c>
      <c r="AM26" s="69">
        <v>2860.434607696533</v>
      </c>
      <c r="AN26" s="69">
        <v>594.59968597094212</v>
      </c>
      <c r="AO26" s="69">
        <v>1827.3444615681965</v>
      </c>
      <c r="AP26" s="69">
        <v>313.41247928937275</v>
      </c>
      <c r="AQ26" s="69">
        <v>651.3889109929404</v>
      </c>
    </row>
    <row r="27" spans="1:43" x14ac:dyDescent="0.25">
      <c r="A27" s="11">
        <v>42144</v>
      </c>
      <c r="B27" s="59"/>
      <c r="C27" s="60">
        <v>63.914980069796414</v>
      </c>
      <c r="D27" s="60">
        <v>510.51996208826773</v>
      </c>
      <c r="E27" s="60">
        <v>7.2466825569669355</v>
      </c>
      <c r="F27" s="60">
        <v>0</v>
      </c>
      <c r="G27" s="60">
        <v>2012.2296112060492</v>
      </c>
      <c r="H27" s="61">
        <v>24.442949352661746</v>
      </c>
      <c r="I27" s="59">
        <v>279.6358301957452</v>
      </c>
      <c r="J27" s="60">
        <v>502.83899596532217</v>
      </c>
      <c r="K27" s="60">
        <v>25.710055148601548</v>
      </c>
      <c r="L27" s="60">
        <v>3.3800125122070515E-3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252.82334438158722</v>
      </c>
      <c r="V27" s="62">
        <v>84.282472925780453</v>
      </c>
      <c r="W27" s="62">
        <v>21.609427743669976</v>
      </c>
      <c r="X27" s="62">
        <v>7.2038284803265036</v>
      </c>
      <c r="Y27" s="62">
        <v>183.31740010409678</v>
      </c>
      <c r="Z27" s="62">
        <v>61.111618663577943</v>
      </c>
      <c r="AA27" s="72">
        <v>0</v>
      </c>
      <c r="AB27" s="69">
        <v>37.830979063775594</v>
      </c>
      <c r="AC27" s="69">
        <v>0</v>
      </c>
      <c r="AD27" s="69">
        <v>12.237619571553337</v>
      </c>
      <c r="AE27" s="69">
        <v>9.0001969164958702</v>
      </c>
      <c r="AF27" s="69">
        <v>3.0003513116904279</v>
      </c>
      <c r="AG27" s="69">
        <v>0.74998214626200577</v>
      </c>
      <c r="AH27" s="69">
        <v>266.6245982487996</v>
      </c>
      <c r="AI27" s="69">
        <v>907.4879839579263</v>
      </c>
      <c r="AJ27" s="69">
        <v>3065.4358950297042</v>
      </c>
      <c r="AK27" s="69">
        <v>612.37488466898594</v>
      </c>
      <c r="AL27" s="69">
        <v>2814.2437021891278</v>
      </c>
      <c r="AM27" s="69">
        <v>2897.7256632486979</v>
      </c>
      <c r="AN27" s="69">
        <v>606.59147246678663</v>
      </c>
      <c r="AO27" s="69">
        <v>1710.2419347127279</v>
      </c>
      <c r="AP27" s="69">
        <v>309.84604818026224</v>
      </c>
      <c r="AQ27" s="69">
        <v>648.04881356557212</v>
      </c>
    </row>
    <row r="28" spans="1:43" x14ac:dyDescent="0.25">
      <c r="A28" s="11">
        <v>42145</v>
      </c>
      <c r="B28" s="59"/>
      <c r="C28" s="60">
        <v>66.065478503704227</v>
      </c>
      <c r="D28" s="60">
        <v>528.96246426900245</v>
      </c>
      <c r="E28" s="60">
        <v>7.2902352760235392</v>
      </c>
      <c r="F28" s="60">
        <v>0</v>
      </c>
      <c r="G28" s="60">
        <v>2079.6748671213754</v>
      </c>
      <c r="H28" s="61">
        <v>25.306671406825377</v>
      </c>
      <c r="I28" s="59">
        <v>284.84009634653734</v>
      </c>
      <c r="J28" s="60">
        <v>502.75518077214662</v>
      </c>
      <c r="K28" s="60">
        <v>25.78470045725507</v>
      </c>
      <c r="L28" s="60">
        <v>3.3800125122070515E-3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252.9175267243873</v>
      </c>
      <c r="V28" s="62">
        <v>84.297676518447417</v>
      </c>
      <c r="W28" s="62">
        <v>21.87411378505308</v>
      </c>
      <c r="X28" s="62">
        <v>7.2906650316469204</v>
      </c>
      <c r="Y28" s="66">
        <v>188.61777186918053</v>
      </c>
      <c r="Z28" s="66">
        <v>62.866500888984646</v>
      </c>
      <c r="AA28" s="67">
        <v>0</v>
      </c>
      <c r="AB28" s="68">
        <v>37.832488613658299</v>
      </c>
      <c r="AC28" s="69">
        <v>0</v>
      </c>
      <c r="AD28" s="69">
        <v>12.237549271848465</v>
      </c>
      <c r="AE28" s="68">
        <v>9.0011740512383653</v>
      </c>
      <c r="AF28" s="68">
        <v>3.0001007375198654</v>
      </c>
      <c r="AG28" s="68">
        <v>0.75001816137648114</v>
      </c>
      <c r="AH28" s="69">
        <v>254.55810495217642</v>
      </c>
      <c r="AI28" s="69">
        <v>894.55049610137939</v>
      </c>
      <c r="AJ28" s="69">
        <v>3093.9615261077874</v>
      </c>
      <c r="AK28" s="69">
        <v>602.78689632415774</v>
      </c>
      <c r="AL28" s="69">
        <v>2788.3909877777091</v>
      </c>
      <c r="AM28" s="69">
        <v>2828.287475585938</v>
      </c>
      <c r="AN28" s="69">
        <v>606.88269673983257</v>
      </c>
      <c r="AO28" s="69">
        <v>1760.9684491475423</v>
      </c>
      <c r="AP28" s="69">
        <v>311.75690981547041</v>
      </c>
      <c r="AQ28" s="69">
        <v>630.30236959457409</v>
      </c>
    </row>
    <row r="29" spans="1:43" x14ac:dyDescent="0.25">
      <c r="A29" s="11">
        <v>42146</v>
      </c>
      <c r="B29" s="59"/>
      <c r="C29" s="60">
        <v>65.428355193138472</v>
      </c>
      <c r="D29" s="60">
        <v>508.35596790313781</v>
      </c>
      <c r="E29" s="60">
        <v>7.3271922245621646</v>
      </c>
      <c r="F29" s="60">
        <v>0</v>
      </c>
      <c r="G29" s="60">
        <v>2021.9302033742272</v>
      </c>
      <c r="H29" s="61">
        <v>25.013098243872314</v>
      </c>
      <c r="I29" s="59">
        <v>284.97120920817065</v>
      </c>
      <c r="J29" s="60">
        <v>503.25780280431184</v>
      </c>
      <c r="K29" s="60">
        <v>25.606912197669409</v>
      </c>
      <c r="L29" s="60">
        <v>3.3800125122070515E-3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239.00328074796803</v>
      </c>
      <c r="V29" s="62">
        <v>82.227642798716417</v>
      </c>
      <c r="W29" s="62">
        <v>20.346223226580172</v>
      </c>
      <c r="X29" s="62">
        <v>6.9999958600668943</v>
      </c>
      <c r="Y29" s="66">
        <v>182.07852708545613</v>
      </c>
      <c r="Z29" s="66">
        <v>62.643023307648001</v>
      </c>
      <c r="AA29" s="67">
        <v>0</v>
      </c>
      <c r="AB29" s="68">
        <v>37.835183845625693</v>
      </c>
      <c r="AC29" s="69">
        <v>0</v>
      </c>
      <c r="AD29" s="69">
        <v>11.675509750180757</v>
      </c>
      <c r="AE29" s="68">
        <v>8.5105170330547217</v>
      </c>
      <c r="AF29" s="68">
        <v>2.9279922536476106</v>
      </c>
      <c r="AG29" s="68">
        <v>0.74402326559707355</v>
      </c>
      <c r="AH29" s="69">
        <v>237.52316370010382</v>
      </c>
      <c r="AI29" s="69">
        <v>879.55091158548976</v>
      </c>
      <c r="AJ29" s="69">
        <v>3089.9839696248368</v>
      </c>
      <c r="AK29" s="69">
        <v>604.87500419616708</v>
      </c>
      <c r="AL29" s="69">
        <v>2790.0373199462888</v>
      </c>
      <c r="AM29" s="69">
        <v>2800.4263416290282</v>
      </c>
      <c r="AN29" s="69">
        <v>596.90806743303938</v>
      </c>
      <c r="AO29" s="69">
        <v>1785.5392457326254</v>
      </c>
      <c r="AP29" s="69">
        <v>307.98104834556574</v>
      </c>
      <c r="AQ29" s="69">
        <v>620.98512827555339</v>
      </c>
    </row>
    <row r="30" spans="1:43" x14ac:dyDescent="0.25">
      <c r="A30" s="11">
        <v>42147</v>
      </c>
      <c r="B30" s="59"/>
      <c r="C30" s="60">
        <v>63.747145128250317</v>
      </c>
      <c r="D30" s="60">
        <v>491.72252546946288</v>
      </c>
      <c r="E30" s="60">
        <v>7.3337931806842418</v>
      </c>
      <c r="F30" s="60">
        <v>0</v>
      </c>
      <c r="G30" s="60">
        <v>1963.9552566528309</v>
      </c>
      <c r="H30" s="61">
        <v>24.474232620994268</v>
      </c>
      <c r="I30" s="59">
        <v>284.96555803616826</v>
      </c>
      <c r="J30" s="60">
        <v>503.01231273015441</v>
      </c>
      <c r="K30" s="60">
        <v>25.627210861444492</v>
      </c>
      <c r="L30" s="60">
        <v>3.3800125122070515E-3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255.94464252624959</v>
      </c>
      <c r="V30" s="62">
        <v>85.303470766867619</v>
      </c>
      <c r="W30" s="62">
        <v>21.452423168547082</v>
      </c>
      <c r="X30" s="62">
        <v>7.1498513685393865</v>
      </c>
      <c r="Y30" s="66">
        <v>190.53083052868874</v>
      </c>
      <c r="Z30" s="66">
        <v>63.501782931534152</v>
      </c>
      <c r="AA30" s="67">
        <v>0</v>
      </c>
      <c r="AB30" s="68">
        <v>37.836477393573958</v>
      </c>
      <c r="AC30" s="69">
        <v>0</v>
      </c>
      <c r="AD30" s="69">
        <v>12.12280049059126</v>
      </c>
      <c r="AE30" s="68">
        <v>8.9072945581738878</v>
      </c>
      <c r="AF30" s="68">
        <v>2.9687010966722549</v>
      </c>
      <c r="AG30" s="68">
        <v>0.75002507722703315</v>
      </c>
      <c r="AH30" s="69">
        <v>230.94702115058897</v>
      </c>
      <c r="AI30" s="69">
        <v>872.31012115478507</v>
      </c>
      <c r="AJ30" s="69">
        <v>3051.7458179473879</v>
      </c>
      <c r="AK30" s="69">
        <v>606.20501556396493</v>
      </c>
      <c r="AL30" s="69">
        <v>2748.5649632771811</v>
      </c>
      <c r="AM30" s="69">
        <v>2670.1505289713537</v>
      </c>
      <c r="AN30" s="69">
        <v>590.96527179082227</v>
      </c>
      <c r="AO30" s="69">
        <v>1995.3507284800212</v>
      </c>
      <c r="AP30" s="69">
        <v>308.56252927780145</v>
      </c>
      <c r="AQ30" s="69">
        <v>626.99095042546605</v>
      </c>
    </row>
    <row r="31" spans="1:43" x14ac:dyDescent="0.25">
      <c r="A31" s="11">
        <v>42148</v>
      </c>
      <c r="B31" s="59"/>
      <c r="C31" s="60">
        <v>63.728454069296596</v>
      </c>
      <c r="D31" s="60">
        <v>491.89721209208295</v>
      </c>
      <c r="E31" s="60">
        <v>7.3390100747346718</v>
      </c>
      <c r="F31" s="60">
        <v>0</v>
      </c>
      <c r="G31" s="60">
        <v>1964.0812585194922</v>
      </c>
      <c r="H31" s="61">
        <v>24.480065275232004</v>
      </c>
      <c r="I31" s="59">
        <v>285.10553196271292</v>
      </c>
      <c r="J31" s="60">
        <v>503.46438144048079</v>
      </c>
      <c r="K31" s="60">
        <v>25.572655585408253</v>
      </c>
      <c r="L31" s="60">
        <v>3.3800125122070515E-3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262.54748259696521</v>
      </c>
      <c r="V31" s="62">
        <v>81.151172828216005</v>
      </c>
      <c r="W31" s="62">
        <v>22.26421759786399</v>
      </c>
      <c r="X31" s="62">
        <v>6.8816785150548361</v>
      </c>
      <c r="Y31" s="66">
        <v>189.76334038470384</v>
      </c>
      <c r="Z31" s="66">
        <v>58.654219342328929</v>
      </c>
      <c r="AA31" s="67">
        <v>0</v>
      </c>
      <c r="AB31" s="68">
        <v>37.837253991762559</v>
      </c>
      <c r="AC31" s="69">
        <v>0</v>
      </c>
      <c r="AD31" s="69">
        <v>11.873544863528679</v>
      </c>
      <c r="AE31" s="68">
        <v>8.8694750798849942</v>
      </c>
      <c r="AF31" s="68">
        <v>2.7414786003041347</v>
      </c>
      <c r="AG31" s="68">
        <v>0.76388859383861751</v>
      </c>
      <c r="AH31" s="69">
        <v>233.03947772979737</v>
      </c>
      <c r="AI31" s="69">
        <v>875.0983247756958</v>
      </c>
      <c r="AJ31" s="69">
        <v>3071.4216396331785</v>
      </c>
      <c r="AK31" s="69">
        <v>599.86610981623346</v>
      </c>
      <c r="AL31" s="69">
        <v>2650.0648525238039</v>
      </c>
      <c r="AM31" s="69">
        <v>2684.7471356709793</v>
      </c>
      <c r="AN31" s="69">
        <v>598.2921029726665</v>
      </c>
      <c r="AO31" s="69">
        <v>1679.6824661254884</v>
      </c>
      <c r="AP31" s="69">
        <v>310.73600452740988</v>
      </c>
      <c r="AQ31" s="69">
        <v>581.29638338089001</v>
      </c>
    </row>
    <row r="32" spans="1:43" x14ac:dyDescent="0.25">
      <c r="A32" s="11">
        <v>42149</v>
      </c>
      <c r="B32" s="59"/>
      <c r="C32" s="60">
        <v>63.67063064177843</v>
      </c>
      <c r="D32" s="60">
        <v>491.28475300471075</v>
      </c>
      <c r="E32" s="60">
        <v>7.3321825986106992</v>
      </c>
      <c r="F32" s="60">
        <v>0</v>
      </c>
      <c r="G32" s="60">
        <v>1949.6958035786993</v>
      </c>
      <c r="H32" s="61">
        <v>24.482794088125246</v>
      </c>
      <c r="I32" s="59">
        <v>284.22314511934911</v>
      </c>
      <c r="J32" s="60">
        <v>502.08827431996707</v>
      </c>
      <c r="K32" s="60">
        <v>25.628536021709497</v>
      </c>
      <c r="L32" s="60">
        <v>3.3800125122070515E-3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260.05416450716172</v>
      </c>
      <c r="V32" s="62">
        <v>86.669304336935937</v>
      </c>
      <c r="W32" s="62">
        <v>22.051399850984822</v>
      </c>
      <c r="X32" s="62">
        <v>7.3491593121087462</v>
      </c>
      <c r="Y32" s="66">
        <v>191.29986530128016</v>
      </c>
      <c r="Z32" s="66">
        <v>63.755280661751932</v>
      </c>
      <c r="AA32" s="67">
        <v>0</v>
      </c>
      <c r="AB32" s="68">
        <v>37.837744416130604</v>
      </c>
      <c r="AC32" s="69">
        <v>0</v>
      </c>
      <c r="AD32" s="69">
        <v>12.2571659459008</v>
      </c>
      <c r="AE32" s="68">
        <v>9.0000087604065477</v>
      </c>
      <c r="AF32" s="68">
        <v>2.9994693596582773</v>
      </c>
      <c r="AG32" s="68">
        <v>0.75003334898017437</v>
      </c>
      <c r="AH32" s="69">
        <v>222.5295294682185</v>
      </c>
      <c r="AI32" s="69">
        <v>870.1300264994303</v>
      </c>
      <c r="AJ32" s="69">
        <v>3093.7237288157148</v>
      </c>
      <c r="AK32" s="69">
        <v>644.58199510574332</v>
      </c>
      <c r="AL32" s="69">
        <v>2723.2021367390948</v>
      </c>
      <c r="AM32" s="69">
        <v>2685.8762215932211</v>
      </c>
      <c r="AN32" s="69">
        <v>611.29895300865167</v>
      </c>
      <c r="AO32" s="69">
        <v>1770.9563190460206</v>
      </c>
      <c r="AP32" s="69">
        <v>312.99415262540185</v>
      </c>
      <c r="AQ32" s="69">
        <v>643.33289709091173</v>
      </c>
    </row>
    <row r="33" spans="1:43" x14ac:dyDescent="0.25">
      <c r="A33" s="11">
        <v>42150</v>
      </c>
      <c r="B33" s="59"/>
      <c r="C33" s="60">
        <v>64.223387920856652</v>
      </c>
      <c r="D33" s="60">
        <v>492.24268992741963</v>
      </c>
      <c r="E33" s="60">
        <v>7.3242957343657631</v>
      </c>
      <c r="F33" s="60">
        <v>0</v>
      </c>
      <c r="G33" s="60">
        <v>1917.331791305543</v>
      </c>
      <c r="H33" s="61">
        <v>24.450743853052479</v>
      </c>
      <c r="I33" s="59">
        <v>285.10621725718147</v>
      </c>
      <c r="J33" s="60">
        <v>503.21029144922909</v>
      </c>
      <c r="K33" s="60">
        <v>25.823851199944798</v>
      </c>
      <c r="L33" s="60">
        <v>3.3800125122070515E-3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260.84712134763288</v>
      </c>
      <c r="V33" s="62">
        <v>86.969100567718172</v>
      </c>
      <c r="W33" s="62">
        <v>19.884584973741198</v>
      </c>
      <c r="X33" s="62">
        <v>6.629724190147094</v>
      </c>
      <c r="Y33" s="66">
        <v>189.85929511749774</v>
      </c>
      <c r="Z33" s="66">
        <v>63.301032595196737</v>
      </c>
      <c r="AA33" s="67">
        <v>0</v>
      </c>
      <c r="AB33" s="68">
        <v>37.836477141909839</v>
      </c>
      <c r="AC33" s="69">
        <v>0</v>
      </c>
      <c r="AD33" s="69">
        <v>12.256637832191267</v>
      </c>
      <c r="AE33" s="68">
        <v>8.9986782392718894</v>
      </c>
      <c r="AF33" s="68">
        <v>3.0002514450783928</v>
      </c>
      <c r="AG33" s="68">
        <v>0.74995674414264646</v>
      </c>
      <c r="AH33" s="69">
        <v>217.53432442347201</v>
      </c>
      <c r="AI33" s="69">
        <v>866.56369431813562</v>
      </c>
      <c r="AJ33" s="69">
        <v>3064.5973968505868</v>
      </c>
      <c r="AK33" s="69">
        <v>666.29580955505378</v>
      </c>
      <c r="AL33" s="69">
        <v>2764.9305714925135</v>
      </c>
      <c r="AM33" s="69">
        <v>2655.3795614878331</v>
      </c>
      <c r="AN33" s="69">
        <v>626.0230255921681</v>
      </c>
      <c r="AO33" s="69">
        <v>1763.3668160756429</v>
      </c>
      <c r="AP33" s="69">
        <v>315.22585358619688</v>
      </c>
      <c r="AQ33" s="69">
        <v>741.56983321507778</v>
      </c>
    </row>
    <row r="34" spans="1:43" x14ac:dyDescent="0.25">
      <c r="A34" s="11">
        <v>42151</v>
      </c>
      <c r="B34" s="59"/>
      <c r="C34" s="60">
        <v>63.985640772184148</v>
      </c>
      <c r="D34" s="60">
        <v>491.97706158956066</v>
      </c>
      <c r="E34" s="60">
        <v>7.3066006496548557</v>
      </c>
      <c r="F34" s="60">
        <v>0</v>
      </c>
      <c r="G34" s="60">
        <v>1849.0213987986258</v>
      </c>
      <c r="H34" s="61">
        <v>24.483597082893066</v>
      </c>
      <c r="I34" s="59">
        <v>286.43108479181893</v>
      </c>
      <c r="J34" s="60">
        <v>500.56629330317207</v>
      </c>
      <c r="K34" s="60">
        <v>25.719895081718754</v>
      </c>
      <c r="L34" s="60">
        <v>3.3800125122070515E-3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253.07502641393967</v>
      </c>
      <c r="V34" s="62">
        <v>87.169073425591066</v>
      </c>
      <c r="W34" s="62">
        <v>21.894650347966344</v>
      </c>
      <c r="X34" s="62">
        <v>7.5413856944060633</v>
      </c>
      <c r="Y34" s="66">
        <v>179.00858130328453</v>
      </c>
      <c r="Z34" s="66">
        <v>61.657653023077629</v>
      </c>
      <c r="AA34" s="67">
        <v>0</v>
      </c>
      <c r="AB34" s="68">
        <v>37.919185079468996</v>
      </c>
      <c r="AC34" s="69">
        <v>0</v>
      </c>
      <c r="AD34" s="69">
        <v>11.643189760049189</v>
      </c>
      <c r="AE34" s="68">
        <v>8.4950075183452096</v>
      </c>
      <c r="AF34" s="68">
        <v>2.9260174131381382</v>
      </c>
      <c r="AG34" s="68">
        <v>0.74380430559500488</v>
      </c>
      <c r="AH34" s="69">
        <v>207.21750888029734</v>
      </c>
      <c r="AI34" s="69">
        <v>863.37045523325617</v>
      </c>
      <c r="AJ34" s="69">
        <v>3120.5539877573638</v>
      </c>
      <c r="AK34" s="69">
        <v>706.79590307871501</v>
      </c>
      <c r="AL34" s="69">
        <v>2833.3176890055338</v>
      </c>
      <c r="AM34" s="69">
        <v>2627.4293460845952</v>
      </c>
      <c r="AN34" s="69">
        <v>636.36843460400883</v>
      </c>
      <c r="AO34" s="69">
        <v>1734.8126046498614</v>
      </c>
      <c r="AP34" s="69">
        <v>310.98744732538859</v>
      </c>
      <c r="AQ34" s="69">
        <v>813.33270285924277</v>
      </c>
    </row>
    <row r="35" spans="1:43" x14ac:dyDescent="0.25">
      <c r="A35" s="11">
        <v>42152</v>
      </c>
      <c r="B35" s="59"/>
      <c r="C35" s="60">
        <v>63.351336554686512</v>
      </c>
      <c r="D35" s="60">
        <v>480.59175341923981</v>
      </c>
      <c r="E35" s="60">
        <v>7.2881199146310367</v>
      </c>
      <c r="F35" s="60">
        <v>0</v>
      </c>
      <c r="G35" s="60">
        <v>1798.5635737101074</v>
      </c>
      <c r="H35" s="61">
        <v>24.533821153640691</v>
      </c>
      <c r="I35" s="59">
        <v>287.98089160919176</v>
      </c>
      <c r="J35" s="60">
        <v>497.96672941843696</v>
      </c>
      <c r="K35" s="60">
        <v>25.407562596599284</v>
      </c>
      <c r="L35" s="60">
        <v>3.3800125122070515E-3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267.79565124429041</v>
      </c>
      <c r="V35" s="62">
        <v>89.271749179395925</v>
      </c>
      <c r="W35" s="62">
        <v>23.001703347782449</v>
      </c>
      <c r="X35" s="62">
        <v>7.6677955090799346</v>
      </c>
      <c r="Y35" s="66">
        <v>183.52992987199846</v>
      </c>
      <c r="Z35" s="66">
        <v>61.181119970836306</v>
      </c>
      <c r="AA35" s="67">
        <v>0</v>
      </c>
      <c r="AB35" s="68">
        <v>38.168899178505441</v>
      </c>
      <c r="AC35" s="69">
        <v>0</v>
      </c>
      <c r="AD35" s="69">
        <v>12.169795565472697</v>
      </c>
      <c r="AE35" s="68">
        <v>9.0004033585109084</v>
      </c>
      <c r="AF35" s="68">
        <v>3.0003539915643409</v>
      </c>
      <c r="AG35" s="68">
        <v>0.74998627969546217</v>
      </c>
      <c r="AH35" s="69">
        <v>205.46008398532868</v>
      </c>
      <c r="AI35" s="69">
        <v>859.08067099253344</v>
      </c>
      <c r="AJ35" s="69">
        <v>3089.1875644683837</v>
      </c>
      <c r="AK35" s="69">
        <v>700.43342755635592</v>
      </c>
      <c r="AL35" s="69">
        <v>2813.572096252441</v>
      </c>
      <c r="AM35" s="69">
        <v>2575.0298445383714</v>
      </c>
      <c r="AN35" s="69">
        <v>632.84158070882177</v>
      </c>
      <c r="AO35" s="69">
        <v>1788.8964243570965</v>
      </c>
      <c r="AP35" s="69">
        <v>309.04734361966456</v>
      </c>
      <c r="AQ35" s="69">
        <v>766.8322111447651</v>
      </c>
    </row>
    <row r="36" spans="1:43" x14ac:dyDescent="0.25">
      <c r="A36" s="11">
        <v>42153</v>
      </c>
      <c r="B36" s="59"/>
      <c r="C36" s="60">
        <v>64.155832993984589</v>
      </c>
      <c r="D36" s="60">
        <v>478.38911628723207</v>
      </c>
      <c r="E36" s="60">
        <v>7.2965400343139892</v>
      </c>
      <c r="F36" s="60">
        <v>0</v>
      </c>
      <c r="G36" s="60">
        <v>1709.8682291666528</v>
      </c>
      <c r="H36" s="61">
        <v>24.786711911360435</v>
      </c>
      <c r="I36" s="59">
        <v>402.24772650400797</v>
      </c>
      <c r="J36" s="60">
        <v>720.2307484944655</v>
      </c>
      <c r="K36" s="60">
        <v>36.663473542531371</v>
      </c>
      <c r="L36" s="60">
        <v>3.3800125122070515E-3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359.06269664540366</v>
      </c>
      <c r="V36" s="62">
        <v>84.096685750871842</v>
      </c>
      <c r="W36" s="62">
        <v>30.66352431472054</v>
      </c>
      <c r="X36" s="62">
        <v>7.1817562570580691</v>
      </c>
      <c r="Y36" s="66">
        <v>251.72580167119003</v>
      </c>
      <c r="Z36" s="66">
        <v>58.957128758586528</v>
      </c>
      <c r="AA36" s="67">
        <v>0</v>
      </c>
      <c r="AB36" s="68">
        <v>47.125137649641282</v>
      </c>
      <c r="AC36" s="69">
        <v>0</v>
      </c>
      <c r="AD36" s="69">
        <v>15.710546839899475</v>
      </c>
      <c r="AE36" s="68">
        <v>12.579521999534659</v>
      </c>
      <c r="AF36" s="68">
        <v>2.9462712734422025</v>
      </c>
      <c r="AG36" s="68">
        <v>0.81023376895206489</v>
      </c>
      <c r="AH36" s="69">
        <v>210.66924904187519</v>
      </c>
      <c r="AI36" s="69">
        <v>860.92738256454447</v>
      </c>
      <c r="AJ36" s="69">
        <v>3079.0535341898594</v>
      </c>
      <c r="AK36" s="69">
        <v>687.68392785390233</v>
      </c>
      <c r="AL36" s="69">
        <v>2706.7516597747799</v>
      </c>
      <c r="AM36" s="69">
        <v>2501.1082956949872</v>
      </c>
      <c r="AN36" s="69">
        <v>637.21082096099849</v>
      </c>
      <c r="AO36" s="69">
        <v>2068.1114601135255</v>
      </c>
      <c r="AP36" s="69">
        <v>347.50967478752142</v>
      </c>
      <c r="AQ36" s="69">
        <v>727.99593772888215</v>
      </c>
    </row>
    <row r="37" spans="1:43" x14ac:dyDescent="0.25">
      <c r="A37" s="11">
        <v>42154</v>
      </c>
      <c r="B37" s="59"/>
      <c r="C37" s="60">
        <v>64.267943942546864</v>
      </c>
      <c r="D37" s="60">
        <v>473.81605876286903</v>
      </c>
      <c r="E37" s="60">
        <v>7.2852002307772494</v>
      </c>
      <c r="F37" s="60">
        <v>0</v>
      </c>
      <c r="G37" s="60">
        <v>1709.6919690449902</v>
      </c>
      <c r="H37" s="61">
        <v>24.573933206001904</v>
      </c>
      <c r="I37" s="59">
        <v>372.33278050422666</v>
      </c>
      <c r="J37" s="60">
        <v>679.40691432952974</v>
      </c>
      <c r="K37" s="60">
        <v>34.523835380872143</v>
      </c>
      <c r="L37" s="60">
        <v>3.3800125122070515E-3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332.81928634847935</v>
      </c>
      <c r="V37" s="62">
        <v>75.177896603550337</v>
      </c>
      <c r="W37" s="62">
        <v>28.3401309175016</v>
      </c>
      <c r="X37" s="62">
        <v>6.4015263514994016</v>
      </c>
      <c r="Y37" s="66">
        <v>233.68887993880958</v>
      </c>
      <c r="Z37" s="66">
        <v>52.786118996254451</v>
      </c>
      <c r="AA37" s="67">
        <v>0</v>
      </c>
      <c r="AB37" s="68">
        <v>41.53379663361472</v>
      </c>
      <c r="AC37" s="69">
        <v>0</v>
      </c>
      <c r="AD37" s="69">
        <v>15.098087029986948</v>
      </c>
      <c r="AE37" s="68">
        <v>12.169211184433431</v>
      </c>
      <c r="AF37" s="68">
        <v>2.7488061470458245</v>
      </c>
      <c r="AG37" s="68">
        <v>0.81573917726684553</v>
      </c>
      <c r="AH37" s="69">
        <v>203.79425264199577</v>
      </c>
      <c r="AI37" s="69">
        <v>854.70767691930121</v>
      </c>
      <c r="AJ37" s="69">
        <v>3148.2153423309323</v>
      </c>
      <c r="AK37" s="69">
        <v>700.04922393163042</v>
      </c>
      <c r="AL37" s="69">
        <v>2676.875029754638</v>
      </c>
      <c r="AM37" s="69">
        <v>2507.6590298970536</v>
      </c>
      <c r="AN37" s="69">
        <v>636.3525627930959</v>
      </c>
      <c r="AO37" s="69">
        <v>2104.8784553527835</v>
      </c>
      <c r="AP37" s="69">
        <v>310.23635101318359</v>
      </c>
      <c r="AQ37" s="69">
        <v>827.90374307632442</v>
      </c>
    </row>
    <row r="38" spans="1:43" ht="15.75" thickBot="1" x14ac:dyDescent="0.3">
      <c r="A38" s="11">
        <v>42155</v>
      </c>
      <c r="B38" s="73"/>
      <c r="C38" s="74">
        <v>64.438171732426042</v>
      </c>
      <c r="D38" s="74">
        <v>471.87830390930236</v>
      </c>
      <c r="E38" s="74">
        <v>7.2788365011413889</v>
      </c>
      <c r="F38" s="74">
        <v>0</v>
      </c>
      <c r="G38" s="74">
        <v>1709.6714702606087</v>
      </c>
      <c r="H38" s="75">
        <v>24.451331923405323</v>
      </c>
      <c r="I38" s="76">
        <v>344.95627326965388</v>
      </c>
      <c r="J38" s="74">
        <v>626.57042026519593</v>
      </c>
      <c r="K38" s="74">
        <v>31.885306638479218</v>
      </c>
      <c r="L38" s="74">
        <v>3.3800125122070515E-3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311.5542219263026</v>
      </c>
      <c r="V38" s="80">
        <v>81.859722106153228</v>
      </c>
      <c r="W38" s="81">
        <v>26.397916270742595</v>
      </c>
      <c r="X38" s="81">
        <v>6.9359550859036387</v>
      </c>
      <c r="Y38" s="80">
        <v>219.29384855013433</v>
      </c>
      <c r="Z38" s="80">
        <v>57.618649463043369</v>
      </c>
      <c r="AA38" s="82">
        <v>0</v>
      </c>
      <c r="AB38" s="83">
        <v>35.860228053728918</v>
      </c>
      <c r="AC38" s="84">
        <v>0</v>
      </c>
      <c r="AD38" s="85">
        <v>14.586937853362834</v>
      </c>
      <c r="AE38" s="83">
        <v>11.419049813211874</v>
      </c>
      <c r="AF38" s="83">
        <v>3.0003131995655008</v>
      </c>
      <c r="AG38" s="83">
        <v>0.79192470590366271</v>
      </c>
      <c r="AH38" s="84">
        <v>201.16303498744963</v>
      </c>
      <c r="AI38" s="84">
        <v>861.57437003453583</v>
      </c>
      <c r="AJ38" s="84">
        <v>3203.9351678212483</v>
      </c>
      <c r="AK38" s="84">
        <v>687.12521664301562</v>
      </c>
      <c r="AL38" s="84">
        <v>2674.3552900950112</v>
      </c>
      <c r="AM38" s="84">
        <v>2482.967375183106</v>
      </c>
      <c r="AN38" s="84">
        <v>628.53229118982961</v>
      </c>
      <c r="AO38" s="84">
        <v>2029.0732504526773</v>
      </c>
      <c r="AP38" s="84">
        <v>321.27686080932619</v>
      </c>
      <c r="AQ38" s="84">
        <v>917.11721340815234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2245.5768593013349</v>
      </c>
      <c r="D39" s="30">
        <f t="shared" si="0"/>
        <v>17727.932950846363</v>
      </c>
      <c r="E39" s="30">
        <f t="shared" si="0"/>
        <v>251.80192873279233</v>
      </c>
      <c r="F39" s="30">
        <f t="shared" si="0"/>
        <v>0</v>
      </c>
      <c r="G39" s="30">
        <f t="shared" si="0"/>
        <v>66767.978626886921</v>
      </c>
      <c r="H39" s="31">
        <f t="shared" si="0"/>
        <v>858.87165476679866</v>
      </c>
      <c r="I39" s="29">
        <f t="shared" si="0"/>
        <v>8437.4643633127162</v>
      </c>
      <c r="J39" s="30">
        <f t="shared" si="0"/>
        <v>15606.46694639524</v>
      </c>
      <c r="K39" s="30">
        <f t="shared" si="0"/>
        <v>796.47637827297103</v>
      </c>
      <c r="L39" s="30">
        <f t="shared" si="0"/>
        <v>0.10478038787841865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7950.4452366793748</v>
      </c>
      <c r="V39" s="264">
        <f t="shared" si="0"/>
        <v>2997.4397776215187</v>
      </c>
      <c r="W39" s="264">
        <f t="shared" si="0"/>
        <v>678.58875080760504</v>
      </c>
      <c r="X39" s="264">
        <f t="shared" si="0"/>
        <v>255.46209737046382</v>
      </c>
      <c r="Y39" s="264">
        <f t="shared" si="0"/>
        <v>5970.5070227962133</v>
      </c>
      <c r="Z39" s="264">
        <f t="shared" si="0"/>
        <v>2257.8564178683914</v>
      </c>
      <c r="AA39" s="272">
        <f t="shared" si="0"/>
        <v>0</v>
      </c>
      <c r="AB39" s="275">
        <f t="shared" si="0"/>
        <v>1134.8343018876089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7140.9671290159204</v>
      </c>
      <c r="AI39" s="275">
        <f t="shared" si="1"/>
        <v>27928.626468086244</v>
      </c>
      <c r="AJ39" s="275">
        <f t="shared" si="1"/>
        <v>96281.488830184957</v>
      </c>
      <c r="AK39" s="275">
        <f t="shared" si="1"/>
        <v>19427.912365659078</v>
      </c>
      <c r="AL39" s="275">
        <f t="shared" si="1"/>
        <v>87886.846544265747</v>
      </c>
      <c r="AM39" s="275">
        <f t="shared" si="1"/>
        <v>82906.232353337575</v>
      </c>
      <c r="AN39" s="275">
        <f t="shared" si="1"/>
        <v>19952.471184301379</v>
      </c>
      <c r="AO39" s="275">
        <f t="shared" si="1"/>
        <v>56884.97433096567</v>
      </c>
      <c r="AP39" s="275">
        <f t="shared" si="1"/>
        <v>9986.8101405620564</v>
      </c>
      <c r="AQ39" s="275">
        <f t="shared" si="1"/>
        <v>20957.729697322851</v>
      </c>
    </row>
    <row r="40" spans="1:43" ht="15.75" thickBot="1" x14ac:dyDescent="0.3">
      <c r="A40" s="47" t="s">
        <v>174</v>
      </c>
      <c r="B40" s="32">
        <f>Projection!$AB$30</f>
        <v>0.80583665399999982</v>
      </c>
      <c r="C40" s="33">
        <f>Projection!$AB$28</f>
        <v>1.2134866799999999</v>
      </c>
      <c r="D40" s="33">
        <f>Projection!$AB$31</f>
        <v>2.3118479999999999</v>
      </c>
      <c r="E40" s="33">
        <f>Projection!$AB$26</f>
        <v>4.3368000000000002</v>
      </c>
      <c r="F40" s="33">
        <f>Projection!$AB$23</f>
        <v>0</v>
      </c>
      <c r="G40" s="33">
        <f>Projection!$AB$24</f>
        <v>5.7325000000000001E-2</v>
      </c>
      <c r="H40" s="34">
        <f>Projection!$AB$29</f>
        <v>3.6159737999999999</v>
      </c>
      <c r="I40" s="32">
        <f>Projection!$AB$30</f>
        <v>0.80583665399999982</v>
      </c>
      <c r="J40" s="33">
        <f>Projection!$AB$28</f>
        <v>1.2134866799999999</v>
      </c>
      <c r="K40" s="33">
        <f>Projection!$AB$26</f>
        <v>4.3368000000000002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1.2134866799999999</v>
      </c>
      <c r="T40" s="38">
        <f>Projection!$AB$28</f>
        <v>1.2134866799999999</v>
      </c>
      <c r="U40" s="26">
        <f>Projection!$AB$27</f>
        <v>0.23649999999999999</v>
      </c>
      <c r="V40" s="27">
        <f>Projection!$AB$27</f>
        <v>0.23649999999999999</v>
      </c>
      <c r="W40" s="27">
        <f>Projection!$AB$22</f>
        <v>1.1599999999999999</v>
      </c>
      <c r="X40" s="27">
        <f>Projection!$AB$22</f>
        <v>1.1599999999999999</v>
      </c>
      <c r="Y40" s="27">
        <f>Projection!$AB$31</f>
        <v>2.3118479999999999</v>
      </c>
      <c r="Z40" s="27">
        <f>Projection!$AB$31</f>
        <v>2.3118479999999999</v>
      </c>
      <c r="AA40" s="28">
        <v>0</v>
      </c>
      <c r="AB40" s="41">
        <f>Projection!$AB$27</f>
        <v>0.23649999999999999</v>
      </c>
      <c r="AC40" s="41">
        <f>Projection!$AB$30</f>
        <v>0.80583665399999982</v>
      </c>
      <c r="AD40" s="279">
        <f>SUM(AD8:AD38)</f>
        <v>384.93037114342059</v>
      </c>
      <c r="AE40" s="279">
        <f>SUM(AE8:AE38)</f>
        <v>275.11492892082055</v>
      </c>
      <c r="AF40" s="279">
        <f>SUM(AF8:AF38)</f>
        <v>103.22236847272788</v>
      </c>
      <c r="AG40" s="279">
        <f>IF(SUM(AE40:AF40)&gt;0, AE40/(AE40+AF40), "")</f>
        <v>0.72716840453254228</v>
      </c>
      <c r="AH40" s="315">
        <v>8.1000000000000003E-2</v>
      </c>
      <c r="AI40" s="315">
        <f t="shared" ref="AI40:AQ40" si="2">$AH$40</f>
        <v>8.1000000000000003E-2</v>
      </c>
      <c r="AJ40" s="315">
        <f t="shared" si="2"/>
        <v>8.1000000000000003E-2</v>
      </c>
      <c r="AK40" s="315">
        <f t="shared" si="2"/>
        <v>8.1000000000000003E-2</v>
      </c>
      <c r="AL40" s="315">
        <f t="shared" si="2"/>
        <v>8.1000000000000003E-2</v>
      </c>
      <c r="AM40" s="315">
        <f t="shared" si="2"/>
        <v>8.1000000000000003E-2</v>
      </c>
      <c r="AN40" s="315">
        <f t="shared" si="2"/>
        <v>8.1000000000000003E-2</v>
      </c>
      <c r="AO40" s="315">
        <f t="shared" si="2"/>
        <v>8.1000000000000003E-2</v>
      </c>
      <c r="AP40" s="315">
        <f t="shared" si="2"/>
        <v>8.1000000000000003E-2</v>
      </c>
      <c r="AQ40" s="315">
        <f t="shared" si="2"/>
        <v>8.1000000000000003E-2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2724.9776076784037</v>
      </c>
      <c r="D41" s="36">
        <f t="shared" si="3"/>
        <v>40984.286336548263</v>
      </c>
      <c r="E41" s="36">
        <f t="shared" si="3"/>
        <v>1092.0146045283739</v>
      </c>
      <c r="F41" s="36">
        <f t="shared" si="3"/>
        <v>0</v>
      </c>
      <c r="G41" s="36">
        <f t="shared" si="3"/>
        <v>3827.4743747862926</v>
      </c>
      <c r="H41" s="37">
        <f t="shared" si="3"/>
        <v>3105.6574011993889</v>
      </c>
      <c r="I41" s="35">
        <f t="shared" si="3"/>
        <v>6799.2180507761577</v>
      </c>
      <c r="J41" s="36">
        <f t="shared" si="3"/>
        <v>18938.239761310895</v>
      </c>
      <c r="K41" s="36">
        <f t="shared" si="3"/>
        <v>3454.1587572942208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1880.280298474672</v>
      </c>
      <c r="V41" s="270">
        <f t="shared" si="3"/>
        <v>708.89450740748919</v>
      </c>
      <c r="W41" s="270">
        <f t="shared" si="3"/>
        <v>787.16295093682174</v>
      </c>
      <c r="X41" s="270">
        <f t="shared" si="3"/>
        <v>296.33603294973801</v>
      </c>
      <c r="Y41" s="270">
        <f t="shared" si="3"/>
        <v>13802.904719637379</v>
      </c>
      <c r="Z41" s="270">
        <f t="shared" si="3"/>
        <v>5219.8208439362052</v>
      </c>
      <c r="AA41" s="274">
        <f t="shared" si="3"/>
        <v>0</v>
      </c>
      <c r="AB41" s="277">
        <f t="shared" si="3"/>
        <v>268.38831239641951</v>
      </c>
      <c r="AC41" s="277">
        <f t="shared" si="3"/>
        <v>0</v>
      </c>
      <c r="AH41" s="280">
        <f t="shared" ref="AH41:AQ41" si="4">AH40*AH39</f>
        <v>578.41833745028953</v>
      </c>
      <c r="AI41" s="280">
        <f t="shared" si="4"/>
        <v>2262.2187439149857</v>
      </c>
      <c r="AJ41" s="280">
        <f t="shared" si="4"/>
        <v>7798.8005952449821</v>
      </c>
      <c r="AK41" s="280">
        <f t="shared" si="4"/>
        <v>1573.6609016183854</v>
      </c>
      <c r="AL41" s="280">
        <f t="shared" si="4"/>
        <v>7118.8345700855261</v>
      </c>
      <c r="AM41" s="280">
        <f t="shared" si="4"/>
        <v>6715.4048206203433</v>
      </c>
      <c r="AN41" s="280">
        <f t="shared" si="4"/>
        <v>1616.1501659284118</v>
      </c>
      <c r="AO41" s="280">
        <f t="shared" si="4"/>
        <v>4607.682920808219</v>
      </c>
      <c r="AP41" s="280">
        <f t="shared" si="4"/>
        <v>808.93162138552657</v>
      </c>
      <c r="AQ41" s="280">
        <f t="shared" si="4"/>
        <v>1697.576105483151</v>
      </c>
    </row>
    <row r="42" spans="1:43" ht="49.5" customHeight="1" thickTop="1" thickBot="1" x14ac:dyDescent="0.3">
      <c r="A42" s="561" t="s">
        <v>227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46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533.71</v>
      </c>
      <c r="AI42" s="280" t="s">
        <v>199</v>
      </c>
      <c r="AJ42" s="280">
        <v>1554.2</v>
      </c>
      <c r="AK42" s="280">
        <v>567.34</v>
      </c>
      <c r="AL42" s="280">
        <v>647.22</v>
      </c>
      <c r="AM42" s="280">
        <v>4178.1400000000003</v>
      </c>
      <c r="AN42" s="280">
        <v>1060.77</v>
      </c>
      <c r="AO42" s="280" t="s">
        <v>199</v>
      </c>
      <c r="AP42" s="280">
        <v>60.84</v>
      </c>
      <c r="AQ42" s="280">
        <v>288.97000000000003</v>
      </c>
    </row>
    <row r="43" spans="1:43" ht="38.25" customHeight="1" thickTop="1" thickBot="1" x14ac:dyDescent="0.3">
      <c r="A43" s="549" t="s">
        <v>49</v>
      </c>
      <c r="B43" s="545"/>
      <c r="C43" s="291"/>
      <c r="D43" s="545" t="s">
        <v>47</v>
      </c>
      <c r="E43" s="545"/>
      <c r="F43" s="291"/>
      <c r="G43" s="545" t="s">
        <v>48</v>
      </c>
      <c r="H43" s="545"/>
      <c r="I43" s="292"/>
      <c r="J43" s="545" t="s">
        <v>50</v>
      </c>
      <c r="K43" s="546"/>
      <c r="L43" s="44"/>
      <c r="M43" s="44"/>
      <c r="N43" s="44"/>
      <c r="O43" s="45"/>
      <c r="P43" s="45"/>
      <c r="Q43" s="45"/>
      <c r="R43" s="555" t="s">
        <v>168</v>
      </c>
      <c r="S43" s="556"/>
      <c r="T43" s="556"/>
      <c r="U43" s="557"/>
      <c r="AC43" s="45"/>
    </row>
    <row r="44" spans="1:43" ht="24.75" thickTop="1" thickBot="1" x14ac:dyDescent="0.3">
      <c r="A44" s="284" t="s">
        <v>135</v>
      </c>
      <c r="B44" s="285">
        <f>SUM(B41:AC41)</f>
        <v>103889.81455986071</v>
      </c>
      <c r="C44" s="12"/>
      <c r="D44" s="284" t="s">
        <v>135</v>
      </c>
      <c r="E44" s="285">
        <f>SUM(B41:H41)+P41+R41+T41+V41+X41+Z41</f>
        <v>57959.461709034156</v>
      </c>
      <c r="F44" s="12"/>
      <c r="G44" s="284" t="s">
        <v>135</v>
      </c>
      <c r="H44" s="285">
        <f>SUM(I41:N41)+O41+Q41+S41+U41+W41+Y41</f>
        <v>45661.96453843014</v>
      </c>
      <c r="I44" s="12"/>
      <c r="J44" s="284" t="s">
        <v>200</v>
      </c>
      <c r="K44" s="285">
        <v>201516.31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34777.678782539821</v>
      </c>
      <c r="C45" s="12"/>
      <c r="D45" s="286" t="s">
        <v>185</v>
      </c>
      <c r="E45" s="287">
        <f>AH41*(1-$AG$40)+AI41+AJ41*0.5+AL41+AM41*(1-$AG$40)+AN41*(1-$AG$40)+AO41*(1-$AG$40)+AP41*0.5+AQ41*0.5</f>
        <v>18221.751195308752</v>
      </c>
      <c r="F45" s="24"/>
      <c r="G45" s="286" t="s">
        <v>185</v>
      </c>
      <c r="H45" s="287">
        <f>AH41*AG40+AJ41*0.5+AK41+AM41*AG40+AN41*AG40+AO41*AG40+AP41*0.5+AQ41*0.5</f>
        <v>16555.927587231072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934.05084817806892</v>
      </c>
      <c r="U45" s="258">
        <f>(T45*8.34*0.895)/27000</f>
        <v>0.25822354615020593</v>
      </c>
    </row>
    <row r="46" spans="1:43" ht="32.25" thickBot="1" x14ac:dyDescent="0.3">
      <c r="A46" s="288" t="s">
        <v>186</v>
      </c>
      <c r="B46" s="289">
        <f>SUM(AH42:AQ42)</f>
        <v>8891.19</v>
      </c>
      <c r="C46" s="12"/>
      <c r="D46" s="288" t="s">
        <v>186</v>
      </c>
      <c r="E46" s="289">
        <f>AH42*(1-$AG$40)+AJ42*0.5+AL42+AM42*(1-$AG$40)+AN42*(1-$AG$40)+AP42*0.5+AQ42*0.5</f>
        <v>3174.1781246273563</v>
      </c>
      <c r="F46" s="23"/>
      <c r="G46" s="288" t="s">
        <v>186</v>
      </c>
      <c r="H46" s="289">
        <f>AH42*AG40+AJ42*0.5+AK42+AM42*AG40+AN42*AG40+AP42*0.5+AQ42*0.5</f>
        <v>5717.0118753726438</v>
      </c>
      <c r="I46" s="12"/>
      <c r="J46" s="547" t="s">
        <v>201</v>
      </c>
      <c r="K46" s="548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201516.31</v>
      </c>
      <c r="C47" s="12"/>
      <c r="D47" s="288" t="s">
        <v>189</v>
      </c>
      <c r="E47" s="289">
        <f>K44*0.5</f>
        <v>100758.155</v>
      </c>
      <c r="F47" s="24"/>
      <c r="G47" s="288" t="s">
        <v>187</v>
      </c>
      <c r="H47" s="289">
        <f>K44*0.5</f>
        <v>100758.155</v>
      </c>
      <c r="I47" s="12"/>
      <c r="J47" s="284" t="s">
        <v>200</v>
      </c>
      <c r="K47" s="285">
        <v>65760.58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66767.978626886921</v>
      </c>
      <c r="U47" s="258">
        <f>T47/40000</f>
        <v>1.6691994656721729</v>
      </c>
    </row>
    <row r="48" spans="1:43" ht="24" thickBot="1" x14ac:dyDescent="0.3">
      <c r="A48" s="288" t="s">
        <v>188</v>
      </c>
      <c r="B48" s="289">
        <f>K47</f>
        <v>65760.58</v>
      </c>
      <c r="C48" s="12"/>
      <c r="D48" s="288" t="s">
        <v>188</v>
      </c>
      <c r="E48" s="289">
        <f>K47*0.5</f>
        <v>32880.29</v>
      </c>
      <c r="F48" s="23"/>
      <c r="G48" s="288" t="s">
        <v>188</v>
      </c>
      <c r="H48" s="289">
        <f>K47*0.5</f>
        <v>32880.29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0.10478038787841865</v>
      </c>
      <c r="U48" s="258">
        <f>T48*9.34*0.107</f>
        <v>0.10471542403793402</v>
      </c>
    </row>
    <row r="49" spans="1:25" ht="48" thickTop="1" thickBot="1" x14ac:dyDescent="0.3">
      <c r="A49" s="293" t="s">
        <v>196</v>
      </c>
      <c r="B49" s="294">
        <f>AD40</f>
        <v>384.93037114342059</v>
      </c>
      <c r="C49" s="12"/>
      <c r="D49" s="293" t="s">
        <v>197</v>
      </c>
      <c r="E49" s="294">
        <f>AF40</f>
        <v>103.22236847272788</v>
      </c>
      <c r="F49" s="23"/>
      <c r="G49" s="293" t="s">
        <v>198</v>
      </c>
      <c r="H49" s="294">
        <f>AE40</f>
        <v>275.11492892082055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1048.2783070057633</v>
      </c>
      <c r="U49" s="258">
        <f>(T49*8.34*1.04)/45000</f>
        <v>0.20205214941433752</v>
      </c>
    </row>
    <row r="50" spans="1:25" ht="48" thickTop="1" thickBot="1" x14ac:dyDescent="0.3">
      <c r="A50" s="293" t="s">
        <v>192</v>
      </c>
      <c r="B50" s="295">
        <f>(SUM(B44:B48)/AD40)</f>
        <v>1077.6899004101645</v>
      </c>
      <c r="C50" s="12"/>
      <c r="D50" s="293" t="s">
        <v>190</v>
      </c>
      <c r="E50" s="295">
        <f>SUM(E44:E48)/AF40</f>
        <v>2063.4465104842548</v>
      </c>
      <c r="F50" s="23"/>
      <c r="G50" s="293" t="s">
        <v>191</v>
      </c>
      <c r="H50" s="295">
        <f>SUM(H44:H48)/AE40</f>
        <v>732.68778903324312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12082.719316188502</v>
      </c>
      <c r="U50" s="258">
        <f>T50/2000/8</f>
        <v>0.75516995726178138</v>
      </c>
    </row>
    <row r="51" spans="1:25" ht="57" customHeight="1" thickTop="1" thickBot="1" x14ac:dyDescent="0.3">
      <c r="A51" s="283" t="s">
        <v>193</v>
      </c>
      <c r="B51" s="296">
        <f>B50/1000</f>
        <v>1.0776899004101645</v>
      </c>
      <c r="C51" s="12"/>
      <c r="D51" s="283" t="s">
        <v>194</v>
      </c>
      <c r="E51" s="296">
        <f>E50/1000</f>
        <v>2.0634465104842548</v>
      </c>
      <c r="F51" s="12"/>
      <c r="G51" s="283" t="s">
        <v>195</v>
      </c>
      <c r="H51" s="296">
        <f>H50/1000</f>
        <v>0.73268778903324316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17852.043805696576</v>
      </c>
      <c r="U51" s="258">
        <f>(T51*8.34*1.4)/45000</f>
        <v>4.6320102994514043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858.87165476679866</v>
      </c>
      <c r="U52" s="258">
        <f>(T52*8.34*1.135)/45000</f>
        <v>0.18066651548571197</v>
      </c>
    </row>
    <row r="53" spans="1:25" ht="48" customHeight="1" thickTop="1" thickBot="1" x14ac:dyDescent="0.3">
      <c r="A53" s="558" t="s">
        <v>51</v>
      </c>
      <c r="B53" s="559"/>
      <c r="C53" s="559"/>
      <c r="D53" s="559"/>
      <c r="E53" s="560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8437.4643633127162</v>
      </c>
      <c r="U53" s="258">
        <f>(T53*8.34*1.029*0.03)/3300</f>
        <v>0.65826489019035317</v>
      </c>
    </row>
    <row r="54" spans="1:25" ht="45.75" customHeight="1" thickBot="1" x14ac:dyDescent="0.3">
      <c r="A54" s="542" t="s">
        <v>202</v>
      </c>
      <c r="B54" s="543"/>
      <c r="C54" s="543"/>
      <c r="D54" s="543"/>
      <c r="E54" s="54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2" t="s">
        <v>158</v>
      </c>
      <c r="S54" s="553"/>
      <c r="T54" s="260">
        <f>$D$39+$Y$39+$Z$39</f>
        <v>25956.296391510969</v>
      </c>
      <c r="U54" s="261">
        <f>(T54*1.54*8.34)/45000</f>
        <v>7.4082730740891174</v>
      </c>
    </row>
    <row r="55" spans="1:25" ht="24" thickTop="1" x14ac:dyDescent="0.25">
      <c r="A55" s="588"/>
      <c r="B55" s="58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0"/>
      <c r="B56" s="59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6"/>
      <c r="B57" s="58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7"/>
      <c r="B58" s="58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6"/>
      <c r="B59" s="58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7"/>
      <c r="B60" s="587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password="A25B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Conte, Chris</cp:lastModifiedBy>
  <cp:lastPrinted>2016-01-08T20:11:01Z</cp:lastPrinted>
  <dcterms:created xsi:type="dcterms:W3CDTF">2010-10-11T23:47:50Z</dcterms:created>
  <dcterms:modified xsi:type="dcterms:W3CDTF">2016-01-22T21:57:31Z</dcterms:modified>
</cp:coreProperties>
</file>